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61" yWindow="23" windowWidth="11048" windowHeight="3571" activeTab="3"/>
  </bookViews>
  <sheets>
    <sheet name="Colebrook" sheetId="1" r:id="rId1"/>
    <sheet name="Scimemi Veronese" sheetId="4" r:id="rId2"/>
    <sheet name="Marchetti" sheetId="5" r:id="rId3"/>
    <sheet name="Dimensionamento" sheetId="2" r:id="rId4"/>
    <sheet name="Foglio3" sheetId="3" r:id="rId5"/>
  </sheets>
  <definedNames>
    <definedName name="solver_adj" localSheetId="0" hidden="1">Colebrook!$D$14</definedName>
    <definedName name="solver_adj" localSheetId="2" hidden="1">Marchetti!$D$17</definedName>
    <definedName name="solver_adj" localSheetId="1" hidden="1">'Scimemi Veronese'!$D$17</definedName>
    <definedName name="solver_cvg" localSheetId="0" hidden="1">0.0001</definedName>
    <definedName name="solver_cvg" localSheetId="2" hidden="1">0.0001</definedName>
    <definedName name="solver_cvg" localSheetId="1" hidden="1">0.0001</definedName>
    <definedName name="solver_drv" localSheetId="0" hidden="1">1</definedName>
    <definedName name="solver_drv" localSheetId="2" hidden="1">1</definedName>
    <definedName name="solver_drv" localSheetId="1" hidden="1">1</definedName>
    <definedName name="solver_est" localSheetId="0" hidden="1">1</definedName>
    <definedName name="solver_est" localSheetId="2" hidden="1">1</definedName>
    <definedName name="solver_est" localSheetId="1" hidden="1">1</definedName>
    <definedName name="solver_itr" localSheetId="0" hidden="1">1000</definedName>
    <definedName name="solver_itr" localSheetId="2" hidden="1">1000</definedName>
    <definedName name="solver_itr" localSheetId="1" hidden="1">1000</definedName>
    <definedName name="solver_lin" localSheetId="0" hidden="1">2</definedName>
    <definedName name="solver_lin" localSheetId="2" hidden="1">2</definedName>
    <definedName name="solver_lin" localSheetId="1" hidden="1">2</definedName>
    <definedName name="solver_neg" localSheetId="0" hidden="1">2</definedName>
    <definedName name="solver_neg" localSheetId="2" hidden="1">2</definedName>
    <definedName name="solver_neg" localSheetId="1" hidden="1">2</definedName>
    <definedName name="solver_num" localSheetId="0" hidden="1">0</definedName>
    <definedName name="solver_num" localSheetId="2" hidden="1">0</definedName>
    <definedName name="solver_num" localSheetId="1" hidden="1">0</definedName>
    <definedName name="solver_nwt" localSheetId="0" hidden="1">1</definedName>
    <definedName name="solver_nwt" localSheetId="2" hidden="1">1</definedName>
    <definedName name="solver_nwt" localSheetId="1" hidden="1">1</definedName>
    <definedName name="solver_opt" localSheetId="0" hidden="1">Colebrook!$D$15</definedName>
    <definedName name="solver_opt" localSheetId="2" hidden="1">Marchetti!$D$18</definedName>
    <definedName name="solver_opt" localSheetId="1" hidden="1">'Scimemi Veronese'!$D$18</definedName>
    <definedName name="solver_pre" localSheetId="0" hidden="1">0.000001</definedName>
    <definedName name="solver_pre" localSheetId="2" hidden="1">0.000001</definedName>
    <definedName name="solver_pre" localSheetId="1" hidden="1">0.000001</definedName>
    <definedName name="solver_scl" localSheetId="0" hidden="1">1</definedName>
    <definedName name="solver_scl" localSheetId="2" hidden="1">1</definedName>
    <definedName name="solver_scl" localSheetId="1" hidden="1">1</definedName>
    <definedName name="solver_sho" localSheetId="0" hidden="1">2</definedName>
    <definedName name="solver_sho" localSheetId="2" hidden="1">2</definedName>
    <definedName name="solver_sho" localSheetId="1" hidden="1">2</definedName>
    <definedName name="solver_tim" localSheetId="0" hidden="1">100</definedName>
    <definedName name="solver_tim" localSheetId="2" hidden="1">100</definedName>
    <definedName name="solver_tim" localSheetId="1" hidden="1">100</definedName>
    <definedName name="solver_tol" localSheetId="0" hidden="1">0.000001</definedName>
    <definedName name="solver_tol" localSheetId="2" hidden="1">0.000001</definedName>
    <definedName name="solver_tol" localSheetId="1" hidden="1">0.000001</definedName>
    <definedName name="solver_typ" localSheetId="0" hidden="1">3</definedName>
    <definedName name="solver_typ" localSheetId="2" hidden="1">3</definedName>
    <definedName name="solver_typ" localSheetId="1" hidden="1">3</definedName>
    <definedName name="solver_val" localSheetId="0" hidden="1">0</definedName>
    <definedName name="solver_val" localSheetId="2" hidden="1">0</definedName>
    <definedName name="solver_val" localSheetId="1" hidden="1">0</definedName>
  </definedNames>
  <calcPr calcId="125725"/>
</workbook>
</file>

<file path=xl/calcChain.xml><?xml version="1.0" encoding="utf-8"?>
<calcChain xmlns="http://schemas.openxmlformats.org/spreadsheetml/2006/main">
  <c r="D2" i="1"/>
  <c r="L33" i="2"/>
  <c r="L32"/>
  <c r="L31"/>
  <c r="L30"/>
  <c r="L29"/>
  <c r="L28"/>
  <c r="L27"/>
  <c r="L25"/>
  <c r="L24"/>
  <c r="L23"/>
  <c r="L22"/>
  <c r="L21"/>
  <c r="L20"/>
  <c r="L19"/>
  <c r="L17"/>
  <c r="L16"/>
  <c r="L15"/>
  <c r="L14"/>
  <c r="L13"/>
  <c r="L12"/>
  <c r="L11"/>
  <c r="L41"/>
  <c r="L40"/>
  <c r="L39"/>
  <c r="L38"/>
  <c r="L37"/>
  <c r="L36"/>
  <c r="L35"/>
  <c r="L9"/>
  <c r="L8"/>
  <c r="L7"/>
  <c r="L6"/>
  <c r="L5"/>
  <c r="L4"/>
  <c r="L3"/>
  <c r="F35"/>
  <c r="D3" i="1"/>
  <c r="D6"/>
  <c r="D10"/>
  <c r="C36" i="2"/>
  <c r="C37"/>
  <c r="C38"/>
  <c r="C39"/>
  <c r="C40"/>
  <c r="C41"/>
  <c r="C35"/>
  <c r="C33"/>
  <c r="C28"/>
  <c r="C29"/>
  <c r="C30"/>
  <c r="C31"/>
  <c r="C32"/>
  <c r="C27"/>
  <c r="F27"/>
  <c r="E25"/>
  <c r="E23"/>
  <c r="E22"/>
  <c r="E21"/>
  <c r="C20"/>
  <c r="C21"/>
  <c r="C22"/>
  <c r="C23"/>
  <c r="C24"/>
  <c r="C25"/>
  <c r="C19"/>
  <c r="F19"/>
  <c r="C17"/>
  <c r="C16"/>
  <c r="C15"/>
  <c r="C14"/>
  <c r="G14" s="1"/>
  <c r="C13"/>
  <c r="C12"/>
  <c r="C11"/>
  <c r="F11"/>
  <c r="H41"/>
  <c r="E41"/>
  <c r="H40"/>
  <c r="G40" s="1"/>
  <c r="E40"/>
  <c r="F40" s="1"/>
  <c r="H39"/>
  <c r="F39" s="1"/>
  <c r="E39"/>
  <c r="H38"/>
  <c r="G38" s="1"/>
  <c r="E38"/>
  <c r="H37"/>
  <c r="E37"/>
  <c r="H36"/>
  <c r="E36"/>
  <c r="H35"/>
  <c r="G35"/>
  <c r="H33"/>
  <c r="G33" s="1"/>
  <c r="E33"/>
  <c r="H32"/>
  <c r="E32"/>
  <c r="F32" s="1"/>
  <c r="H31"/>
  <c r="F31" s="1"/>
  <c r="E31"/>
  <c r="H30"/>
  <c r="G30" s="1"/>
  <c r="E30"/>
  <c r="H29"/>
  <c r="E29"/>
  <c r="H28"/>
  <c r="E28"/>
  <c r="H27"/>
  <c r="H25"/>
  <c r="H24"/>
  <c r="G24" s="1"/>
  <c r="E24"/>
  <c r="H23"/>
  <c r="H22"/>
  <c r="H21"/>
  <c r="H20"/>
  <c r="F20" s="1"/>
  <c r="E20"/>
  <c r="H19"/>
  <c r="G19" s="1"/>
  <c r="H17"/>
  <c r="E17"/>
  <c r="F17" s="1"/>
  <c r="G17"/>
  <c r="H16"/>
  <c r="E16"/>
  <c r="H15"/>
  <c r="E15"/>
  <c r="H14"/>
  <c r="E14"/>
  <c r="F14" s="1"/>
  <c r="H13"/>
  <c r="E13"/>
  <c r="G13"/>
  <c r="H12"/>
  <c r="E12"/>
  <c r="H11"/>
  <c r="E7"/>
  <c r="E6"/>
  <c r="E4"/>
  <c r="H6"/>
  <c r="F6" s="1"/>
  <c r="C6"/>
  <c r="C4"/>
  <c r="H4"/>
  <c r="F4" s="1"/>
  <c r="H7"/>
  <c r="F7" s="1"/>
  <c r="C7"/>
  <c r="E5"/>
  <c r="E8"/>
  <c r="E9"/>
  <c r="F9" s="1"/>
  <c r="H9"/>
  <c r="H8"/>
  <c r="H5"/>
  <c r="F5" s="1"/>
  <c r="H3"/>
  <c r="C5"/>
  <c r="C8"/>
  <c r="C9"/>
  <c r="C3"/>
  <c r="F3"/>
  <c r="D10" i="5"/>
  <c r="D7"/>
  <c r="D2" s="1"/>
  <c r="D6"/>
  <c r="D12" i="4"/>
  <c r="D10"/>
  <c r="D7"/>
  <c r="D2" s="1"/>
  <c r="D6"/>
  <c r="D12" i="1"/>
  <c r="L10" i="2" l="1"/>
  <c r="G15"/>
  <c r="G22"/>
  <c r="F28"/>
  <c r="F36"/>
  <c r="G12"/>
  <c r="G16"/>
  <c r="F12"/>
  <c r="F33"/>
  <c r="G39"/>
  <c r="F8"/>
  <c r="F13"/>
  <c r="F16"/>
  <c r="F23"/>
  <c r="F29"/>
  <c r="L34" s="1"/>
  <c r="G32"/>
  <c r="F37"/>
  <c r="F25"/>
  <c r="G37"/>
  <c r="G41"/>
  <c r="F41"/>
  <c r="G36"/>
  <c r="F38"/>
  <c r="L42" s="1"/>
  <c r="G28"/>
  <c r="F30"/>
  <c r="G27"/>
  <c r="G31"/>
  <c r="G29"/>
  <c r="F21"/>
  <c r="F24"/>
  <c r="F22"/>
  <c r="G20"/>
  <c r="G23"/>
  <c r="G25"/>
  <c r="G21"/>
  <c r="F15"/>
  <c r="L18" s="1"/>
  <c r="G11"/>
  <c r="G6"/>
  <c r="G4"/>
  <c r="G7"/>
  <c r="G9"/>
  <c r="G8"/>
  <c r="G5"/>
  <c r="G3"/>
  <c r="D12" i="5"/>
  <c r="D3"/>
  <c r="D3" i="4"/>
  <c r="D7" i="1"/>
  <c r="D1" s="1"/>
  <c r="D16" s="1"/>
  <c r="D17" s="1"/>
  <c r="D11"/>
  <c r="L26" i="2" l="1"/>
  <c r="L43" s="1"/>
  <c r="D13" i="1" l="1"/>
  <c r="D15" s="1"/>
</calcChain>
</file>

<file path=xl/sharedStrings.xml><?xml version="1.0" encoding="utf-8"?>
<sst xmlns="http://schemas.openxmlformats.org/spreadsheetml/2006/main" count="157" uniqueCount="66">
  <si>
    <t>Diametro esterno</t>
  </si>
  <si>
    <t>m</t>
  </si>
  <si>
    <t>Spessore</t>
  </si>
  <si>
    <t>diametro interno</t>
  </si>
  <si>
    <t>Lunghezza</t>
  </si>
  <si>
    <t>velocità</t>
  </si>
  <si>
    <t>m/s</t>
  </si>
  <si>
    <t>portata</t>
  </si>
  <si>
    <r>
      <t>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/s</t>
    </r>
  </si>
  <si>
    <r>
      <t>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/h</t>
    </r>
  </si>
  <si>
    <t>sezione utile</t>
  </si>
  <si>
    <r>
      <t>m</t>
    </r>
    <r>
      <rPr>
        <vertAlign val="superscript"/>
        <sz val="11"/>
        <color theme="1"/>
        <rFont val="Calibri"/>
        <family val="2"/>
        <scheme val="minor"/>
      </rPr>
      <t>2</t>
    </r>
  </si>
  <si>
    <t>Tipo di tubo</t>
  </si>
  <si>
    <t>scabrosità relativa</t>
  </si>
  <si>
    <t>scabrosità assoluta</t>
  </si>
  <si>
    <t>mm</t>
  </si>
  <si>
    <t>numero di Reynolds</t>
  </si>
  <si>
    <r>
      <t>m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/s</t>
    </r>
  </si>
  <si>
    <t>Fattore di resistenza</t>
  </si>
  <si>
    <t>Eq Colebrook</t>
  </si>
  <si>
    <t>cadente</t>
  </si>
  <si>
    <t>viscosità cinematica</t>
  </si>
  <si>
    <t>m/km</t>
  </si>
  <si>
    <t>m/m</t>
  </si>
  <si>
    <t>perdita di carico</t>
  </si>
  <si>
    <t>n</t>
  </si>
  <si>
    <r>
      <rPr>
        <sz val="14.3"/>
        <color theme="1"/>
        <rFont val="Symbol"/>
        <family val="1"/>
        <charset val="2"/>
      </rPr>
      <t>e</t>
    </r>
    <r>
      <rPr>
        <sz val="18.600000000000001"/>
        <color theme="1"/>
        <rFont val="Calibri"/>
        <family val="2"/>
      </rPr>
      <t>/</t>
    </r>
    <r>
      <rPr>
        <sz val="14"/>
        <color theme="1"/>
        <rFont val="Calibri"/>
        <family val="2"/>
      </rPr>
      <t>D</t>
    </r>
  </si>
  <si>
    <t>e</t>
  </si>
  <si>
    <t>D</t>
  </si>
  <si>
    <t>s</t>
  </si>
  <si>
    <t>Q</t>
  </si>
  <si>
    <t>v</t>
  </si>
  <si>
    <t>l/s</t>
  </si>
  <si>
    <t>Perdita di carico</t>
  </si>
  <si>
    <t>km</t>
  </si>
  <si>
    <t>coeff. magg. cadente</t>
  </si>
  <si>
    <t>acciaio internamente bitumato</t>
  </si>
  <si>
    <t>acciaio nuovo zincato</t>
  </si>
  <si>
    <t>Ramo</t>
  </si>
  <si>
    <t>Annotazioni</t>
  </si>
  <si>
    <t xml:space="preserve">lunghezza </t>
  </si>
  <si>
    <t>AB</t>
  </si>
  <si>
    <t>m3/s</t>
  </si>
  <si>
    <t>Cadente</t>
  </si>
  <si>
    <t>Perita</t>
  </si>
  <si>
    <t>Saracinesche</t>
  </si>
  <si>
    <t>CD</t>
  </si>
  <si>
    <t>DE</t>
  </si>
  <si>
    <t>EF</t>
  </si>
  <si>
    <t>BC</t>
  </si>
  <si>
    <t>Curva a 45°</t>
  </si>
  <si>
    <t>Curve 90°</t>
  </si>
  <si>
    <t xml:space="preserve">Curve 90° ampio raggio </t>
  </si>
  <si>
    <t>Tee</t>
  </si>
  <si>
    <t>Tratto rettilineo (6,38+2,15+0,29)</t>
  </si>
  <si>
    <t xml:space="preserve">Totale tratto </t>
  </si>
  <si>
    <t xml:space="preserve">Valvola di non ritorno </t>
  </si>
  <si>
    <t>Tratto rettilineo (10,88-6,38+1,12-0,29)</t>
  </si>
  <si>
    <t>L. eq./D</t>
  </si>
  <si>
    <t>Tratto rettilineo (10,93/2+3,31-1,12)</t>
  </si>
  <si>
    <t>Tratto rettilineo (+5,71-3,31)</t>
  </si>
  <si>
    <t>Tratto rettilineo (+8,11-5,71)</t>
  </si>
  <si>
    <t>acciaio grezzo</t>
  </si>
  <si>
    <t>Totale generale</t>
  </si>
  <si>
    <t>spess.</t>
  </si>
  <si>
    <t>diam. Est.</t>
  </si>
</sst>
</file>

<file path=xl/styles.xml><?xml version="1.0" encoding="utf-8"?>
<styleSheet xmlns="http://schemas.openxmlformats.org/spreadsheetml/2006/main">
  <numFmts count="13">
    <numFmt numFmtId="43" formatCode="_-* #,##0.00_-;\-* #,##0.00_-;_-* &quot;-&quot;??_-;_-@_-"/>
    <numFmt numFmtId="164" formatCode="0.0000"/>
    <numFmt numFmtId="165" formatCode="0.000"/>
    <numFmt numFmtId="166" formatCode="0.0"/>
    <numFmt numFmtId="167" formatCode="_-* #,##0_-;\-* #,##0_-;_-* &quot;-&quot;??_-;_-@_-"/>
    <numFmt numFmtId="168" formatCode="_-* #,##0.000_-;\-* #,##0.000_-;_-* &quot;-&quot;??_-;_-@_-"/>
    <numFmt numFmtId="169" formatCode="_-* #,##0.0000_-;\-* #,##0.0000_-;_-* &quot;-&quot;??_-;_-@_-"/>
    <numFmt numFmtId="170" formatCode="0.000000"/>
    <numFmt numFmtId="171" formatCode="0.0000000"/>
    <numFmt numFmtId="177" formatCode="_-* #,##0.000_-;\-* #,##0.000_-;_-* &quot;-&quot;???_-;_-@_-"/>
    <numFmt numFmtId="178" formatCode="_-* #,##0.00_-;\-* #,##0.00_-;_-* &quot;-&quot;???_-;_-@_-"/>
    <numFmt numFmtId="179" formatCode="_-* #,##0.0_-;\-* #,##0.0_-;_-* &quot;-&quot;???_-;_-@_-"/>
    <numFmt numFmtId="180" formatCode="_-* #,##0_-;\-* #,##0_-;_-* &quot;-&quot;???_-;_-@_-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11"/>
      <color theme="1"/>
      <name val="Symbol"/>
      <family val="1"/>
      <charset val="2"/>
    </font>
    <font>
      <sz val="14.3"/>
      <color theme="1"/>
      <name val="Calibri"/>
      <family val="2"/>
    </font>
    <font>
      <sz val="14.3"/>
      <color theme="1"/>
      <name val="Symbol"/>
      <family val="1"/>
      <charset val="2"/>
    </font>
    <font>
      <sz val="18.600000000000001"/>
      <color theme="1"/>
      <name val="Calibri"/>
      <family val="2"/>
    </font>
    <font>
      <sz val="14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0" fillId="0" borderId="0" xfId="0" applyAlignment="1">
      <alignment horizontal="right"/>
    </xf>
    <xf numFmtId="164" fontId="0" fillId="0" borderId="0" xfId="0" applyNumberFormat="1"/>
    <xf numFmtId="165" fontId="0" fillId="0" borderId="0" xfId="0" applyNumberFormat="1"/>
    <xf numFmtId="2" fontId="0" fillId="0" borderId="0" xfId="0" applyNumberFormat="1"/>
    <xf numFmtId="166" fontId="0" fillId="0" borderId="0" xfId="0" applyNumberFormat="1"/>
    <xf numFmtId="1" fontId="0" fillId="0" borderId="0" xfId="0" applyNumberFormat="1"/>
    <xf numFmtId="170" fontId="0" fillId="0" borderId="0" xfId="0" applyNumberFormat="1"/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171" fontId="0" fillId="0" borderId="0" xfId="0" applyNumberFormat="1" applyAlignment="1">
      <alignment vertic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/>
    </xf>
    <xf numFmtId="170" fontId="2" fillId="0" borderId="0" xfId="0" applyNumberFormat="1" applyFont="1"/>
    <xf numFmtId="11" fontId="2" fillId="0" borderId="0" xfId="0" applyNumberFormat="1" applyFont="1"/>
    <xf numFmtId="164" fontId="0" fillId="0" borderId="0" xfId="0" applyNumberFormat="1" applyAlignment="1">
      <alignment vertical="center"/>
    </xf>
    <xf numFmtId="167" fontId="0" fillId="0" borderId="0" xfId="1" applyNumberFormat="1" applyFont="1" applyAlignment="1">
      <alignment vertical="center"/>
    </xf>
    <xf numFmtId="168" fontId="0" fillId="0" borderId="0" xfId="1" applyNumberFormat="1" applyFont="1" applyAlignment="1">
      <alignment vertical="center"/>
    </xf>
    <xf numFmtId="169" fontId="0" fillId="0" borderId="0" xfId="1" applyNumberFormat="1" applyFont="1" applyAlignment="1">
      <alignment vertical="center"/>
    </xf>
    <xf numFmtId="164" fontId="2" fillId="0" borderId="0" xfId="0" applyNumberFormat="1" applyFont="1" applyAlignment="1">
      <alignment horizontal="right"/>
    </xf>
    <xf numFmtId="0" fontId="2" fillId="0" borderId="0" xfId="0" applyFont="1"/>
    <xf numFmtId="0" fontId="2" fillId="0" borderId="0" xfId="0" applyFont="1" applyAlignment="1">
      <alignment horizontal="right" vertical="top" wrapText="1"/>
    </xf>
    <xf numFmtId="177" fontId="0" fillId="0" borderId="0" xfId="0" applyNumberFormat="1"/>
    <xf numFmtId="178" fontId="0" fillId="0" borderId="0" xfId="0" applyNumberFormat="1"/>
    <xf numFmtId="179" fontId="0" fillId="0" borderId="0" xfId="0" applyNumberFormat="1"/>
    <xf numFmtId="180" fontId="0" fillId="0" borderId="0" xfId="0" applyNumberFormat="1" applyAlignment="1">
      <alignment horizontal="left"/>
    </xf>
    <xf numFmtId="0" fontId="0" fillId="0" borderId="1" xfId="0" applyBorder="1"/>
    <xf numFmtId="0" fontId="2" fillId="0" borderId="1" xfId="0" applyFont="1" applyBorder="1"/>
    <xf numFmtId="180" fontId="0" fillId="0" borderId="1" xfId="0" applyNumberFormat="1" applyBorder="1" applyAlignment="1">
      <alignment horizontal="left"/>
    </xf>
    <xf numFmtId="177" fontId="0" fillId="0" borderId="1" xfId="0" applyNumberFormat="1" applyBorder="1"/>
    <xf numFmtId="178" fontId="0" fillId="0" borderId="1" xfId="0" applyNumberFormat="1" applyBorder="1"/>
    <xf numFmtId="179" fontId="0" fillId="0" borderId="1" xfId="0" applyNumberFormat="1" applyBorder="1"/>
    <xf numFmtId="180" fontId="2" fillId="0" borderId="1" xfId="0" applyNumberFormat="1" applyFont="1" applyBorder="1" applyAlignment="1">
      <alignment horizontal="left"/>
    </xf>
    <xf numFmtId="177" fontId="2" fillId="0" borderId="1" xfId="0" applyNumberFormat="1" applyFont="1" applyBorder="1"/>
    <xf numFmtId="178" fontId="2" fillId="0" borderId="1" xfId="0" applyNumberFormat="1" applyFont="1" applyBorder="1"/>
    <xf numFmtId="179" fontId="2" fillId="0" borderId="1" xfId="0" applyNumberFormat="1" applyFont="1" applyBorder="1"/>
    <xf numFmtId="164" fontId="2" fillId="0" borderId="0" xfId="0" applyNumberFormat="1" applyFont="1"/>
    <xf numFmtId="165" fontId="0" fillId="0" borderId="0" xfId="0" applyNumberFormat="1" applyAlignment="1">
      <alignment vertical="center"/>
    </xf>
    <xf numFmtId="177" fontId="2" fillId="0" borderId="0" xfId="0" applyNumberFormat="1" applyFont="1"/>
    <xf numFmtId="164" fontId="0" fillId="0" borderId="1" xfId="0" applyNumberFormat="1" applyBorder="1"/>
    <xf numFmtId="164" fontId="0" fillId="0" borderId="0" xfId="0" applyNumberFormat="1" applyFont="1"/>
  </cellXfs>
  <cellStyles count="2">
    <cellStyle name="Migliaia" xfId="1" builtinId="3"/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4" Type="http://schemas.openxmlformats.org/officeDocument/2006/relationships/image" Target="../media/image4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4.bin"/><Relationship Id="rId5" Type="http://schemas.openxmlformats.org/officeDocument/2006/relationships/oleObject" Target="../embeddings/oleObject3.bin"/><Relationship Id="rId4" Type="http://schemas.openxmlformats.org/officeDocument/2006/relationships/oleObject" Target="../embeddings/oleObject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5.bin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6.bin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7"/>
  <sheetViews>
    <sheetView topLeftCell="A7" zoomScale="115" zoomScaleNormal="115" workbookViewId="0">
      <selection activeCell="D16" sqref="D16"/>
    </sheetView>
  </sheetViews>
  <sheetFormatPr defaultRowHeight="14.4"/>
  <cols>
    <col min="1" max="1" width="21.69921875" customWidth="1"/>
    <col min="2" max="2" width="35.5" style="11" customWidth="1"/>
    <col min="3" max="3" width="4.8984375" style="1" bestFit="1" customWidth="1"/>
    <col min="4" max="4" width="17.59765625" style="2" bestFit="1" customWidth="1"/>
  </cols>
  <sheetData>
    <row r="1" spans="1:4">
      <c r="A1" t="s">
        <v>5</v>
      </c>
      <c r="B1" s="11" t="s">
        <v>31</v>
      </c>
      <c r="C1" s="1" t="s">
        <v>6</v>
      </c>
      <c r="D1" s="4">
        <f>+D2/D7</f>
        <v>0.85410652618882466</v>
      </c>
    </row>
    <row r="2" spans="1:4" ht="16.149999999999999">
      <c r="A2" t="s">
        <v>7</v>
      </c>
      <c r="B2" s="11" t="s">
        <v>30</v>
      </c>
      <c r="C2" s="1" t="s">
        <v>8</v>
      </c>
      <c r="D2" s="38">
        <f>0.00223333333333333*1</f>
        <v>2.2333333333333298E-3</v>
      </c>
    </row>
    <row r="3" spans="1:4" ht="16.149999999999999">
      <c r="A3" t="s">
        <v>7</v>
      </c>
      <c r="C3" s="1" t="s">
        <v>9</v>
      </c>
      <c r="D3" s="42">
        <f>+D2*3600</f>
        <v>8.0399999999999867</v>
      </c>
    </row>
    <row r="4" spans="1:4">
      <c r="A4" t="s">
        <v>0</v>
      </c>
      <c r="C4" s="1" t="s">
        <v>1</v>
      </c>
      <c r="D4" s="38">
        <v>6.3500000000000001E-2</v>
      </c>
    </row>
    <row r="5" spans="1:4">
      <c r="A5" t="s">
        <v>2</v>
      </c>
      <c r="B5" s="11" t="s">
        <v>29</v>
      </c>
      <c r="C5" s="1" t="s">
        <v>1</v>
      </c>
      <c r="D5" s="38">
        <v>2.8999999999999998E-3</v>
      </c>
    </row>
    <row r="6" spans="1:4">
      <c r="A6" t="s">
        <v>3</v>
      </c>
      <c r="B6" s="11" t="s">
        <v>28</v>
      </c>
      <c r="C6" s="1" t="s">
        <v>1</v>
      </c>
      <c r="D6" s="2">
        <f>+D4-2*D5</f>
        <v>5.7700000000000001E-2</v>
      </c>
    </row>
    <row r="7" spans="1:4" ht="16.149999999999999">
      <c r="A7" t="s">
        <v>10</v>
      </c>
      <c r="C7" s="1" t="s">
        <v>11</v>
      </c>
      <c r="D7" s="7">
        <f>+PI()*(D6^2)/4</f>
        <v>2.6148182514174906E-3</v>
      </c>
    </row>
    <row r="8" spans="1:4">
      <c r="A8" t="s">
        <v>4</v>
      </c>
      <c r="C8" s="1" t="s">
        <v>1</v>
      </c>
      <c r="D8" s="6">
        <v>1000</v>
      </c>
    </row>
    <row r="9" spans="1:4">
      <c r="A9" t="s">
        <v>12</v>
      </c>
      <c r="D9" s="21" t="s">
        <v>62</v>
      </c>
    </row>
    <row r="10" spans="1:4">
      <c r="A10" t="s">
        <v>14</v>
      </c>
      <c r="B10" s="12" t="s">
        <v>27</v>
      </c>
      <c r="C10" s="1" t="s">
        <v>1</v>
      </c>
      <c r="D10" s="15">
        <f>0.1/1000</f>
        <v>1E-4</v>
      </c>
    </row>
    <row r="11" spans="1:4" ht="24.2">
      <c r="A11" t="s">
        <v>13</v>
      </c>
      <c r="B11" s="14" t="s">
        <v>26</v>
      </c>
      <c r="D11" s="2">
        <f>+D10/(D6)</f>
        <v>1.7331022530329291E-3</v>
      </c>
    </row>
    <row r="12" spans="1:4" ht="16.149999999999999">
      <c r="A12" t="s">
        <v>21</v>
      </c>
      <c r="B12" s="12" t="s">
        <v>25</v>
      </c>
      <c r="C12" s="1" t="s">
        <v>17</v>
      </c>
      <c r="D12" s="16">
        <f>1.24*10^-6</f>
        <v>1.24E-6</v>
      </c>
    </row>
    <row r="13" spans="1:4" s="8" customFormat="1" ht="40.35" customHeight="1">
      <c r="A13" s="8" t="s">
        <v>16</v>
      </c>
      <c r="B13" s="13"/>
      <c r="C13" s="9"/>
      <c r="D13" s="18">
        <f>+D1*D6/D12</f>
        <v>39743.505291205794</v>
      </c>
    </row>
    <row r="14" spans="1:4" s="8" customFormat="1" ht="57.05" customHeight="1">
      <c r="A14" s="8" t="s">
        <v>18</v>
      </c>
      <c r="B14" s="13"/>
      <c r="C14" s="9"/>
      <c r="D14" s="20">
        <v>2.6556734244642728E-2</v>
      </c>
    </row>
    <row r="15" spans="1:4" s="8" customFormat="1" ht="40.35" customHeight="1">
      <c r="A15" s="8" t="s">
        <v>19</v>
      </c>
      <c r="B15" s="13"/>
      <c r="C15" s="9"/>
      <c r="D15" s="10">
        <f>+D14^-0.5+2*LOG(D11/3.71+2.51/D13*D14^-0.5)</f>
        <v>-1.1487139683907799E-7</v>
      </c>
    </row>
    <row r="16" spans="1:4" s="8" customFormat="1" ht="40.35" customHeight="1">
      <c r="A16" s="8" t="s">
        <v>20</v>
      </c>
      <c r="B16" s="13"/>
      <c r="C16" s="9" t="s">
        <v>23</v>
      </c>
      <c r="D16" s="39">
        <f>+D14*(D1^2)/2/9.81/D6</f>
        <v>1.7112912587601191E-2</v>
      </c>
    </row>
    <row r="17" spans="1:4">
      <c r="A17" t="s">
        <v>24</v>
      </c>
      <c r="C17" s="1" t="s">
        <v>1</v>
      </c>
      <c r="D17" s="3">
        <f>+D16*D8</f>
        <v>17.11291258760119</v>
      </c>
    </row>
  </sheetData>
  <pageMargins left="0.7" right="0.7" top="0.75" bottom="0.75" header="0.3" footer="0.3"/>
  <pageSetup paperSize="9" orientation="portrait" r:id="rId1"/>
  <legacyDrawing r:id="rId2"/>
  <oleObjects>
    <oleObject progId="Equation.3" shapeId="1025" r:id="rId3"/>
    <oleObject progId="Equation.3" shapeId="1026" r:id="rId4"/>
    <oleObject progId="Equation.3" shapeId="1027" r:id="rId5"/>
    <oleObject progId="Equation.3" shapeId="1028" r:id="rId6"/>
  </oleObjects>
</worksheet>
</file>

<file path=xl/worksheets/sheet2.xml><?xml version="1.0" encoding="utf-8"?>
<worksheet xmlns="http://schemas.openxmlformats.org/spreadsheetml/2006/main" xmlns:r="http://schemas.openxmlformats.org/officeDocument/2006/relationships">
  <dimension ref="A1:D20"/>
  <sheetViews>
    <sheetView zoomScale="130" zoomScaleNormal="130" workbookViewId="0">
      <selection sqref="A1:D12"/>
    </sheetView>
  </sheetViews>
  <sheetFormatPr defaultRowHeight="14.4"/>
  <cols>
    <col min="1" max="1" width="21.69921875" customWidth="1"/>
    <col min="2" max="2" width="19.69921875" style="11" customWidth="1"/>
    <col min="3" max="3" width="4.8984375" style="1" bestFit="1" customWidth="1"/>
    <col min="4" max="4" width="12.69921875" style="2" customWidth="1"/>
  </cols>
  <sheetData>
    <row r="1" spans="1:4">
      <c r="A1" t="s">
        <v>5</v>
      </c>
      <c r="B1" s="11" t="s">
        <v>31</v>
      </c>
      <c r="C1" s="1" t="s">
        <v>6</v>
      </c>
      <c r="D1" s="2">
        <v>1</v>
      </c>
    </row>
    <row r="2" spans="1:4">
      <c r="A2" t="s">
        <v>7</v>
      </c>
      <c r="B2" s="11" t="s">
        <v>30</v>
      </c>
      <c r="C2" s="1" t="s">
        <v>32</v>
      </c>
      <c r="D2" s="2">
        <f>+D1*D7*1000</f>
        <v>7.9801479949426488</v>
      </c>
    </row>
    <row r="3" spans="1:4" ht="16.149999999999999">
      <c r="A3" t="s">
        <v>7</v>
      </c>
      <c r="C3" s="1" t="s">
        <v>9</v>
      </c>
      <c r="D3" s="4">
        <f>+D2*3.6</f>
        <v>28.728532781793536</v>
      </c>
    </row>
    <row r="4" spans="1:4">
      <c r="A4" t="s">
        <v>0</v>
      </c>
      <c r="C4" s="1" t="s">
        <v>15</v>
      </c>
      <c r="D4" s="2">
        <v>108</v>
      </c>
    </row>
    <row r="5" spans="1:4">
      <c r="A5" t="s">
        <v>2</v>
      </c>
      <c r="B5" s="11" t="s">
        <v>29</v>
      </c>
      <c r="C5" s="1" t="s">
        <v>15</v>
      </c>
      <c r="D5" s="2">
        <v>3.6</v>
      </c>
    </row>
    <row r="6" spans="1:4">
      <c r="A6" t="s">
        <v>3</v>
      </c>
      <c r="B6" s="11" t="s">
        <v>28</v>
      </c>
      <c r="C6" s="1" t="s">
        <v>1</v>
      </c>
      <c r="D6" s="2">
        <f>+D4-2*D5</f>
        <v>100.8</v>
      </c>
    </row>
    <row r="7" spans="1:4" ht="16.149999999999999">
      <c r="A7" t="s">
        <v>10</v>
      </c>
      <c r="C7" s="1" t="s">
        <v>11</v>
      </c>
      <c r="D7" s="7">
        <f>+PI()*(D6^2)/4/1000000</f>
        <v>7.980147994942649E-3</v>
      </c>
    </row>
    <row r="8" spans="1:4">
      <c r="A8" t="s">
        <v>4</v>
      </c>
      <c r="C8" s="1" t="s">
        <v>34</v>
      </c>
      <c r="D8" s="6">
        <v>1</v>
      </c>
    </row>
    <row r="9" spans="1:4">
      <c r="A9" t="s">
        <v>12</v>
      </c>
      <c r="D9" s="21" t="s">
        <v>36</v>
      </c>
    </row>
    <row r="10" spans="1:4" s="8" customFormat="1" ht="37.450000000000003" customHeight="1">
      <c r="A10" s="8" t="s">
        <v>20</v>
      </c>
      <c r="B10" s="13"/>
      <c r="C10" s="9" t="s">
        <v>22</v>
      </c>
      <c r="D10" s="19">
        <f>6.81*10^8*D2^1.82*D4^-4.71</f>
        <v>7.8955273912268344</v>
      </c>
    </row>
    <row r="11" spans="1:4" s="8" customFormat="1">
      <c r="A11" s="8" t="s">
        <v>35</v>
      </c>
      <c r="B11" s="13"/>
      <c r="C11" s="9"/>
      <c r="D11" s="19">
        <v>1.25</v>
      </c>
    </row>
    <row r="12" spans="1:4">
      <c r="A12" t="s">
        <v>33</v>
      </c>
      <c r="C12" s="1" t="s">
        <v>1</v>
      </c>
      <c r="D12" s="3">
        <f>+D10*D8*D11</f>
        <v>9.8694092390335424</v>
      </c>
    </row>
    <row r="13" spans="1:4">
      <c r="B13" s="12"/>
      <c r="D13" s="15"/>
    </row>
    <row r="14" spans="1:4" ht="19.05">
      <c r="B14" s="14"/>
    </row>
    <row r="15" spans="1:4">
      <c r="B15" s="12"/>
      <c r="D15" s="16"/>
    </row>
    <row r="16" spans="1:4" s="8" customFormat="1" ht="40.35" customHeight="1">
      <c r="B16" s="13"/>
      <c r="C16" s="9"/>
      <c r="D16" s="18"/>
    </row>
    <row r="17" spans="2:4" s="8" customFormat="1" ht="57.05" customHeight="1">
      <c r="B17" s="13"/>
      <c r="C17" s="9"/>
      <c r="D17" s="20"/>
    </row>
    <row r="18" spans="2:4" s="8" customFormat="1" ht="40.35" customHeight="1">
      <c r="B18" s="13"/>
      <c r="C18" s="9"/>
      <c r="D18" s="10"/>
    </row>
    <row r="19" spans="2:4" s="8" customFormat="1" ht="40.35" customHeight="1">
      <c r="B19" s="13"/>
      <c r="C19" s="9"/>
      <c r="D19" s="17"/>
    </row>
    <row r="20" spans="2:4">
      <c r="D20" s="3"/>
    </row>
  </sheetData>
  <pageMargins left="0.7" right="0.7" top="0.75" bottom="0.75" header="0.3" footer="0.3"/>
  <pageSetup paperSize="9" orientation="portrait" r:id="rId1"/>
  <legacyDrawing r:id="rId2"/>
  <oleObjects>
    <oleObject progId="Equation.3" shapeId="2053" r:id="rId3"/>
  </oleObjects>
</worksheet>
</file>

<file path=xl/worksheets/sheet3.xml><?xml version="1.0" encoding="utf-8"?>
<worksheet xmlns="http://schemas.openxmlformats.org/spreadsheetml/2006/main" xmlns:r="http://schemas.openxmlformats.org/officeDocument/2006/relationships">
  <dimension ref="A1:D20"/>
  <sheetViews>
    <sheetView zoomScale="130" zoomScaleNormal="130" workbookViewId="0">
      <selection sqref="A1:D12"/>
    </sheetView>
  </sheetViews>
  <sheetFormatPr defaultRowHeight="14.4"/>
  <cols>
    <col min="1" max="1" width="21.69921875" customWidth="1"/>
    <col min="2" max="2" width="22.8984375" style="11" customWidth="1"/>
    <col min="3" max="3" width="4.8984375" style="1" bestFit="1" customWidth="1"/>
    <col min="4" max="4" width="12.296875" style="2" customWidth="1"/>
  </cols>
  <sheetData>
    <row r="1" spans="1:4">
      <c r="A1" t="s">
        <v>5</v>
      </c>
      <c r="B1" s="11" t="s">
        <v>31</v>
      </c>
      <c r="C1" s="1" t="s">
        <v>6</v>
      </c>
      <c r="D1" s="4">
        <v>1</v>
      </c>
    </row>
    <row r="2" spans="1:4">
      <c r="A2" t="s">
        <v>7</v>
      </c>
      <c r="B2" s="11" t="s">
        <v>30</v>
      </c>
      <c r="C2" s="1" t="s">
        <v>32</v>
      </c>
      <c r="D2" s="3">
        <f>+D1*D7*1000</f>
        <v>7.9801479949426488</v>
      </c>
    </row>
    <row r="3" spans="1:4" ht="16.149999999999999">
      <c r="A3" t="s">
        <v>7</v>
      </c>
      <c r="C3" s="1" t="s">
        <v>9</v>
      </c>
      <c r="D3" s="4">
        <f>+D2*3.6</f>
        <v>28.728532781793536</v>
      </c>
    </row>
    <row r="4" spans="1:4">
      <c r="A4" t="s">
        <v>0</v>
      </c>
      <c r="C4" s="1" t="s">
        <v>15</v>
      </c>
      <c r="D4" s="5">
        <v>108</v>
      </c>
    </row>
    <row r="5" spans="1:4">
      <c r="A5" t="s">
        <v>2</v>
      </c>
      <c r="B5" s="11" t="s">
        <v>29</v>
      </c>
      <c r="C5" s="1" t="s">
        <v>15</v>
      </c>
      <c r="D5" s="5">
        <v>3.6</v>
      </c>
    </row>
    <row r="6" spans="1:4">
      <c r="A6" t="s">
        <v>3</v>
      </c>
      <c r="B6" s="11" t="s">
        <v>28</v>
      </c>
      <c r="C6" s="1" t="s">
        <v>1</v>
      </c>
      <c r="D6" s="5">
        <f>+D4-2*D5</f>
        <v>100.8</v>
      </c>
    </row>
    <row r="7" spans="1:4" ht="16.149999999999999">
      <c r="A7" t="s">
        <v>10</v>
      </c>
      <c r="C7" s="1" t="s">
        <v>11</v>
      </c>
      <c r="D7" s="7">
        <f>+PI()*(D6^2)/4/1000000</f>
        <v>7.980147994942649E-3</v>
      </c>
    </row>
    <row r="8" spans="1:4">
      <c r="A8" t="s">
        <v>4</v>
      </c>
      <c r="C8" s="1" t="s">
        <v>34</v>
      </c>
      <c r="D8" s="6">
        <v>1</v>
      </c>
    </row>
    <row r="9" spans="1:4">
      <c r="A9" t="s">
        <v>12</v>
      </c>
      <c r="D9" s="21" t="s">
        <v>37</v>
      </c>
    </row>
    <row r="10" spans="1:4" s="8" customFormat="1" ht="37.450000000000003" customHeight="1">
      <c r="A10" s="8" t="s">
        <v>20</v>
      </c>
      <c r="B10" s="13"/>
      <c r="C10" s="9" t="s">
        <v>22</v>
      </c>
      <c r="D10" s="19">
        <f>6.81*10^8*D2^1.83*D4^-4.83</f>
        <v>4.5961098846296942</v>
      </c>
    </row>
    <row r="11" spans="1:4" s="8" customFormat="1">
      <c r="A11" s="8" t="s">
        <v>35</v>
      </c>
      <c r="B11" s="13"/>
      <c r="C11" s="9"/>
      <c r="D11" s="19">
        <v>1</v>
      </c>
    </row>
    <row r="12" spans="1:4">
      <c r="A12" t="s">
        <v>33</v>
      </c>
      <c r="C12" s="1" t="s">
        <v>1</v>
      </c>
      <c r="D12" s="3">
        <f>+D10*D8*D11</f>
        <v>4.5961098846296942</v>
      </c>
    </row>
    <row r="13" spans="1:4">
      <c r="B13" s="12"/>
      <c r="D13" s="15"/>
    </row>
    <row r="14" spans="1:4" ht="19.05">
      <c r="B14" s="14"/>
    </row>
    <row r="15" spans="1:4">
      <c r="B15" s="12"/>
      <c r="D15" s="16"/>
    </row>
    <row r="16" spans="1:4" s="8" customFormat="1" ht="40.35" customHeight="1">
      <c r="B16" s="13"/>
      <c r="C16" s="9"/>
      <c r="D16" s="18"/>
    </row>
    <row r="17" spans="2:4" s="8" customFormat="1" ht="57.05" customHeight="1">
      <c r="B17" s="13"/>
      <c r="C17" s="9"/>
      <c r="D17" s="20"/>
    </row>
    <row r="18" spans="2:4" s="8" customFormat="1" ht="40.35" customHeight="1">
      <c r="B18" s="13"/>
      <c r="C18" s="9"/>
      <c r="D18" s="10"/>
    </row>
    <row r="19" spans="2:4" s="8" customFormat="1" ht="40.35" customHeight="1">
      <c r="B19" s="13"/>
      <c r="C19" s="9"/>
      <c r="D19" s="17"/>
    </row>
    <row r="20" spans="2:4">
      <c r="D20" s="3"/>
    </row>
  </sheetData>
  <pageMargins left="0.7" right="0.7" top="0.75" bottom="0.75" header="0.3" footer="0.3"/>
  <pageSetup paperSize="9" orientation="portrait" r:id="rId1"/>
  <legacyDrawing r:id="rId2"/>
  <oleObjects>
    <oleObject progId="Equation.3" shapeId="3073" r:id="rId3"/>
  </oleObjects>
</worksheet>
</file>

<file path=xl/worksheets/sheet4.xml><?xml version="1.0" encoding="utf-8"?>
<worksheet xmlns="http://schemas.openxmlformats.org/spreadsheetml/2006/main" xmlns:r="http://schemas.openxmlformats.org/officeDocument/2006/relationships">
  <dimension ref="A1:L43"/>
  <sheetViews>
    <sheetView tabSelected="1" zoomScale="115" zoomScaleNormal="115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O19" sqref="O19"/>
    </sheetView>
  </sheetViews>
  <sheetFormatPr defaultRowHeight="14.4"/>
  <cols>
    <col min="1" max="1" width="5.3984375" bestFit="1" customWidth="1"/>
    <col min="2" max="2" width="32.09765625" bestFit="1" customWidth="1"/>
    <col min="3" max="3" width="6.8984375" bestFit="1" customWidth="1"/>
    <col min="4" max="4" width="5.796875" customWidth="1"/>
    <col min="5" max="5" width="7.09765625" bestFit="1" customWidth="1"/>
    <col min="6" max="6" width="8.796875" bestFit="1" customWidth="1"/>
    <col min="7" max="7" width="7.19921875" bestFit="1" customWidth="1"/>
    <col min="8" max="8" width="8.19921875" bestFit="1" customWidth="1"/>
    <col min="9" max="9" width="5.796875" bestFit="1" customWidth="1"/>
    <col min="10" max="10" width="5.59765625" bestFit="1" customWidth="1"/>
    <col min="11" max="11" width="7.5" bestFit="1" customWidth="1"/>
    <col min="12" max="12" width="6.59765625" bestFit="1" customWidth="1"/>
  </cols>
  <sheetData>
    <row r="1" spans="1:12" s="23" customFormat="1" ht="28.8">
      <c r="A1" s="23" t="s">
        <v>38</v>
      </c>
      <c r="B1" s="23" t="s">
        <v>39</v>
      </c>
      <c r="C1" s="23" t="s">
        <v>7</v>
      </c>
      <c r="D1" s="23" t="s">
        <v>25</v>
      </c>
      <c r="E1" s="23" t="s">
        <v>58</v>
      </c>
      <c r="F1" s="23" t="s">
        <v>40</v>
      </c>
      <c r="G1" s="23" t="s">
        <v>5</v>
      </c>
      <c r="H1" s="23" t="s">
        <v>3</v>
      </c>
      <c r="I1" s="23" t="s">
        <v>64</v>
      </c>
      <c r="J1" s="23" t="s">
        <v>65</v>
      </c>
      <c r="K1" s="23" t="s">
        <v>43</v>
      </c>
      <c r="L1" s="23" t="s">
        <v>44</v>
      </c>
    </row>
    <row r="2" spans="1:12" s="23" customFormat="1">
      <c r="C2" s="23" t="s">
        <v>42</v>
      </c>
      <c r="F2" s="23" t="s">
        <v>1</v>
      </c>
      <c r="G2" s="23" t="s">
        <v>6</v>
      </c>
      <c r="H2" s="23" t="s">
        <v>15</v>
      </c>
      <c r="I2" s="23" t="s">
        <v>15</v>
      </c>
      <c r="J2" s="23" t="s">
        <v>15</v>
      </c>
      <c r="K2" s="23" t="s">
        <v>23</v>
      </c>
      <c r="L2" s="23" t="s">
        <v>1</v>
      </c>
    </row>
    <row r="3" spans="1:12">
      <c r="A3" t="s">
        <v>41</v>
      </c>
      <c r="B3" t="s">
        <v>54</v>
      </c>
      <c r="C3">
        <f>13.4/1000</f>
        <v>1.34E-2</v>
      </c>
      <c r="D3" s="27">
        <v>0</v>
      </c>
      <c r="E3" s="24">
        <v>0</v>
      </c>
      <c r="F3" s="24">
        <f>6.38+2.15+0.29</f>
        <v>8.8199999999999985</v>
      </c>
      <c r="G3" s="25">
        <f>+C3/PI()/(H3/1000)^2*4</f>
        <v>2.506726890644801</v>
      </c>
      <c r="H3" s="26">
        <f>+J3-2*I3</f>
        <v>82.5</v>
      </c>
      <c r="I3" s="26">
        <v>3.2</v>
      </c>
      <c r="J3" s="26">
        <v>88.9</v>
      </c>
      <c r="K3" s="3">
        <v>8.5534530439757617E-2</v>
      </c>
      <c r="L3" s="24">
        <f>+K3*F3</f>
        <v>0.75441455847866201</v>
      </c>
    </row>
    <row r="4" spans="1:12">
      <c r="B4" t="s">
        <v>50</v>
      </c>
      <c r="C4">
        <f>13.4/1000</f>
        <v>1.34E-2</v>
      </c>
      <c r="D4" s="27">
        <v>0</v>
      </c>
      <c r="E4" s="24">
        <f>0.6*1.41</f>
        <v>0.84599999999999997</v>
      </c>
      <c r="F4" s="24">
        <f>+D4*E4*H4/1000</f>
        <v>0</v>
      </c>
      <c r="G4" s="25">
        <f>+C4/PI()/(H4/1000)^2*4</f>
        <v>2.506726890644801</v>
      </c>
      <c r="H4" s="26">
        <f>+J4-2*I4</f>
        <v>82.5</v>
      </c>
      <c r="I4" s="26">
        <v>3.2</v>
      </c>
      <c r="J4" s="26">
        <v>88.9</v>
      </c>
      <c r="K4" s="3">
        <v>8.5534530439757617E-2</v>
      </c>
      <c r="L4" s="24">
        <f t="shared" ref="L4:L9" si="0">+K4*F4</f>
        <v>0</v>
      </c>
    </row>
    <row r="5" spans="1:12">
      <c r="B5" t="s">
        <v>51</v>
      </c>
      <c r="C5">
        <f t="shared" ref="C5:C9" si="1">13.4/1000</f>
        <v>1.34E-2</v>
      </c>
      <c r="D5" s="27">
        <v>5</v>
      </c>
      <c r="E5" s="24">
        <f>1.5*1.41</f>
        <v>2.1149999999999998</v>
      </c>
      <c r="F5" s="24">
        <f t="shared" ref="F5:F9" si="2">+D5*E5*H5/1000</f>
        <v>0.87243749999999987</v>
      </c>
      <c r="G5" s="25">
        <f>+C5/PI()/(H5/1000)^2*4</f>
        <v>2.506726890644801</v>
      </c>
      <c r="H5" s="26">
        <f>+J5-2*I5</f>
        <v>82.5</v>
      </c>
      <c r="I5" s="26">
        <v>3.2</v>
      </c>
      <c r="J5" s="26">
        <v>88.9</v>
      </c>
      <c r="K5" s="3">
        <v>8.5534530439757617E-2</v>
      </c>
      <c r="L5" s="24">
        <f t="shared" si="0"/>
        <v>7.4623531900536028E-2</v>
      </c>
    </row>
    <row r="6" spans="1:12">
      <c r="B6" t="s">
        <v>52</v>
      </c>
      <c r="C6">
        <f t="shared" si="1"/>
        <v>1.34E-2</v>
      </c>
      <c r="D6" s="27">
        <v>0</v>
      </c>
      <c r="E6" s="24">
        <f>1.1*1.41</f>
        <v>1.5509999999999999</v>
      </c>
      <c r="F6" s="24">
        <f t="shared" si="2"/>
        <v>0</v>
      </c>
      <c r="G6" s="25">
        <f>+C6/PI()/(H6/1000)^2*4</f>
        <v>2.506726890644801</v>
      </c>
      <c r="H6" s="26">
        <f>+J6-2*I6</f>
        <v>82.5</v>
      </c>
      <c r="I6" s="26">
        <v>3.2</v>
      </c>
      <c r="J6" s="26">
        <v>88.9</v>
      </c>
      <c r="K6" s="3">
        <v>8.5534530439757617E-2</v>
      </c>
      <c r="L6" s="24">
        <f t="shared" si="0"/>
        <v>0</v>
      </c>
    </row>
    <row r="7" spans="1:12">
      <c r="B7" t="s">
        <v>53</v>
      </c>
      <c r="C7">
        <f t="shared" si="1"/>
        <v>1.34E-2</v>
      </c>
      <c r="D7" s="27">
        <v>0</v>
      </c>
      <c r="E7" s="24">
        <f>3.2*1.41</f>
        <v>4.5119999999999996</v>
      </c>
      <c r="F7" s="24">
        <f t="shared" si="2"/>
        <v>0</v>
      </c>
      <c r="G7" s="25">
        <f>+C7/PI()/(H7/1000)^2*4</f>
        <v>2.4706593478999213</v>
      </c>
      <c r="H7" s="26">
        <f>+J7-2*I7</f>
        <v>83.100000000000009</v>
      </c>
      <c r="I7" s="26">
        <v>2.9</v>
      </c>
      <c r="J7" s="26">
        <v>88.9</v>
      </c>
      <c r="K7" s="3">
        <v>8.5534530439757617E-2</v>
      </c>
      <c r="L7" s="24">
        <f t="shared" si="0"/>
        <v>0</v>
      </c>
    </row>
    <row r="8" spans="1:12">
      <c r="B8" t="s">
        <v>45</v>
      </c>
      <c r="C8">
        <f t="shared" si="1"/>
        <v>1.34E-2</v>
      </c>
      <c r="D8" s="27">
        <v>2</v>
      </c>
      <c r="E8" s="24">
        <f>0.2*1.41</f>
        <v>0.28199999999999997</v>
      </c>
      <c r="F8" s="24">
        <f t="shared" si="2"/>
        <v>4.6529999999999995E-2</v>
      </c>
      <c r="G8" s="25">
        <f>+C8/PI()/(H8/1000)^2*4</f>
        <v>2.506726890644801</v>
      </c>
      <c r="H8" s="26">
        <f t="shared" ref="H8" si="3">+J8-2*I8</f>
        <v>82.5</v>
      </c>
      <c r="I8" s="26">
        <v>3.2</v>
      </c>
      <c r="J8" s="26">
        <v>88.9</v>
      </c>
      <c r="K8" s="3">
        <v>8.5534530439757617E-2</v>
      </c>
      <c r="L8" s="24">
        <f t="shared" si="0"/>
        <v>3.9799217013619216E-3</v>
      </c>
    </row>
    <row r="9" spans="1:12">
      <c r="B9" t="s">
        <v>56</v>
      </c>
      <c r="C9">
        <f t="shared" si="1"/>
        <v>1.34E-2</v>
      </c>
      <c r="D9" s="27">
        <v>1</v>
      </c>
      <c r="E9" s="24">
        <f>1.41*3.4</f>
        <v>4.7939999999999996</v>
      </c>
      <c r="F9" s="24">
        <f t="shared" si="2"/>
        <v>0.39550499999999994</v>
      </c>
      <c r="G9" s="25">
        <f>+C9/PI()/(H9/1000)^2*4</f>
        <v>2.506726890644801</v>
      </c>
      <c r="H9" s="26">
        <f>+J9-2*I9</f>
        <v>82.5</v>
      </c>
      <c r="I9" s="26">
        <v>3.2</v>
      </c>
      <c r="J9" s="26">
        <v>88.9</v>
      </c>
      <c r="K9" s="3">
        <v>8.5534530439757617E-2</v>
      </c>
      <c r="L9" s="24">
        <f t="shared" si="0"/>
        <v>3.3829334461576328E-2</v>
      </c>
    </row>
    <row r="10" spans="1:12" s="22" customFormat="1" ht="15" thickBot="1">
      <c r="A10" s="29"/>
      <c r="B10" s="29" t="s">
        <v>55</v>
      </c>
      <c r="C10" s="29"/>
      <c r="D10" s="34"/>
      <c r="E10" s="35"/>
      <c r="F10" s="35"/>
      <c r="G10" s="36"/>
      <c r="H10" s="37"/>
      <c r="I10" s="37"/>
      <c r="J10" s="37"/>
      <c r="K10" s="29"/>
      <c r="L10" s="35">
        <f>SUM(L3:L9)</f>
        <v>0.86684734654213635</v>
      </c>
    </row>
    <row r="11" spans="1:12" ht="15" thickTop="1">
      <c r="A11" t="s">
        <v>49</v>
      </c>
      <c r="B11" t="s">
        <v>57</v>
      </c>
      <c r="C11">
        <f>13.4/1000</f>
        <v>1.34E-2</v>
      </c>
      <c r="D11" s="27">
        <v>0</v>
      </c>
      <c r="E11" s="24">
        <v>0</v>
      </c>
      <c r="F11" s="24">
        <f>10.88-6.38+1.12-0.29</f>
        <v>5.330000000000001</v>
      </c>
      <c r="G11" s="25">
        <f>+C11/PI()/(H11/1000)^2*4</f>
        <v>2.506726890644801</v>
      </c>
      <c r="H11" s="26">
        <f>+J11-2*I11</f>
        <v>82.5</v>
      </c>
      <c r="I11" s="26">
        <v>3.2</v>
      </c>
      <c r="J11" s="26">
        <v>88.9</v>
      </c>
      <c r="K11" s="3">
        <v>8.5534530439757617E-2</v>
      </c>
      <c r="L11" s="24">
        <f>+K11*F11</f>
        <v>0.45589904724390817</v>
      </c>
    </row>
    <row r="12" spans="1:12">
      <c r="B12" t="s">
        <v>50</v>
      </c>
      <c r="C12">
        <f>13.4/1000</f>
        <v>1.34E-2</v>
      </c>
      <c r="D12" s="27">
        <v>0</v>
      </c>
      <c r="E12" s="24">
        <f>0.6*1.41</f>
        <v>0.84599999999999997</v>
      </c>
      <c r="F12" s="24">
        <f>+D12*E12*H12/1000</f>
        <v>0</v>
      </c>
      <c r="G12" s="25">
        <f>+C12/PI()/(H12/1000)^2*4</f>
        <v>2.506726890644801</v>
      </c>
      <c r="H12" s="26">
        <f>+J12-2*I12</f>
        <v>82.5</v>
      </c>
      <c r="I12" s="26">
        <v>3.2</v>
      </c>
      <c r="J12" s="26">
        <v>88.9</v>
      </c>
      <c r="K12" s="3">
        <v>8.5534530439757617E-2</v>
      </c>
      <c r="L12" s="24">
        <f t="shared" ref="L12:L17" si="4">+K12*F12</f>
        <v>0</v>
      </c>
    </row>
    <row r="13" spans="1:12">
      <c r="B13" t="s">
        <v>51</v>
      </c>
      <c r="C13">
        <f t="shared" ref="C13:C17" si="5">13.4/1000</f>
        <v>1.34E-2</v>
      </c>
      <c r="D13" s="27">
        <v>1</v>
      </c>
      <c r="E13" s="24">
        <f>1.5*1.41</f>
        <v>2.1149999999999998</v>
      </c>
      <c r="F13" s="24">
        <f t="shared" ref="F13:F17" si="6">+D13*E13*H13/1000</f>
        <v>0.17448749999999999</v>
      </c>
      <c r="G13" s="25">
        <f>+C13/PI()/(H13/1000)^2*4</f>
        <v>2.506726890644801</v>
      </c>
      <c r="H13" s="26">
        <f>+J13-2*I13</f>
        <v>82.5</v>
      </c>
      <c r="I13" s="26">
        <v>3.2</v>
      </c>
      <c r="J13" s="26">
        <v>88.9</v>
      </c>
      <c r="K13" s="3">
        <v>8.5534530439757617E-2</v>
      </c>
      <c r="L13" s="24">
        <f t="shared" si="4"/>
        <v>1.4924706380107206E-2</v>
      </c>
    </row>
    <row r="14" spans="1:12">
      <c r="B14" t="s">
        <v>52</v>
      </c>
      <c r="C14">
        <f t="shared" si="5"/>
        <v>1.34E-2</v>
      </c>
      <c r="D14" s="27">
        <v>0</v>
      </c>
      <c r="E14" s="24">
        <f>1.1*1.41</f>
        <v>1.5509999999999999</v>
      </c>
      <c r="F14" s="24">
        <f t="shared" si="6"/>
        <v>0</v>
      </c>
      <c r="G14" s="25">
        <f>+C14/PI()/(H14/1000)^2*4</f>
        <v>2.506726890644801</v>
      </c>
      <c r="H14" s="26">
        <f>+J14-2*I14</f>
        <v>82.5</v>
      </c>
      <c r="I14" s="26">
        <v>3.2</v>
      </c>
      <c r="J14" s="26">
        <v>88.9</v>
      </c>
      <c r="K14" s="3">
        <v>8.5534530439757617E-2</v>
      </c>
      <c r="L14" s="24">
        <f t="shared" si="4"/>
        <v>0</v>
      </c>
    </row>
    <row r="15" spans="1:12">
      <c r="B15" t="s">
        <v>53</v>
      </c>
      <c r="C15">
        <f t="shared" si="5"/>
        <v>1.34E-2</v>
      </c>
      <c r="D15" s="27">
        <v>1</v>
      </c>
      <c r="E15" s="24">
        <f>3.2*1.41</f>
        <v>4.5119999999999996</v>
      </c>
      <c r="F15" s="24">
        <f t="shared" si="6"/>
        <v>0.37494720000000004</v>
      </c>
      <c r="G15" s="25">
        <f>+C15/PI()/(H15/1000)^2*4</f>
        <v>2.4706593478999213</v>
      </c>
      <c r="H15" s="26">
        <f>+J15-2*I15</f>
        <v>83.100000000000009</v>
      </c>
      <c r="I15" s="26">
        <v>2.9</v>
      </c>
      <c r="J15" s="26">
        <v>88.9</v>
      </c>
      <c r="K15" s="3">
        <v>8.5534530439757617E-2</v>
      </c>
      <c r="L15" s="24">
        <f t="shared" si="4"/>
        <v>3.2070932691701894E-2</v>
      </c>
    </row>
    <row r="16" spans="1:12">
      <c r="B16" t="s">
        <v>45</v>
      </c>
      <c r="C16">
        <f t="shared" si="5"/>
        <v>1.34E-2</v>
      </c>
      <c r="D16" s="27">
        <v>1</v>
      </c>
      <c r="E16" s="24">
        <f>0.2*1.41</f>
        <v>0.28199999999999997</v>
      </c>
      <c r="F16" s="24">
        <f t="shared" si="6"/>
        <v>2.3264999999999997E-2</v>
      </c>
      <c r="G16" s="25">
        <f>+C16/PI()/(H16/1000)^2*4</f>
        <v>2.506726890644801</v>
      </c>
      <c r="H16" s="26">
        <f t="shared" ref="H16" si="7">+J16-2*I16</f>
        <v>82.5</v>
      </c>
      <c r="I16" s="26">
        <v>3.2</v>
      </c>
      <c r="J16" s="26">
        <v>88.9</v>
      </c>
      <c r="K16" s="3">
        <v>8.5534530439757617E-2</v>
      </c>
      <c r="L16" s="24">
        <f t="shared" si="4"/>
        <v>1.9899608506809608E-3</v>
      </c>
    </row>
    <row r="17" spans="1:12">
      <c r="B17" t="s">
        <v>56</v>
      </c>
      <c r="C17">
        <f t="shared" si="5"/>
        <v>1.34E-2</v>
      </c>
      <c r="D17" s="27">
        <v>0</v>
      </c>
      <c r="E17" s="24">
        <f>1.41*3.4</f>
        <v>4.7939999999999996</v>
      </c>
      <c r="F17" s="24">
        <f t="shared" si="6"/>
        <v>0</v>
      </c>
      <c r="G17" s="25">
        <f>+C17/PI()/(H17/1000)^2*4</f>
        <v>2.506726890644801</v>
      </c>
      <c r="H17" s="26">
        <f>+J17-2*I17</f>
        <v>82.5</v>
      </c>
      <c r="I17" s="26">
        <v>3.2</v>
      </c>
      <c r="J17" s="26">
        <v>88.9</v>
      </c>
      <c r="K17" s="3">
        <v>8.5534530439757617E-2</v>
      </c>
      <c r="L17" s="24">
        <f t="shared" si="4"/>
        <v>0</v>
      </c>
    </row>
    <row r="18" spans="1:12" ht="15" thickBot="1">
      <c r="A18" s="28"/>
      <c r="B18" s="29" t="s">
        <v>55</v>
      </c>
      <c r="C18" s="28"/>
      <c r="D18" s="30"/>
      <c r="E18" s="31"/>
      <c r="F18" s="31"/>
      <c r="G18" s="32"/>
      <c r="H18" s="33"/>
      <c r="I18" s="33"/>
      <c r="J18" s="33"/>
      <c r="K18" s="29"/>
      <c r="L18" s="35">
        <f>SUM(L11:L17)</f>
        <v>0.50488464716639825</v>
      </c>
    </row>
    <row r="19" spans="1:12" ht="15" thickTop="1">
      <c r="A19" t="s">
        <v>46</v>
      </c>
      <c r="B19" t="s">
        <v>59</v>
      </c>
      <c r="C19">
        <f>13.4/1000/2</f>
        <v>6.7000000000000002E-3</v>
      </c>
      <c r="D19" s="27">
        <v>0</v>
      </c>
      <c r="E19" s="24">
        <v>0</v>
      </c>
      <c r="F19" s="24">
        <f>10.93/2+3.31-1.12</f>
        <v>7.6550000000000002</v>
      </c>
      <c r="G19" s="25">
        <f>+C19/PI()/(H19/1000)^2*4</f>
        <v>2.5623195785664783</v>
      </c>
      <c r="H19" s="26">
        <f>+J19-2*I19</f>
        <v>57.7</v>
      </c>
      <c r="I19" s="26">
        <v>2.9</v>
      </c>
      <c r="J19" s="26">
        <v>63.5</v>
      </c>
      <c r="K19" s="3">
        <v>0.13984585357114449</v>
      </c>
      <c r="L19" s="24">
        <f>+K19*F19</f>
        <v>1.070520009087111</v>
      </c>
    </row>
    <row r="20" spans="1:12">
      <c r="B20" t="s">
        <v>50</v>
      </c>
      <c r="C20">
        <f t="shared" ref="C20:C25" si="8">13.4/1000/2</f>
        <v>6.7000000000000002E-3</v>
      </c>
      <c r="D20" s="27">
        <v>0</v>
      </c>
      <c r="E20" s="24">
        <f>0.6*1.41</f>
        <v>0.84599999999999997</v>
      </c>
      <c r="F20" s="24">
        <f>+D20*E20*H20/1000</f>
        <v>0</v>
      </c>
      <c r="G20" s="25">
        <f>+C20/PI()/(H20/1000)^2*4</f>
        <v>2.5623195785664783</v>
      </c>
      <c r="H20" s="26">
        <f>+J20-2*I20</f>
        <v>57.7</v>
      </c>
      <c r="I20" s="26">
        <v>2.9</v>
      </c>
      <c r="J20" s="26">
        <v>63.5</v>
      </c>
      <c r="K20" s="3">
        <v>0.13984585357114449</v>
      </c>
      <c r="L20" s="24">
        <f t="shared" ref="L20:L25" si="9">+K20*F20</f>
        <v>0</v>
      </c>
    </row>
    <row r="21" spans="1:12">
      <c r="B21" t="s">
        <v>51</v>
      </c>
      <c r="C21">
        <f t="shared" si="8"/>
        <v>6.7000000000000002E-3</v>
      </c>
      <c r="D21" s="27">
        <v>1</v>
      </c>
      <c r="E21" s="24">
        <f>1.3*1.41</f>
        <v>1.833</v>
      </c>
      <c r="F21" s="24">
        <f t="shared" ref="F21:F25" si="10">+D21*E21*H21/1000</f>
        <v>0.1057641</v>
      </c>
      <c r="G21" s="25">
        <f>+C21/PI()/(H21/1000)^2*4</f>
        <v>2.5623195785664783</v>
      </c>
      <c r="H21" s="26">
        <f>+J21-2*I21</f>
        <v>57.7</v>
      </c>
      <c r="I21" s="26">
        <v>2.9</v>
      </c>
      <c r="J21" s="26">
        <v>63.5</v>
      </c>
      <c r="K21" s="3">
        <v>0.13984585357114449</v>
      </c>
      <c r="L21" s="24">
        <f t="shared" si="9"/>
        <v>1.4790670841683883E-2</v>
      </c>
    </row>
    <row r="22" spans="1:12">
      <c r="B22" t="s">
        <v>52</v>
      </c>
      <c r="C22">
        <f t="shared" si="8"/>
        <v>6.7000000000000002E-3</v>
      </c>
      <c r="D22" s="27">
        <v>0</v>
      </c>
      <c r="E22" s="24">
        <f>0.9*1.41</f>
        <v>1.2689999999999999</v>
      </c>
      <c r="F22" s="24">
        <f t="shared" si="10"/>
        <v>0</v>
      </c>
      <c r="G22" s="25">
        <f>+C22/PI()/(H22/1000)^2*4</f>
        <v>2.5623195785664783</v>
      </c>
      <c r="H22" s="26">
        <f>+J22-2*I22</f>
        <v>57.7</v>
      </c>
      <c r="I22" s="26">
        <v>2.9</v>
      </c>
      <c r="J22" s="26">
        <v>63.5</v>
      </c>
      <c r="K22" s="3">
        <v>0.13984585357114449</v>
      </c>
      <c r="L22" s="24">
        <f t="shared" si="9"/>
        <v>0</v>
      </c>
    </row>
    <row r="23" spans="1:12">
      <c r="B23" t="s">
        <v>53</v>
      </c>
      <c r="C23">
        <f t="shared" si="8"/>
        <v>6.7000000000000002E-3</v>
      </c>
      <c r="D23" s="27">
        <v>1</v>
      </c>
      <c r="E23" s="24">
        <f>2.6*1.41</f>
        <v>3.6659999999999999</v>
      </c>
      <c r="F23" s="24">
        <f t="shared" si="10"/>
        <v>0.2115282</v>
      </c>
      <c r="G23" s="25">
        <f>+C23/PI()/(H23/1000)^2*4</f>
        <v>2.5623195785664783</v>
      </c>
      <c r="H23" s="26">
        <f>+J23-2*I23</f>
        <v>57.7</v>
      </c>
      <c r="I23" s="26">
        <v>2.9</v>
      </c>
      <c r="J23" s="26">
        <v>63.5</v>
      </c>
      <c r="K23" s="3">
        <v>0.13984585357114449</v>
      </c>
      <c r="L23" s="24">
        <f t="shared" si="9"/>
        <v>2.9581341683367766E-2</v>
      </c>
    </row>
    <row r="24" spans="1:12">
      <c r="B24" t="s">
        <v>45</v>
      </c>
      <c r="C24">
        <f t="shared" si="8"/>
        <v>6.7000000000000002E-3</v>
      </c>
      <c r="D24" s="27">
        <v>2</v>
      </c>
      <c r="E24" s="24">
        <f>0.2*1.41</f>
        <v>0.28199999999999997</v>
      </c>
      <c r="F24" s="24">
        <f t="shared" si="10"/>
        <v>3.2542799999999997E-2</v>
      </c>
      <c r="G24" s="25">
        <f>+C24/PI()/(H24/1000)^2*4</f>
        <v>2.5623195785664783</v>
      </c>
      <c r="H24" s="26">
        <f t="shared" ref="H24" si="11">+J24-2*I24</f>
        <v>57.7</v>
      </c>
      <c r="I24" s="26">
        <v>2.9</v>
      </c>
      <c r="J24" s="26">
        <v>63.5</v>
      </c>
      <c r="K24" s="3">
        <v>0.13984585357114449</v>
      </c>
      <c r="L24" s="24">
        <f t="shared" si="9"/>
        <v>4.5509756435950406E-3</v>
      </c>
    </row>
    <row r="25" spans="1:12">
      <c r="B25" t="s">
        <v>56</v>
      </c>
      <c r="C25">
        <f t="shared" si="8"/>
        <v>6.7000000000000002E-3</v>
      </c>
      <c r="D25" s="27">
        <v>0</v>
      </c>
      <c r="E25" s="24">
        <f>1.41*3</f>
        <v>4.2299999999999995</v>
      </c>
      <c r="F25" s="24">
        <f t="shared" si="10"/>
        <v>0</v>
      </c>
      <c r="G25" s="25">
        <f>+C25/PI()/(H25/1000)^2*4</f>
        <v>2.5623195785664783</v>
      </c>
      <c r="H25" s="26">
        <f>+J25-2*I25</f>
        <v>57.7</v>
      </c>
      <c r="I25" s="26">
        <v>2.9</v>
      </c>
      <c r="J25" s="26">
        <v>63.5</v>
      </c>
      <c r="K25" s="3">
        <v>0.13984585357114449</v>
      </c>
      <c r="L25" s="24">
        <f t="shared" si="9"/>
        <v>0</v>
      </c>
    </row>
    <row r="26" spans="1:12" ht="15" thickBot="1">
      <c r="A26" s="28"/>
      <c r="B26" s="29" t="s">
        <v>55</v>
      </c>
      <c r="C26" s="28"/>
      <c r="D26" s="30"/>
      <c r="E26" s="31"/>
      <c r="F26" s="31"/>
      <c r="G26" s="32"/>
      <c r="H26" s="33"/>
      <c r="I26" s="33"/>
      <c r="J26" s="33"/>
      <c r="K26" s="29"/>
      <c r="L26" s="35">
        <f>SUM(L19:L25)</f>
        <v>1.1194429972557576</v>
      </c>
    </row>
    <row r="27" spans="1:12" ht="15" thickTop="1">
      <c r="A27" t="s">
        <v>47</v>
      </c>
      <c r="B27" t="s">
        <v>60</v>
      </c>
      <c r="C27" s="2">
        <f>13.4/1000/2/3*2</f>
        <v>4.4666666666666665E-3</v>
      </c>
      <c r="D27" s="27">
        <v>0</v>
      </c>
      <c r="E27" s="24">
        <v>0</v>
      </c>
      <c r="F27" s="24">
        <f>5.71-3.31</f>
        <v>2.4</v>
      </c>
      <c r="G27" s="25">
        <f>+C27/PI()/(H27/1000)^2*4</f>
        <v>1.708213052377652</v>
      </c>
      <c r="H27" s="26">
        <f>+J27-2*I27</f>
        <v>57.7</v>
      </c>
      <c r="I27" s="26">
        <v>2.9</v>
      </c>
      <c r="J27" s="26">
        <v>63.5</v>
      </c>
      <c r="K27" s="3">
        <v>6.3906503699219602E-2</v>
      </c>
      <c r="L27" s="24">
        <f>+K27*F27</f>
        <v>0.15337560887812704</v>
      </c>
    </row>
    <row r="28" spans="1:12">
      <c r="B28" t="s">
        <v>50</v>
      </c>
      <c r="C28" s="2">
        <f t="shared" ref="C28:C32" si="12">13.4/1000/2/3*2</f>
        <v>4.4666666666666665E-3</v>
      </c>
      <c r="D28" s="27">
        <v>0</v>
      </c>
      <c r="E28" s="24">
        <f>0.6*1.41</f>
        <v>0.84599999999999997</v>
      </c>
      <c r="F28" s="24">
        <f>+D28*E28*H28/1000</f>
        <v>0</v>
      </c>
      <c r="G28" s="25">
        <f>+C28/PI()/(H28/1000)^2*4</f>
        <v>1.708213052377652</v>
      </c>
      <c r="H28" s="26">
        <f>+J28-2*I28</f>
        <v>57.7</v>
      </c>
      <c r="I28" s="26">
        <v>2.9</v>
      </c>
      <c r="J28" s="26">
        <v>63.5</v>
      </c>
      <c r="K28" s="3">
        <v>6.3906503699219602E-2</v>
      </c>
      <c r="L28" s="24">
        <f t="shared" ref="L28:L33" si="13">+K28*F28</f>
        <v>0</v>
      </c>
    </row>
    <row r="29" spans="1:12">
      <c r="B29" t="s">
        <v>51</v>
      </c>
      <c r="C29" s="2">
        <f t="shared" si="12"/>
        <v>4.4666666666666665E-3</v>
      </c>
      <c r="D29" s="27">
        <v>0</v>
      </c>
      <c r="E29" s="24">
        <f>1.5*1.41</f>
        <v>2.1149999999999998</v>
      </c>
      <c r="F29" s="24">
        <f t="shared" ref="F29:F33" si="14">+D29*E29*H29/1000</f>
        <v>0</v>
      </c>
      <c r="G29" s="25">
        <f>+C29/PI()/(H29/1000)^2*4</f>
        <v>1.708213052377652</v>
      </c>
      <c r="H29" s="26">
        <f>+J29-2*I29</f>
        <v>57.7</v>
      </c>
      <c r="I29" s="26">
        <v>2.9</v>
      </c>
      <c r="J29" s="26">
        <v>63.5</v>
      </c>
      <c r="K29" s="3">
        <v>6.3906503699219602E-2</v>
      </c>
      <c r="L29" s="24">
        <f t="shared" si="13"/>
        <v>0</v>
      </c>
    </row>
    <row r="30" spans="1:12">
      <c r="B30" t="s">
        <v>52</v>
      </c>
      <c r="C30" s="2">
        <f t="shared" si="12"/>
        <v>4.4666666666666665E-3</v>
      </c>
      <c r="D30" s="27">
        <v>0</v>
      </c>
      <c r="E30" s="24">
        <f>1.1*1.41</f>
        <v>1.5509999999999999</v>
      </c>
      <c r="F30" s="24">
        <f t="shared" si="14"/>
        <v>0</v>
      </c>
      <c r="G30" s="25">
        <f>+C30/PI()/(H30/1000)^2*4</f>
        <v>1.708213052377652</v>
      </c>
      <c r="H30" s="26">
        <f>+J30-2*I30</f>
        <v>57.7</v>
      </c>
      <c r="I30" s="26">
        <v>2.9</v>
      </c>
      <c r="J30" s="26">
        <v>63.5</v>
      </c>
      <c r="K30" s="3">
        <v>6.3906503699219602E-2</v>
      </c>
      <c r="L30" s="24">
        <f t="shared" si="13"/>
        <v>0</v>
      </c>
    </row>
    <row r="31" spans="1:12">
      <c r="B31" t="s">
        <v>53</v>
      </c>
      <c r="C31" s="2">
        <f t="shared" si="12"/>
        <v>4.4666666666666665E-3</v>
      </c>
      <c r="D31" s="27">
        <v>1</v>
      </c>
      <c r="E31" s="24">
        <f>3.2*1.41</f>
        <v>4.5119999999999996</v>
      </c>
      <c r="F31" s="24">
        <f t="shared" si="14"/>
        <v>0.26034239999999997</v>
      </c>
      <c r="G31" s="25">
        <f>+C31/PI()/(H31/1000)^2*4</f>
        <v>1.708213052377652</v>
      </c>
      <c r="H31" s="26">
        <f>+J31-2*I31</f>
        <v>57.7</v>
      </c>
      <c r="I31" s="26">
        <v>2.9</v>
      </c>
      <c r="J31" s="26">
        <v>63.5</v>
      </c>
      <c r="K31" s="3">
        <v>6.3906503699219602E-2</v>
      </c>
      <c r="L31" s="24">
        <f t="shared" si="13"/>
        <v>1.6637572548663708E-2</v>
      </c>
    </row>
    <row r="32" spans="1:12">
      <c r="B32" t="s">
        <v>45</v>
      </c>
      <c r="C32" s="2">
        <f t="shared" si="12"/>
        <v>4.4666666666666665E-3</v>
      </c>
      <c r="D32" s="27">
        <v>0</v>
      </c>
      <c r="E32" s="24">
        <f>0.2*1.41</f>
        <v>0.28199999999999997</v>
      </c>
      <c r="F32" s="24">
        <f t="shared" si="14"/>
        <v>0</v>
      </c>
      <c r="G32" s="25">
        <f>+C32/PI()/(H32/1000)^2*4</f>
        <v>1.708213052377652</v>
      </c>
      <c r="H32" s="26">
        <f t="shared" ref="H32" si="15">+J32-2*I32</f>
        <v>57.7</v>
      </c>
      <c r="I32" s="26">
        <v>2.9</v>
      </c>
      <c r="J32" s="26">
        <v>63.5</v>
      </c>
      <c r="K32" s="3">
        <v>6.3906503699219602E-2</v>
      </c>
      <c r="L32" s="24">
        <f t="shared" si="13"/>
        <v>0</v>
      </c>
    </row>
    <row r="33" spans="1:12">
      <c r="B33" t="s">
        <v>56</v>
      </c>
      <c r="C33" s="2">
        <f>13.4/1000/2/3*2</f>
        <v>4.4666666666666665E-3</v>
      </c>
      <c r="D33" s="27">
        <v>0</v>
      </c>
      <c r="E33" s="24">
        <f>1.41*3.4</f>
        <v>4.7939999999999996</v>
      </c>
      <c r="F33" s="24">
        <f t="shared" si="14"/>
        <v>0</v>
      </c>
      <c r="G33" s="25">
        <f>+C33/PI()/(H33/1000)^2*4</f>
        <v>1.708213052377652</v>
      </c>
      <c r="H33" s="26">
        <f>+J33-2*I33</f>
        <v>57.7</v>
      </c>
      <c r="I33" s="26">
        <v>2.9</v>
      </c>
      <c r="J33" s="26">
        <v>63.5</v>
      </c>
      <c r="K33" s="3">
        <v>6.3906503699219602E-2</v>
      </c>
      <c r="L33" s="24">
        <f t="shared" si="13"/>
        <v>0</v>
      </c>
    </row>
    <row r="34" spans="1:12" ht="15" thickBot="1">
      <c r="A34" s="28"/>
      <c r="B34" s="29" t="s">
        <v>55</v>
      </c>
      <c r="C34" s="41"/>
      <c r="D34" s="30"/>
      <c r="E34" s="31"/>
      <c r="F34" s="31"/>
      <c r="G34" s="32"/>
      <c r="H34" s="33"/>
      <c r="I34" s="33"/>
      <c r="J34" s="33"/>
      <c r="K34" s="29"/>
      <c r="L34" s="35">
        <f>SUM(L27:L33)</f>
        <v>0.17001318142679075</v>
      </c>
    </row>
    <row r="35" spans="1:12" ht="15" thickTop="1">
      <c r="A35" t="s">
        <v>48</v>
      </c>
      <c r="B35" t="s">
        <v>61</v>
      </c>
      <c r="C35" s="2">
        <f>13.4/1000/2/3*2/2</f>
        <v>2.2333333333333333E-3</v>
      </c>
      <c r="D35" s="27">
        <v>0</v>
      </c>
      <c r="E35" s="24">
        <v>0</v>
      </c>
      <c r="F35" s="24">
        <f>8.11-5.71</f>
        <v>2.3999999999999995</v>
      </c>
      <c r="G35" s="25">
        <f>+C35/PI()/(H35/1000)^2*4</f>
        <v>0.85410652618882599</v>
      </c>
      <c r="H35" s="26">
        <f>+J35-2*I35</f>
        <v>57.7</v>
      </c>
      <c r="I35" s="26">
        <v>2.9</v>
      </c>
      <c r="J35" s="26">
        <v>63.5</v>
      </c>
      <c r="K35" s="3">
        <v>1.7112912587601191E-2</v>
      </c>
      <c r="L35" s="24">
        <f>+K35*F35/1000</f>
        <v>4.1070990210242847E-5</v>
      </c>
    </row>
    <row r="36" spans="1:12">
      <c r="B36" t="s">
        <v>50</v>
      </c>
      <c r="C36" s="2">
        <f t="shared" ref="C36:C41" si="16">13.4/1000/2/3*2/2</f>
        <v>2.2333333333333333E-3</v>
      </c>
      <c r="D36" s="27">
        <v>0</v>
      </c>
      <c r="E36" s="24">
        <f>0.6*1.41</f>
        <v>0.84599999999999997</v>
      </c>
      <c r="F36" s="24">
        <f>+D36*E36*H36/1000</f>
        <v>0</v>
      </c>
      <c r="G36" s="25">
        <f>+C36/PI()/(H36/1000)^2*4</f>
        <v>0.85410652618882599</v>
      </c>
      <c r="H36" s="26">
        <f>+J36-2*I36</f>
        <v>57.7</v>
      </c>
      <c r="I36" s="26">
        <v>2.9</v>
      </c>
      <c r="J36" s="26">
        <v>63.5</v>
      </c>
      <c r="K36" s="3">
        <v>1.7112912587601191E-2</v>
      </c>
      <c r="L36" s="24">
        <f t="shared" ref="L36:L41" si="17">+K36*F36/1000</f>
        <v>0</v>
      </c>
    </row>
    <row r="37" spans="1:12">
      <c r="B37" t="s">
        <v>51</v>
      </c>
      <c r="C37" s="2">
        <f t="shared" si="16"/>
        <v>2.2333333333333333E-3</v>
      </c>
      <c r="D37" s="27">
        <v>0</v>
      </c>
      <c r="E37" s="24">
        <f>1.5*1.41</f>
        <v>2.1149999999999998</v>
      </c>
      <c r="F37" s="24">
        <f t="shared" ref="F37:F41" si="18">+D37*E37*H37/1000</f>
        <v>0</v>
      </c>
      <c r="G37" s="25">
        <f>+C37/PI()/(H37/1000)^2*4</f>
        <v>0.85410652618882599</v>
      </c>
      <c r="H37" s="26">
        <f>+J37-2*I37</f>
        <v>57.7</v>
      </c>
      <c r="I37" s="26">
        <v>2.9</v>
      </c>
      <c r="J37" s="26">
        <v>63.5</v>
      </c>
      <c r="K37" s="3">
        <v>1.7112912587601191E-2</v>
      </c>
      <c r="L37" s="24">
        <f t="shared" si="17"/>
        <v>0</v>
      </c>
    </row>
    <row r="38" spans="1:12">
      <c r="B38" t="s">
        <v>52</v>
      </c>
      <c r="C38" s="2">
        <f t="shared" si="16"/>
        <v>2.2333333333333333E-3</v>
      </c>
      <c r="D38" s="27">
        <v>0</v>
      </c>
      <c r="E38" s="24">
        <f>1.1*1.41</f>
        <v>1.5509999999999999</v>
      </c>
      <c r="F38" s="24">
        <f t="shared" si="18"/>
        <v>0</v>
      </c>
      <c r="G38" s="25">
        <f>+C38/PI()/(H38/1000)^2*4</f>
        <v>0.85410652618882599</v>
      </c>
      <c r="H38" s="26">
        <f>+J38-2*I38</f>
        <v>57.7</v>
      </c>
      <c r="I38" s="26">
        <v>2.9</v>
      </c>
      <c r="J38" s="26">
        <v>63.5</v>
      </c>
      <c r="K38" s="3">
        <v>1.7112912587601191E-2</v>
      </c>
      <c r="L38" s="24">
        <f t="shared" si="17"/>
        <v>0</v>
      </c>
    </row>
    <row r="39" spans="1:12">
      <c r="B39" t="s">
        <v>53</v>
      </c>
      <c r="C39" s="2">
        <f t="shared" si="16"/>
        <v>2.2333333333333333E-3</v>
      </c>
      <c r="D39" s="27">
        <v>1</v>
      </c>
      <c r="E39" s="24">
        <f>3.2*1.41</f>
        <v>4.5119999999999996</v>
      </c>
      <c r="F39" s="24">
        <f t="shared" si="18"/>
        <v>0.26034239999999997</v>
      </c>
      <c r="G39" s="25">
        <f>+C39/PI()/(H39/1000)^2*4</f>
        <v>0.85410652618882599</v>
      </c>
      <c r="H39" s="26">
        <f>+J39-2*I39</f>
        <v>57.7</v>
      </c>
      <c r="I39" s="26">
        <v>2.9</v>
      </c>
      <c r="J39" s="26">
        <v>63.5</v>
      </c>
      <c r="K39" s="3">
        <v>1.7112912587601191E-2</v>
      </c>
      <c r="L39" s="24">
        <f t="shared" si="17"/>
        <v>4.4552167340463031E-6</v>
      </c>
    </row>
    <row r="40" spans="1:12">
      <c r="B40" t="s">
        <v>45</v>
      </c>
      <c r="C40" s="2">
        <f t="shared" si="16"/>
        <v>2.2333333333333333E-3</v>
      </c>
      <c r="D40" s="27">
        <v>0</v>
      </c>
      <c r="E40" s="24">
        <f>0.2*1.41</f>
        <v>0.28199999999999997</v>
      </c>
      <c r="F40" s="24">
        <f t="shared" si="18"/>
        <v>0</v>
      </c>
      <c r="G40" s="25">
        <f>+C40/PI()/(H40/1000)^2*4</f>
        <v>0.85410652618882599</v>
      </c>
      <c r="H40" s="26">
        <f t="shared" ref="H40" si="19">+J40-2*I40</f>
        <v>57.7</v>
      </c>
      <c r="I40" s="26">
        <v>2.9</v>
      </c>
      <c r="J40" s="26">
        <v>63.5</v>
      </c>
      <c r="K40" s="3">
        <v>1.7112912587601191E-2</v>
      </c>
      <c r="L40" s="24">
        <f t="shared" si="17"/>
        <v>0</v>
      </c>
    </row>
    <row r="41" spans="1:12">
      <c r="B41" t="s">
        <v>56</v>
      </c>
      <c r="C41" s="2">
        <f t="shared" si="16"/>
        <v>2.2333333333333333E-3</v>
      </c>
      <c r="D41" s="27">
        <v>0</v>
      </c>
      <c r="E41" s="24">
        <f>1.41*3.4</f>
        <v>4.7939999999999996</v>
      </c>
      <c r="F41" s="24">
        <f t="shared" si="18"/>
        <v>0</v>
      </c>
      <c r="G41" s="25">
        <f>+C41/PI()/(H41/1000)^2*4</f>
        <v>0.85410652618882599</v>
      </c>
      <c r="H41" s="26">
        <f>+J41-2*I41</f>
        <v>57.7</v>
      </c>
      <c r="I41" s="26">
        <v>2.9</v>
      </c>
      <c r="J41" s="26">
        <v>63.5</v>
      </c>
      <c r="K41" s="3">
        <v>1.7112912587601191E-2</v>
      </c>
      <c r="L41" s="24">
        <f t="shared" si="17"/>
        <v>0</v>
      </c>
    </row>
    <row r="42" spans="1:12" ht="15" thickBot="1">
      <c r="A42" s="28"/>
      <c r="B42" s="29" t="s">
        <v>55</v>
      </c>
      <c r="C42" s="28"/>
      <c r="D42" s="30"/>
      <c r="E42" s="31"/>
      <c r="F42" s="31"/>
      <c r="G42" s="32"/>
      <c r="H42" s="33"/>
      <c r="I42" s="33"/>
      <c r="J42" s="33"/>
      <c r="K42" s="29"/>
      <c r="L42" s="35">
        <f>SUM(L35:L41)</f>
        <v>4.5526206944289149E-5</v>
      </c>
    </row>
    <row r="43" spans="1:12" s="22" customFormat="1" ht="15" thickTop="1">
      <c r="B43" s="22" t="s">
        <v>63</v>
      </c>
      <c r="L43" s="40">
        <f>+L42+L34+L26+L18+L10</f>
        <v>2.6612336985980272</v>
      </c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Colebrook</vt:lpstr>
      <vt:lpstr>Scimemi Veronese</vt:lpstr>
      <vt:lpstr>Marchetti</vt:lpstr>
      <vt:lpstr>Dimensionamento</vt:lpstr>
      <vt:lpstr>Foglio3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Amministratore</dc:creator>
  <cp:lastModifiedBy>Amministratore</cp:lastModifiedBy>
  <cp:lastPrinted>2010-05-13T13:53:22Z</cp:lastPrinted>
  <dcterms:created xsi:type="dcterms:W3CDTF">2010-05-11T09:21:56Z</dcterms:created>
  <dcterms:modified xsi:type="dcterms:W3CDTF">2010-05-13T15:20:51Z</dcterms:modified>
</cp:coreProperties>
</file>