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i\Desktop\"/>
    </mc:Choice>
  </mc:AlternateContent>
  <bookViews>
    <workbookView xWindow="0" yWindow="0" windowWidth="20460" windowHeight="7500"/>
  </bookViews>
  <sheets>
    <sheet name="Foglio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6" i="1"/>
  <c r="C7" i="1"/>
  <c r="C3" i="1"/>
  <c r="C4" i="1"/>
  <c r="C5" i="1"/>
  <c r="C8" i="1"/>
  <c r="C9" i="1"/>
  <c r="B69" i="1"/>
  <c r="B71" i="1"/>
  <c r="B67" i="1"/>
  <c r="B66" i="1"/>
  <c r="B64" i="1"/>
  <c r="B63" i="1"/>
  <c r="B61" i="1"/>
  <c r="C39" i="1"/>
  <c r="C42" i="1"/>
  <c r="C57" i="1"/>
  <c r="B5" i="1"/>
  <c r="B39" i="1"/>
  <c r="B42" i="1"/>
  <c r="B57" i="1"/>
  <c r="C11" i="1"/>
  <c r="C17" i="1"/>
  <c r="C32" i="1"/>
  <c r="C34" i="1"/>
  <c r="C23" i="1"/>
  <c r="C26" i="1"/>
  <c r="C27" i="1"/>
  <c r="C21" i="1"/>
  <c r="C22" i="1"/>
  <c r="C29" i="1"/>
  <c r="C35" i="1"/>
  <c r="B55" i="1"/>
  <c r="C10" i="1"/>
  <c r="C13" i="1"/>
  <c r="C53" i="1"/>
  <c r="B10" i="1"/>
  <c r="B11" i="1"/>
  <c r="B13" i="1"/>
  <c r="B53" i="1"/>
  <c r="C51" i="1"/>
  <c r="B17" i="1"/>
  <c r="B51" i="1"/>
  <c r="C49" i="1"/>
  <c r="B22" i="1"/>
  <c r="B27" i="1"/>
  <c r="B29" i="1"/>
  <c r="B49" i="1"/>
  <c r="E47" i="1"/>
  <c r="E23" i="1"/>
  <c r="E24" i="1"/>
  <c r="E25" i="1"/>
  <c r="E26" i="1"/>
  <c r="G47" i="1"/>
  <c r="I47" i="1"/>
  <c r="B47" i="1"/>
  <c r="B45" i="1"/>
  <c r="C36" i="1"/>
  <c r="B36" i="1"/>
  <c r="E28" i="1"/>
</calcChain>
</file>

<file path=xl/sharedStrings.xml><?xml version="1.0" encoding="utf-8"?>
<sst xmlns="http://schemas.openxmlformats.org/spreadsheetml/2006/main" count="83" uniqueCount="75">
  <si>
    <t>Ipotesi C/E</t>
  </si>
  <si>
    <t>Italia</t>
  </si>
  <si>
    <t>Export</t>
  </si>
  <si>
    <t xml:space="preserve">RICAVI DI VENDITA </t>
  </si>
  <si>
    <t>CNOSUMI MATERIALI</t>
  </si>
  <si>
    <t>(i consumi sono sempre il 60% del guadagno più un aumento del 7%)</t>
  </si>
  <si>
    <t>LAVORAZIONI ESTERNE</t>
  </si>
  <si>
    <t>(vedi consumi)</t>
  </si>
  <si>
    <t>PROVVIGIONI</t>
  </si>
  <si>
    <t>COSTI FISSI MONETARI (gestione caratteristica)</t>
  </si>
  <si>
    <t>EBITDA</t>
  </si>
  <si>
    <t>Costi Variabili</t>
  </si>
  <si>
    <t>AMMORTAMENTI</t>
  </si>
  <si>
    <t>Costi Fissi</t>
  </si>
  <si>
    <t>SVALUTAZIONI</t>
  </si>
  <si>
    <t>-</t>
  </si>
  <si>
    <t>EBIT</t>
  </si>
  <si>
    <t>PROVENTI E ONERI FINANZIARI</t>
  </si>
  <si>
    <t>EBT</t>
  </si>
  <si>
    <t>IMPOSTE</t>
  </si>
  <si>
    <t>RISULTATO NETTO</t>
  </si>
  <si>
    <t>Ipotesi S/P</t>
  </si>
  <si>
    <t>31.12.16</t>
  </si>
  <si>
    <t>31.12.17</t>
  </si>
  <si>
    <t>IMMOBILIZZAZIONI</t>
  </si>
  <si>
    <t>TOTALE IMMOBILIZZAZIONI</t>
  </si>
  <si>
    <t>MGAZZINO</t>
  </si>
  <si>
    <t>delta</t>
  </si>
  <si>
    <t>CREDITI(IT)</t>
  </si>
  <si>
    <t>CREDITI(EX)</t>
  </si>
  <si>
    <t>DEBITI Fornitori</t>
  </si>
  <si>
    <t>CAPITALE CIRCOLANTE NETTO</t>
  </si>
  <si>
    <t>CAPITALE INVESTITO NETTO</t>
  </si>
  <si>
    <t>CAPITALE SOCIALE</t>
  </si>
  <si>
    <t>AUMENTO CAPITALE</t>
  </si>
  <si>
    <t>PATRIMONIO NETTO</t>
  </si>
  <si>
    <t>POSIZIONE FINANZIARIA NETTA</t>
  </si>
  <si>
    <t>FONTI FINANZIARIE</t>
  </si>
  <si>
    <t>Margine di contribuzione</t>
  </si>
  <si>
    <t>MdC</t>
  </si>
  <si>
    <t>Risultato operativo</t>
  </si>
  <si>
    <t>RO =</t>
  </si>
  <si>
    <t>1) Posizione Finanziaria Netta  2017</t>
  </si>
  <si>
    <t>PFN =</t>
  </si>
  <si>
    <t>2) Cash Flow 2017</t>
  </si>
  <si>
    <t xml:space="preserve">CF = </t>
  </si>
  <si>
    <t>(secondo metodo)</t>
  </si>
  <si>
    <t>CF(C/E)</t>
  </si>
  <si>
    <t>CF(S/P)</t>
  </si>
  <si>
    <t>CF=</t>
  </si>
  <si>
    <t>La dinamica più performant per il cash flow è la politica verso i fornitori</t>
  </si>
  <si>
    <t>3) Return on investiment (2016-2017)</t>
  </si>
  <si>
    <t>ROI =</t>
  </si>
  <si>
    <t>Il capitale è stato investito meglio nell'anno 2017</t>
  </si>
  <si>
    <t>4) Return on Equity (2016-2017)</t>
  </si>
  <si>
    <t>ROE =</t>
  </si>
  <si>
    <t xml:space="preserve">Il valore aggiunto del mio patrimonio netto è diminuito </t>
  </si>
  <si>
    <t>5) Return on sales (2016-2017)</t>
  </si>
  <si>
    <t>ROS =</t>
  </si>
  <si>
    <t>Oltre ad aumentare le vendite ho aumentato anche i ricavi grazie alle stesse</t>
  </si>
  <si>
    <t>6) Leva finanziaria (2016-2017)</t>
  </si>
  <si>
    <t>Leverage=</t>
  </si>
  <si>
    <t>7) Leva operativa (2016-2017)</t>
  </si>
  <si>
    <t>LO =</t>
  </si>
  <si>
    <t>Giorni di dilazioni crediti iniziale (IT+EX)</t>
  </si>
  <si>
    <t>giorni</t>
  </si>
  <si>
    <t>Politica crediti iniziali (IT)</t>
  </si>
  <si>
    <t>Politica crediti iniziali (EX)</t>
  </si>
  <si>
    <t>Politica crediti finali (IT)</t>
  </si>
  <si>
    <t>Politica crediti finali (EX)</t>
  </si>
  <si>
    <t>Politica debiti iniziali</t>
  </si>
  <si>
    <t xml:space="preserve">Politica debiti finali </t>
  </si>
  <si>
    <t>FONDI</t>
  </si>
  <si>
    <t>L'aumento di leva finanziaria indica che in proporzione al patrimonio netto ho usato maggiormente fonti finanziare esterne rispetto all'anno precedente</t>
  </si>
  <si>
    <t>Indica che la dipendenza del risultato operativo da una variazione di ricavi è rimasta invariata rispetto all'anno precedente ed in particolare la mia azienda è una realtà "agile"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</si>
</sst>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0" xfId="0" applyFill="1"/>
    <xf numFmtId="0" fontId="0" fillId="3" borderId="1" xfId="0" applyFill="1" applyBorder="1"/>
    <xf numFmtId="2" fontId="0" fillId="3" borderId="1" xfId="0" applyNumberFormat="1" applyFill="1" applyBorder="1"/>
    <xf numFmtId="0" fontId="1" fillId="0" borderId="0" xfId="0" applyFont="1" applyFill="1"/>
    <xf numFmtId="2" fontId="0" fillId="0" borderId="0" xfId="0" applyNumberFormat="1" applyFill="1"/>
    <xf numFmtId="0" fontId="2" fillId="0" borderId="0" xfId="0" applyFont="1"/>
    <xf numFmtId="0" fontId="1" fillId="0" borderId="0" xfId="0" applyFont="1"/>
    <xf numFmtId="0" fontId="0" fillId="4" borderId="0" xfId="0" applyFill="1"/>
    <xf numFmtId="2" fontId="0" fillId="4" borderId="0" xfId="0" applyNumberFormat="1" applyFill="1"/>
    <xf numFmtId="0" fontId="0" fillId="3" borderId="2" xfId="0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0" fillId="0" borderId="0" xfId="0" applyNumberFormat="1" applyBorder="1"/>
    <xf numFmtId="0" fontId="0" fillId="5" borderId="2" xfId="0" applyFill="1" applyBorder="1"/>
    <xf numFmtId="0" fontId="0" fillId="6" borderId="0" xfId="0" applyFill="1" applyBorder="1"/>
    <xf numFmtId="2" fontId="0" fillId="6" borderId="0" xfId="0" applyNumberFormat="1" applyFill="1"/>
    <xf numFmtId="0" fontId="0" fillId="7" borderId="0" xfId="0" applyFill="1"/>
    <xf numFmtId="0" fontId="0" fillId="7" borderId="0" xfId="0" applyNumberFormat="1" applyFill="1"/>
    <xf numFmtId="2" fontId="0" fillId="0" borderId="0" xfId="0" applyNumberFormat="1" applyAlignment="1">
      <alignment horizontal="center"/>
    </xf>
    <xf numFmtId="0" fontId="0" fillId="8" borderId="0" xfId="0" applyFill="1"/>
    <xf numFmtId="2" fontId="0" fillId="9" borderId="0" xfId="0" applyNumberFormat="1" applyFill="1"/>
    <xf numFmtId="0" fontId="0" fillId="8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D58" sqref="D58"/>
    </sheetView>
  </sheetViews>
  <sheetFormatPr defaultRowHeight="15" x14ac:dyDescent="0.25"/>
  <cols>
    <col min="1" max="1" width="40.140625" customWidth="1"/>
    <col min="2" max="2" width="18.28515625" customWidth="1"/>
    <col min="3" max="3" width="21.85546875" customWidth="1"/>
  </cols>
  <sheetData>
    <row r="1" spans="1:9" x14ac:dyDescent="0.25">
      <c r="A1" s="1" t="s">
        <v>0</v>
      </c>
      <c r="B1">
        <v>2016</v>
      </c>
      <c r="C1">
        <v>2017</v>
      </c>
    </row>
    <row r="3" spans="1:9" x14ac:dyDescent="0.25">
      <c r="A3" t="s">
        <v>1</v>
      </c>
      <c r="B3" s="2">
        <v>9000</v>
      </c>
      <c r="C3" s="2">
        <f>B3*(1+15/100)</f>
        <v>10350</v>
      </c>
      <c r="E3" s="3"/>
    </row>
    <row r="4" spans="1:9" x14ac:dyDescent="0.25">
      <c r="A4" t="s">
        <v>2</v>
      </c>
      <c r="B4" s="2">
        <v>6000</v>
      </c>
      <c r="C4" s="2">
        <f>B4*(1+22/100)</f>
        <v>7320</v>
      </c>
    </row>
    <row r="5" spans="1:9" x14ac:dyDescent="0.25">
      <c r="A5" s="4" t="s">
        <v>3</v>
      </c>
      <c r="B5" s="5">
        <f>SUM(B3:B4)</f>
        <v>15000</v>
      </c>
      <c r="C5" s="5">
        <f>SUM(C3:C4)</f>
        <v>17670</v>
      </c>
    </row>
    <row r="6" spans="1:9" ht="15.75" x14ac:dyDescent="0.25">
      <c r="A6" s="6" t="s">
        <v>4</v>
      </c>
      <c r="B6" s="2">
        <v>9000</v>
      </c>
      <c r="C6" s="2">
        <f>10600*1.07</f>
        <v>11342</v>
      </c>
      <c r="D6" t="s">
        <v>5</v>
      </c>
    </row>
    <row r="7" spans="1:9" ht="15.75" x14ac:dyDescent="0.25">
      <c r="A7" s="6" t="s">
        <v>6</v>
      </c>
      <c r="B7" s="2">
        <v>500</v>
      </c>
      <c r="C7" s="7">
        <f>((500*17670)/15000)*1.04</f>
        <v>612.56000000000006</v>
      </c>
      <c r="D7" t="s">
        <v>7</v>
      </c>
    </row>
    <row r="8" spans="1:9" ht="15.75" x14ac:dyDescent="0.25">
      <c r="A8" s="6" t="s">
        <v>8</v>
      </c>
      <c r="B8" s="2">
        <v>750</v>
      </c>
      <c r="C8" s="2">
        <f>C5*(0.05)</f>
        <v>883.5</v>
      </c>
    </row>
    <row r="9" spans="1:9" ht="15.75" x14ac:dyDescent="0.25">
      <c r="A9" s="8" t="s">
        <v>9</v>
      </c>
      <c r="B9" s="2">
        <v>1000</v>
      </c>
      <c r="C9" s="2">
        <f>B9*(1+0.03)</f>
        <v>1030</v>
      </c>
    </row>
    <row r="10" spans="1:9" ht="15.75" x14ac:dyDescent="0.25">
      <c r="A10" s="4" t="s">
        <v>10</v>
      </c>
      <c r="B10" s="5">
        <f>B5-B6-B8-B7-B9</f>
        <v>3750</v>
      </c>
      <c r="C10" s="5">
        <f>C5-C6-C8-C7-C9</f>
        <v>3801.9399999999996</v>
      </c>
      <c r="E10" s="9" t="s">
        <v>11</v>
      </c>
    </row>
    <row r="11" spans="1:9" ht="15.75" x14ac:dyDescent="0.25">
      <c r="A11" t="s">
        <v>12</v>
      </c>
      <c r="B11" s="2">
        <f>200+300</f>
        <v>500</v>
      </c>
      <c r="C11" s="2">
        <f>200+300</f>
        <v>500</v>
      </c>
      <c r="E11" s="8" t="s">
        <v>13</v>
      </c>
    </row>
    <row r="12" spans="1:9" x14ac:dyDescent="0.25">
      <c r="A12" t="s">
        <v>14</v>
      </c>
      <c r="B12" s="25" t="s">
        <v>15</v>
      </c>
      <c r="C12" s="25" t="s">
        <v>15</v>
      </c>
    </row>
    <row r="13" spans="1:9" x14ac:dyDescent="0.25">
      <c r="A13" s="4" t="s">
        <v>16</v>
      </c>
      <c r="B13" s="5">
        <f>B10-B11</f>
        <v>3250</v>
      </c>
      <c r="C13" s="5">
        <f>C10-C11</f>
        <v>3301.9399999999996</v>
      </c>
    </row>
    <row r="14" spans="1:9" x14ac:dyDescent="0.25">
      <c r="A14" t="s">
        <v>17</v>
      </c>
      <c r="B14" s="2">
        <v>300</v>
      </c>
      <c r="C14" s="2">
        <v>300</v>
      </c>
      <c r="I14" s="2"/>
    </row>
    <row r="15" spans="1:9" x14ac:dyDescent="0.25">
      <c r="A15" s="4" t="s">
        <v>18</v>
      </c>
      <c r="B15" s="5"/>
      <c r="C15" s="5"/>
    </row>
    <row r="16" spans="1:9" x14ac:dyDescent="0.25">
      <c r="A16" t="s">
        <v>19</v>
      </c>
      <c r="B16" s="2">
        <v>100</v>
      </c>
      <c r="C16" s="2">
        <v>100</v>
      </c>
    </row>
    <row r="17" spans="1:11" x14ac:dyDescent="0.25">
      <c r="A17" s="10" t="s">
        <v>20</v>
      </c>
      <c r="B17" s="11">
        <f>B5-B6-B7-B8-B9-B11-B14-B16</f>
        <v>2850</v>
      </c>
      <c r="C17" s="11">
        <f>C5-C6-C7-C8-C9-C16-C14-C11</f>
        <v>2901.9399999999996</v>
      </c>
    </row>
    <row r="18" spans="1:11" x14ac:dyDescent="0.25">
      <c r="B18" s="2"/>
      <c r="C18" s="2"/>
    </row>
    <row r="19" spans="1:11" x14ac:dyDescent="0.25">
      <c r="A19" s="1" t="s">
        <v>21</v>
      </c>
      <c r="B19" s="2" t="s">
        <v>22</v>
      </c>
      <c r="C19" s="2" t="s">
        <v>23</v>
      </c>
    </row>
    <row r="20" spans="1:11" x14ac:dyDescent="0.25">
      <c r="B20" s="2"/>
      <c r="C20" s="2"/>
    </row>
    <row r="21" spans="1:11" x14ac:dyDescent="0.25">
      <c r="A21" t="s">
        <v>24</v>
      </c>
      <c r="B21" s="2">
        <v>5700</v>
      </c>
      <c r="C21" s="2">
        <f>(5700-C11)</f>
        <v>5200</v>
      </c>
    </row>
    <row r="22" spans="1:11" x14ac:dyDescent="0.25">
      <c r="A22" s="12" t="s">
        <v>25</v>
      </c>
      <c r="B22" s="5">
        <f>B21</f>
        <v>5700</v>
      </c>
      <c r="C22" s="5">
        <f>C21</f>
        <v>5200</v>
      </c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t="s">
        <v>26</v>
      </c>
      <c r="B23" s="2">
        <v>2000</v>
      </c>
      <c r="C23" s="2">
        <f>2000*17670/15000</f>
        <v>2356</v>
      </c>
      <c r="D23" s="13" t="s">
        <v>27</v>
      </c>
      <c r="E23" s="14">
        <f>-(C23-B23)</f>
        <v>-356</v>
      </c>
      <c r="F23" s="13"/>
      <c r="G23" s="13"/>
      <c r="H23" s="13"/>
      <c r="I23" s="13"/>
      <c r="J23" s="13"/>
      <c r="K23" s="13"/>
    </row>
    <row r="24" spans="1:11" x14ac:dyDescent="0.25">
      <c r="A24" t="s">
        <v>28</v>
      </c>
      <c r="B24" s="2">
        <v>1260</v>
      </c>
      <c r="C24" s="2">
        <v>2300</v>
      </c>
      <c r="D24" s="13" t="s">
        <v>27</v>
      </c>
      <c r="E24" s="14">
        <f>-(C24-B24)</f>
        <v>-1040</v>
      </c>
      <c r="F24" s="13"/>
      <c r="G24" s="13"/>
      <c r="H24" s="13"/>
      <c r="I24" s="13"/>
      <c r="J24" s="13"/>
      <c r="K24" s="13"/>
    </row>
    <row r="25" spans="1:11" x14ac:dyDescent="0.25">
      <c r="A25" t="s">
        <v>29</v>
      </c>
      <c r="B25" s="2">
        <v>840</v>
      </c>
      <c r="C25" s="2">
        <v>916.31</v>
      </c>
      <c r="D25" s="13" t="s">
        <v>27</v>
      </c>
      <c r="E25" s="13">
        <f>-(C25-B25)</f>
        <v>-76.309999999999945</v>
      </c>
      <c r="F25" s="13"/>
      <c r="G25" s="13"/>
      <c r="H25" s="13"/>
      <c r="I25" s="13"/>
      <c r="J25" s="13"/>
      <c r="K25" s="13"/>
    </row>
    <row r="26" spans="1:11" x14ac:dyDescent="0.25">
      <c r="A26" t="s">
        <v>30</v>
      </c>
      <c r="B26" s="2">
        <v>-3500</v>
      </c>
      <c r="C26" s="2">
        <f>-B71</f>
        <v>3174.6670076103501</v>
      </c>
      <c r="D26" s="13" t="s">
        <v>27</v>
      </c>
      <c r="E26" s="14">
        <f>-(C26-B26)</f>
        <v>-6674.6670076103501</v>
      </c>
      <c r="F26" s="13"/>
      <c r="G26" s="13"/>
      <c r="H26" s="13"/>
      <c r="I26" s="13"/>
      <c r="J26" s="13"/>
      <c r="K26" s="13"/>
    </row>
    <row r="27" spans="1:11" x14ac:dyDescent="0.25">
      <c r="A27" s="12" t="s">
        <v>31</v>
      </c>
      <c r="B27" s="5">
        <f>SUM(B23:B26)</f>
        <v>600</v>
      </c>
      <c r="C27" s="5">
        <f>SUM(C23:C26)</f>
        <v>8746.9770076103487</v>
      </c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5" t="s">
        <v>72</v>
      </c>
      <c r="B28" s="16">
        <v>0</v>
      </c>
      <c r="C28" s="16">
        <v>-600</v>
      </c>
      <c r="D28" s="13" t="s">
        <v>27</v>
      </c>
      <c r="E28" s="14">
        <f>-(C28-B28)</f>
        <v>600</v>
      </c>
      <c r="F28" s="13"/>
      <c r="G28" s="13"/>
      <c r="H28" s="13"/>
      <c r="I28" s="13"/>
      <c r="J28" s="13"/>
      <c r="K28" s="13"/>
    </row>
    <row r="29" spans="1:11" x14ac:dyDescent="0.25">
      <c r="A29" s="17" t="s">
        <v>32</v>
      </c>
      <c r="B29" s="18">
        <f>B28+B22+B27</f>
        <v>6300</v>
      </c>
      <c r="C29" s="18">
        <f>C28+C27+C22</f>
        <v>13346.977007610349</v>
      </c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9"/>
      <c r="C30" s="19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t="s">
        <v>33</v>
      </c>
      <c r="B31" s="2">
        <v>1000</v>
      </c>
      <c r="C31" s="2">
        <v>3850</v>
      </c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t="s">
        <v>20</v>
      </c>
      <c r="B32" s="2">
        <v>2850</v>
      </c>
      <c r="C32" s="2">
        <f>C17</f>
        <v>2901.9399999999996</v>
      </c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t="s">
        <v>34</v>
      </c>
      <c r="B33" s="25" t="s">
        <v>15</v>
      </c>
      <c r="C33" s="2">
        <v>500</v>
      </c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20" t="s">
        <v>35</v>
      </c>
      <c r="B34" s="16">
        <v>3850</v>
      </c>
      <c r="C34" s="16">
        <f>C31+C32+C33</f>
        <v>7251.94</v>
      </c>
      <c r="D34" s="13"/>
      <c r="E34" s="13"/>
      <c r="F34" s="13"/>
      <c r="G34" s="13"/>
      <c r="H34" s="13"/>
      <c r="I34" s="13"/>
      <c r="J34" s="13"/>
      <c r="K34" s="13"/>
    </row>
    <row r="35" spans="1:11" x14ac:dyDescent="0.25">
      <c r="A35" s="20" t="s">
        <v>36</v>
      </c>
      <c r="B35" s="16">
        <v>2450</v>
      </c>
      <c r="C35" s="16">
        <f>(C29-C34)</f>
        <v>6095.0370076103491</v>
      </c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21" t="s">
        <v>37</v>
      </c>
      <c r="B36" s="22">
        <f>B35+B34</f>
        <v>6300</v>
      </c>
      <c r="C36" s="22">
        <f>C35+C34</f>
        <v>13346.977007610349</v>
      </c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B37" s="2"/>
      <c r="C37" s="2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A38" s="23" t="s">
        <v>38</v>
      </c>
      <c r="B38" s="24">
        <v>2016</v>
      </c>
      <c r="C38" s="24">
        <v>2017</v>
      </c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t="s">
        <v>39</v>
      </c>
      <c r="B39" s="2">
        <f>B5-B6-B7-B8</f>
        <v>4750</v>
      </c>
      <c r="C39" s="2">
        <f>C5-C6-C7-C8</f>
        <v>4831.9399999999996</v>
      </c>
      <c r="D39" s="13"/>
      <c r="E39" s="13"/>
      <c r="F39" s="13"/>
      <c r="G39" s="13"/>
      <c r="H39" s="13"/>
      <c r="I39" s="13"/>
      <c r="J39" s="13"/>
      <c r="K39" s="13"/>
    </row>
    <row r="40" spans="1:11" x14ac:dyDescent="0.25">
      <c r="B40" s="2"/>
      <c r="C40" s="2"/>
    </row>
    <row r="41" spans="1:11" x14ac:dyDescent="0.25">
      <c r="A41" s="23" t="s">
        <v>40</v>
      </c>
      <c r="B41" s="24">
        <v>2016</v>
      </c>
      <c r="C41" s="24">
        <v>2017</v>
      </c>
    </row>
    <row r="42" spans="1:11" x14ac:dyDescent="0.25">
      <c r="A42" t="s">
        <v>41</v>
      </c>
      <c r="B42" s="2">
        <f>B39-B9</f>
        <v>3750</v>
      </c>
      <c r="C42" s="25">
        <f>C39-C9</f>
        <v>3801.9399999999996</v>
      </c>
      <c r="D42" s="2"/>
    </row>
    <row r="43" spans="1:11" x14ac:dyDescent="0.25">
      <c r="B43" s="2"/>
      <c r="C43" s="2"/>
    </row>
    <row r="44" spans="1:11" x14ac:dyDescent="0.25">
      <c r="A44" s="26" t="s">
        <v>42</v>
      </c>
      <c r="B44" s="2"/>
    </row>
    <row r="45" spans="1:11" x14ac:dyDescent="0.25">
      <c r="A45" t="s">
        <v>43</v>
      </c>
      <c r="B45" s="27">
        <f>C35</f>
        <v>6095.0370076103491</v>
      </c>
    </row>
    <row r="46" spans="1:11" x14ac:dyDescent="0.25">
      <c r="A46" s="26" t="s">
        <v>44</v>
      </c>
      <c r="B46" s="2"/>
    </row>
    <row r="47" spans="1:11" x14ac:dyDescent="0.25">
      <c r="A47" t="s">
        <v>45</v>
      </c>
      <c r="B47" s="27">
        <f>C35-B35</f>
        <v>3645.0370076103491</v>
      </c>
      <c r="C47" t="s">
        <v>46</v>
      </c>
      <c r="D47" s="2" t="s">
        <v>47</v>
      </c>
      <c r="E47" s="2">
        <f>C17+C11</f>
        <v>3401.9399999999996</v>
      </c>
      <c r="F47" s="2" t="s">
        <v>48</v>
      </c>
      <c r="G47" s="2">
        <f>E23+E24+E25+E26-(C28-B28)+0+C33</f>
        <v>-7046.9770076103505</v>
      </c>
      <c r="H47" s="2" t="s">
        <v>49</v>
      </c>
      <c r="I47" s="27">
        <f>E47+G47</f>
        <v>-3645.0370076103509</v>
      </c>
      <c r="J47" t="s">
        <v>50</v>
      </c>
    </row>
    <row r="48" spans="1:11" x14ac:dyDescent="0.25">
      <c r="A48" s="26" t="s">
        <v>51</v>
      </c>
      <c r="B48" s="28">
        <v>2016</v>
      </c>
      <c r="C48" s="26">
        <v>2017</v>
      </c>
    </row>
    <row r="49" spans="1:4" x14ac:dyDescent="0.25">
      <c r="A49" t="s">
        <v>52</v>
      </c>
      <c r="B49" s="2">
        <f>B13/B29</f>
        <v>0.51587301587301593</v>
      </c>
      <c r="C49" s="2">
        <f>C13/C29</f>
        <v>0.2473923494524084</v>
      </c>
      <c r="D49" t="s">
        <v>53</v>
      </c>
    </row>
    <row r="50" spans="1:4" x14ac:dyDescent="0.25">
      <c r="A50" s="26" t="s">
        <v>54</v>
      </c>
      <c r="B50" s="28">
        <v>2016</v>
      </c>
      <c r="C50" s="26">
        <v>2017</v>
      </c>
    </row>
    <row r="51" spans="1:4" x14ac:dyDescent="0.25">
      <c r="A51" t="s">
        <v>55</v>
      </c>
      <c r="B51" s="2">
        <f>B17/B34</f>
        <v>0.74025974025974028</v>
      </c>
      <c r="C51" s="2">
        <f>C17/C34</f>
        <v>0.40016050877420384</v>
      </c>
      <c r="D51" t="s">
        <v>56</v>
      </c>
    </row>
    <row r="52" spans="1:4" x14ac:dyDescent="0.25">
      <c r="A52" s="26" t="s">
        <v>57</v>
      </c>
      <c r="B52" s="28">
        <v>2016</v>
      </c>
      <c r="C52" s="26">
        <v>2017</v>
      </c>
    </row>
    <row r="53" spans="1:4" x14ac:dyDescent="0.25">
      <c r="A53" t="s">
        <v>58</v>
      </c>
      <c r="B53" s="2">
        <f>B13/B5</f>
        <v>0.21666666666666667</v>
      </c>
      <c r="C53" s="2">
        <f>C13/C5</f>
        <v>0.1868670062252405</v>
      </c>
      <c r="D53" t="s">
        <v>59</v>
      </c>
    </row>
    <row r="54" spans="1:4" x14ac:dyDescent="0.25">
      <c r="A54" s="26" t="s">
        <v>60</v>
      </c>
      <c r="B54" s="28">
        <v>2016</v>
      </c>
      <c r="C54" s="26">
        <v>2017</v>
      </c>
    </row>
    <row r="55" spans="1:4" x14ac:dyDescent="0.25">
      <c r="A55" s="3" t="s">
        <v>61</v>
      </c>
      <c r="B55" s="2">
        <f>(B34+B35)/B34</f>
        <v>1.6363636363636365</v>
      </c>
      <c r="C55" s="2">
        <f>(C34+C35)/C34</f>
        <v>1.8404698615281359</v>
      </c>
      <c r="D55" t="s">
        <v>73</v>
      </c>
    </row>
    <row r="56" spans="1:4" x14ac:dyDescent="0.25">
      <c r="A56" s="26" t="s">
        <v>62</v>
      </c>
      <c r="B56" s="28">
        <v>2016</v>
      </c>
      <c r="C56" s="26">
        <v>2017</v>
      </c>
    </row>
    <row r="57" spans="1:4" x14ac:dyDescent="0.25">
      <c r="A57" s="3" t="s">
        <v>63</v>
      </c>
      <c r="B57" s="2">
        <f>(B39/B42)</f>
        <v>1.2666666666666666</v>
      </c>
      <c r="C57" s="2">
        <f>(C39/C42)</f>
        <v>1.270914322687891</v>
      </c>
      <c r="D57" t="s">
        <v>74</v>
      </c>
    </row>
    <row r="58" spans="1:4" x14ac:dyDescent="0.25">
      <c r="B58" s="2"/>
      <c r="C58" s="2"/>
    </row>
    <row r="59" spans="1:4" x14ac:dyDescent="0.25">
      <c r="B59" s="2"/>
      <c r="C59" s="2"/>
    </row>
    <row r="60" spans="1:4" x14ac:dyDescent="0.25">
      <c r="B60" s="2"/>
      <c r="C60" s="2"/>
    </row>
    <row r="61" spans="1:4" x14ac:dyDescent="0.25">
      <c r="A61" t="s">
        <v>64</v>
      </c>
      <c r="B61" s="2">
        <f>365*2100/15000</f>
        <v>51.1</v>
      </c>
      <c r="C61" t="s">
        <v>65</v>
      </c>
    </row>
    <row r="62" spans="1:4" x14ac:dyDescent="0.25">
      <c r="B62" s="2"/>
    </row>
    <row r="63" spans="1:4" x14ac:dyDescent="0.25">
      <c r="A63" t="s">
        <v>66</v>
      </c>
      <c r="B63" s="2">
        <f>9000/365*51.1</f>
        <v>1260</v>
      </c>
      <c r="C63" s="2"/>
    </row>
    <row r="64" spans="1:4" x14ac:dyDescent="0.25">
      <c r="A64" t="s">
        <v>67</v>
      </c>
      <c r="B64" s="2">
        <f>6000/365*51.1</f>
        <v>840.00000000000011</v>
      </c>
      <c r="C64" s="2"/>
    </row>
    <row r="65" spans="1:3" x14ac:dyDescent="0.25">
      <c r="B65" s="2"/>
      <c r="C65" s="2"/>
    </row>
    <row r="66" spans="1:3" x14ac:dyDescent="0.25">
      <c r="A66" t="s">
        <v>68</v>
      </c>
      <c r="B66" s="2">
        <f>10350/365*(51.1+30)</f>
        <v>2299.6849315068494</v>
      </c>
      <c r="C66" s="2"/>
    </row>
    <row r="67" spans="1:3" x14ac:dyDescent="0.25">
      <c r="A67" t="s">
        <v>69</v>
      </c>
      <c r="B67" s="2">
        <f>6000/365*51.1+(7320-6000)/365*(51.1-30)</f>
        <v>916.30684931506858</v>
      </c>
      <c r="C67" s="2"/>
    </row>
    <row r="68" spans="1:3" x14ac:dyDescent="0.25">
      <c r="B68" s="2"/>
      <c r="C68" s="2"/>
    </row>
    <row r="69" spans="1:3" x14ac:dyDescent="0.25">
      <c r="A69" t="s">
        <v>70</v>
      </c>
      <c r="B69" s="2">
        <f>-(B26/(B6+B7+B8+B9))*365</f>
        <v>113.55555555555556</v>
      </c>
      <c r="C69" s="2" t="s">
        <v>65</v>
      </c>
    </row>
    <row r="70" spans="1:3" x14ac:dyDescent="0.25">
      <c r="B70" s="2"/>
      <c r="C70" s="2"/>
    </row>
    <row r="71" spans="1:3" x14ac:dyDescent="0.25">
      <c r="A71" t="s">
        <v>71</v>
      </c>
      <c r="B71" s="2">
        <f>(C6+C7+C8+C9)/365*(-B69+30)</f>
        <v>-3174.6670076103501</v>
      </c>
      <c r="C71" s="2"/>
    </row>
    <row r="72" spans="1:3" x14ac:dyDescent="0.25">
      <c r="B72" s="2"/>
      <c r="C7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Frasson</dc:creator>
  <cp:lastModifiedBy>Lorenzo Frasson</cp:lastModifiedBy>
  <dcterms:created xsi:type="dcterms:W3CDTF">2017-05-18T21:36:08Z</dcterms:created>
  <dcterms:modified xsi:type="dcterms:W3CDTF">2017-05-18T21:48:20Z</dcterms:modified>
</cp:coreProperties>
</file>