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120" yWindow="75" windowWidth="24915" windowHeight="12075" activeTab="2"/>
  </bookViews>
  <sheets>
    <sheet name="Dati" sheetId="1" r:id="rId1"/>
    <sheet name="Cap2" sheetId="2" r:id="rId2"/>
    <sheet name="Cap3" sheetId="3" r:id="rId3"/>
    <sheet name="Cap6" sheetId="4" r:id="rId4"/>
  </sheets>
  <calcPr calcId="145621"/>
</workbook>
</file>

<file path=xl/calcChain.xml><?xml version="1.0" encoding="utf-8"?>
<calcChain xmlns="http://schemas.openxmlformats.org/spreadsheetml/2006/main">
  <c r="T121" i="3" l="1"/>
  <c r="T120" i="3"/>
  <c r="T119" i="3"/>
  <c r="T118" i="3"/>
  <c r="Q120" i="3"/>
  <c r="R120" i="3"/>
  <c r="S120" i="3"/>
  <c r="Q121" i="3"/>
  <c r="R121" i="3"/>
  <c r="S121" i="3"/>
  <c r="P121" i="3"/>
  <c r="P120" i="3"/>
  <c r="Q119" i="3"/>
  <c r="R119" i="3"/>
  <c r="S119" i="3"/>
  <c r="P119" i="3"/>
  <c r="Q118" i="3"/>
  <c r="R118" i="3"/>
  <c r="S118" i="3"/>
  <c r="P118" i="3"/>
  <c r="M121" i="3"/>
  <c r="M120" i="3"/>
  <c r="M119" i="3"/>
  <c r="M118" i="3"/>
  <c r="J118" i="3"/>
  <c r="K118" i="3"/>
  <c r="L118" i="3"/>
  <c r="J119" i="3"/>
  <c r="K119" i="3"/>
  <c r="L119" i="3"/>
  <c r="J120" i="3"/>
  <c r="K120" i="3"/>
  <c r="L120" i="3"/>
  <c r="J121" i="3"/>
  <c r="K121" i="3"/>
  <c r="L121" i="3"/>
  <c r="I119" i="3"/>
  <c r="I120" i="3"/>
  <c r="I121" i="3"/>
  <c r="I118" i="3"/>
  <c r="F119" i="3"/>
  <c r="F120" i="3"/>
  <c r="F121" i="3"/>
  <c r="F118" i="3"/>
  <c r="C122" i="3"/>
  <c r="D122" i="3"/>
  <c r="E122" i="3"/>
  <c r="B122" i="3"/>
  <c r="P85" i="3" l="1"/>
  <c r="Q85" i="3"/>
  <c r="R85" i="3"/>
  <c r="P86" i="3"/>
  <c r="Q86" i="3"/>
  <c r="R86" i="3"/>
  <c r="P87" i="3"/>
  <c r="Q87" i="3"/>
  <c r="R87" i="3"/>
  <c r="Q84" i="3"/>
  <c r="R84" i="3"/>
  <c r="P84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L81" i="3"/>
  <c r="J82" i="3"/>
  <c r="K82" i="3"/>
  <c r="L82" i="3"/>
  <c r="J83" i="3"/>
  <c r="K83" i="3"/>
  <c r="L83" i="3"/>
  <c r="J84" i="3"/>
  <c r="K84" i="3"/>
  <c r="L84" i="3"/>
  <c r="J85" i="3"/>
  <c r="K85" i="3"/>
  <c r="L85" i="3"/>
  <c r="J86" i="3"/>
  <c r="K86" i="3"/>
  <c r="L86" i="3"/>
  <c r="J87" i="3"/>
  <c r="K87" i="3"/>
  <c r="L87" i="3"/>
  <c r="K73" i="3"/>
  <c r="L73" i="3"/>
  <c r="J73" i="3"/>
  <c r="I66" i="3"/>
  <c r="I65" i="3"/>
  <c r="I64" i="3"/>
  <c r="I63" i="3"/>
  <c r="J60" i="3"/>
  <c r="K60" i="3"/>
  <c r="L60" i="3"/>
  <c r="M60" i="3"/>
  <c r="N60" i="3"/>
  <c r="O60" i="3"/>
  <c r="I60" i="3"/>
  <c r="I58" i="3"/>
  <c r="J58" i="3"/>
  <c r="K58" i="3"/>
  <c r="L58" i="3"/>
  <c r="M58" i="3"/>
  <c r="N58" i="3"/>
  <c r="O58" i="3"/>
  <c r="I59" i="3"/>
  <c r="J59" i="3"/>
  <c r="K59" i="3"/>
  <c r="L59" i="3"/>
  <c r="M59" i="3"/>
  <c r="N59" i="3"/>
  <c r="O59" i="3"/>
  <c r="O57" i="3"/>
  <c r="N57" i="3"/>
  <c r="M57" i="3"/>
  <c r="L57" i="3"/>
  <c r="K57" i="3"/>
  <c r="J57" i="3"/>
  <c r="I57" i="3"/>
  <c r="R48" i="3"/>
  <c r="R47" i="3"/>
  <c r="L50" i="3"/>
  <c r="L51" i="3"/>
  <c r="L52" i="3"/>
  <c r="L49" i="3"/>
  <c r="K49" i="3"/>
  <c r="K50" i="3"/>
  <c r="K51" i="3"/>
  <c r="K52" i="3"/>
  <c r="K48" i="3"/>
  <c r="J49" i="3"/>
  <c r="J50" i="3"/>
  <c r="J51" i="3"/>
  <c r="J52" i="3"/>
  <c r="J48" i="3"/>
  <c r="E50" i="3"/>
  <c r="E51" i="3"/>
  <c r="E52" i="3"/>
  <c r="E49" i="3"/>
  <c r="D49" i="3"/>
  <c r="D50" i="3"/>
  <c r="D51" i="3"/>
  <c r="D52" i="3"/>
  <c r="D48" i="3"/>
  <c r="I33" i="3"/>
  <c r="J33" i="3"/>
  <c r="K33" i="3"/>
  <c r="I34" i="3"/>
  <c r="J34" i="3"/>
  <c r="K34" i="3"/>
  <c r="I35" i="3"/>
  <c r="J35" i="3"/>
  <c r="K35" i="3"/>
  <c r="J32" i="3"/>
  <c r="K32" i="3"/>
  <c r="I32" i="3"/>
  <c r="C43" i="3"/>
  <c r="B43" i="3"/>
  <c r="D42" i="3"/>
  <c r="D41" i="3"/>
  <c r="D40" i="3"/>
  <c r="D43" i="3" s="1"/>
  <c r="C35" i="3"/>
  <c r="D35" i="3"/>
  <c r="B35" i="3"/>
  <c r="D33" i="3"/>
  <c r="D34" i="3"/>
  <c r="D32" i="3"/>
  <c r="H27" i="3"/>
  <c r="W21" i="3"/>
  <c r="W22" i="3"/>
  <c r="W23" i="3"/>
  <c r="W24" i="3"/>
  <c r="W20" i="3"/>
  <c r="U20" i="3"/>
  <c r="R21" i="3"/>
  <c r="Q22" i="3"/>
  <c r="R22" i="3"/>
  <c r="P23" i="3"/>
  <c r="Q23" i="3"/>
  <c r="R23" i="3"/>
  <c r="E23" i="3"/>
  <c r="O23" i="3" s="1"/>
  <c r="E22" i="3"/>
  <c r="O22" i="3" s="1"/>
  <c r="E21" i="3"/>
  <c r="X21" i="3" s="1"/>
  <c r="E20" i="3"/>
  <c r="E24" i="3" s="1"/>
  <c r="X22" i="3" s="1"/>
  <c r="D24" i="3"/>
  <c r="C24" i="3"/>
  <c r="V20" i="3" s="1"/>
  <c r="B24" i="3"/>
  <c r="U21" i="3" s="1"/>
  <c r="C15" i="3"/>
  <c r="D15" i="3"/>
  <c r="B15" i="3"/>
  <c r="E12" i="3"/>
  <c r="E13" i="3"/>
  <c r="E14" i="3"/>
  <c r="E11" i="3"/>
  <c r="C6" i="3"/>
  <c r="D6" i="3"/>
  <c r="D5" i="3"/>
  <c r="C5" i="3"/>
  <c r="B44" i="2"/>
  <c r="C39" i="2"/>
  <c r="B39" i="2"/>
  <c r="B37" i="2"/>
  <c r="B36" i="2"/>
  <c r="I30" i="2"/>
  <c r="I31" i="2"/>
  <c r="I29" i="2"/>
  <c r="H31" i="2"/>
  <c r="F31" i="2"/>
  <c r="H30" i="2"/>
  <c r="H29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B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B25" i="2"/>
  <c r="C30" i="2"/>
  <c r="C31" i="2"/>
  <c r="C29" i="2"/>
  <c r="B3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B23" i="2"/>
  <c r="B22" i="2"/>
  <c r="D30" i="2"/>
  <c r="D29" i="2" s="1"/>
  <c r="D31" i="2" s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B12" i="2"/>
  <c r="F8" i="2"/>
  <c r="B8" i="2" s="1"/>
  <c r="C18" i="2" s="1"/>
  <c r="C7" i="2"/>
  <c r="C2" i="2"/>
  <c r="B2" i="2"/>
  <c r="Y3" i="2" s="1"/>
  <c r="Y4" i="2" s="1"/>
  <c r="L22" i="3" l="1"/>
  <c r="L20" i="3"/>
  <c r="K24" i="3"/>
  <c r="K23" i="3"/>
  <c r="K22" i="3"/>
  <c r="K21" i="3"/>
  <c r="R20" i="3"/>
  <c r="Q24" i="3"/>
  <c r="Q21" i="3"/>
  <c r="X20" i="3"/>
  <c r="K20" i="3"/>
  <c r="J24" i="3"/>
  <c r="J23" i="3"/>
  <c r="J22" i="3"/>
  <c r="J21" i="3"/>
  <c r="Q20" i="3"/>
  <c r="P24" i="3"/>
  <c r="P22" i="3"/>
  <c r="P21" i="3"/>
  <c r="V24" i="3"/>
  <c r="V23" i="3"/>
  <c r="V22" i="3"/>
  <c r="V21" i="3"/>
  <c r="J20" i="3"/>
  <c r="I24" i="3"/>
  <c r="I23" i="3"/>
  <c r="I22" i="3"/>
  <c r="I21" i="3"/>
  <c r="P20" i="3"/>
  <c r="O24" i="3"/>
  <c r="O21" i="3"/>
  <c r="U24" i="3"/>
  <c r="U23" i="3"/>
  <c r="U22" i="3"/>
  <c r="I20" i="3"/>
  <c r="L24" i="3"/>
  <c r="L23" i="3"/>
  <c r="L21" i="3"/>
  <c r="O20" i="3"/>
  <c r="R24" i="3"/>
  <c r="X24" i="3"/>
  <c r="X23" i="3"/>
  <c r="E15" i="3"/>
  <c r="L12" i="3" s="1"/>
  <c r="E30" i="2"/>
  <c r="F30" i="2" s="1"/>
  <c r="G29" i="2"/>
  <c r="E29" i="2"/>
  <c r="F29" i="2" s="1"/>
  <c r="G31" i="2"/>
  <c r="G30" i="2"/>
  <c r="B13" i="2"/>
  <c r="B17" i="2" s="1"/>
  <c r="X3" i="2"/>
  <c r="X4" i="2" s="1"/>
  <c r="T3" i="2"/>
  <c r="T4" i="2" s="1"/>
  <c r="P3" i="2"/>
  <c r="P4" i="2" s="1"/>
  <c r="L3" i="2"/>
  <c r="L4" i="2" s="1"/>
  <c r="H3" i="2"/>
  <c r="H4" i="2" s="1"/>
  <c r="D3" i="2"/>
  <c r="D4" i="2" s="1"/>
  <c r="W3" i="2"/>
  <c r="W4" i="2" s="1"/>
  <c r="O3" i="2"/>
  <c r="O4" i="2" s="1"/>
  <c r="G3" i="2"/>
  <c r="G4" i="2" s="1"/>
  <c r="V3" i="2"/>
  <c r="V4" i="2" s="1"/>
  <c r="R3" i="2"/>
  <c r="R4" i="2" s="1"/>
  <c r="N3" i="2"/>
  <c r="N4" i="2" s="1"/>
  <c r="J3" i="2"/>
  <c r="J4" i="2" s="1"/>
  <c r="F3" i="2"/>
  <c r="F4" i="2" s="1"/>
  <c r="Z3" i="2"/>
  <c r="Z4" i="2" s="1"/>
  <c r="S3" i="2"/>
  <c r="S4" i="2" s="1"/>
  <c r="K3" i="2"/>
  <c r="K4" i="2" s="1"/>
  <c r="C3" i="2"/>
  <c r="C4" i="2" s="1"/>
  <c r="B3" i="2"/>
  <c r="B4" i="2" s="1"/>
  <c r="U3" i="2"/>
  <c r="U4" i="2" s="1"/>
  <c r="Q3" i="2"/>
  <c r="Q4" i="2" s="1"/>
  <c r="M3" i="2"/>
  <c r="M4" i="2" s="1"/>
  <c r="I3" i="2"/>
  <c r="I4" i="2" s="1"/>
  <c r="E3" i="2"/>
  <c r="E4" i="2" s="1"/>
  <c r="K51" i="4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I12" i="3" l="1"/>
  <c r="I13" i="3"/>
  <c r="I14" i="3"/>
  <c r="I15" i="3"/>
  <c r="J11" i="3"/>
  <c r="J12" i="3"/>
  <c r="J13" i="3"/>
  <c r="J14" i="3"/>
  <c r="J15" i="3"/>
  <c r="K11" i="3"/>
  <c r="K12" i="3"/>
  <c r="K13" i="3"/>
  <c r="K14" i="3"/>
  <c r="K15" i="3"/>
  <c r="L11" i="3"/>
  <c r="L13" i="3"/>
  <c r="L14" i="3"/>
  <c r="L15" i="3"/>
  <c r="I11" i="3"/>
  <c r="E31" i="2"/>
  <c r="B7" i="2"/>
  <c r="B9" i="2" s="1"/>
  <c r="K184" i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<sst xmlns="http://schemas.openxmlformats.org/spreadsheetml/2006/main" count="593" uniqueCount="205">
  <si>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</si>
  <si>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</si>
  <si>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</si>
  <si>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</si>
  <si>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</si>
  <si>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</si>
  <si>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</si>
  <si>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</si>
  <si>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</si>
  <si>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</si>
  <si>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</si>
  <si>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</si>
  <si>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</si>
  <si>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</si>
  <si>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</si>
  <si>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</si>
  <si>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</si>
  <si>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</si>
  <si>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</si>
  <si>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</si>
  <si>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</si>
  <si>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</si>
  <si>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</si>
  <si>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</si>
  <si>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</si>
  <si>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</si>
  <si>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</si>
  <si>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</si>
  <si>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</si>
  <si>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</si>
  <si>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</si>
  <si>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</si>
  <si>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</si>
  <si>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</si>
  <si>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</si>
  <si>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</si>
  <si>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</si>
  <si>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</si>
  <si>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</si>
  <si>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</si>
  <si>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</si>
  <si>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</si>
  <si>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</si>
  <si>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</si>
  <si>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</si>
  <si>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</si>
  <si>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</si>
  <si>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</si>
  <si>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</si>
  <si>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</si>
  <si>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</si>
  <si>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</si>
  <si>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</si>
  <si>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</si>
  <si>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</si>
  <si>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</si>
  <si>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</si>
  <si>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</si>
  <si>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</si>
  <si>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</si>
  <si>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</si>
  <si>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</si>
  <si>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</si>
  <si>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</si>
  <si>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</si>
  <si>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</si>
  <si>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</si>
  <si>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</si>
  <si>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</si>
  <si>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</si>
  <si>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</si>
  <si>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</si>
  <si>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</si>
  <si>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</si>
  <si>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</si>
  <si>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</si>
  <si>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</si>
  <si>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</si>
  <si>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</si>
  <si>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</si>
  <si>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</si>
  <si>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</si>
  <si>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</si>
  <si>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</si>
  <si>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</si>
  <si>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</si>
  <si>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</si>
  <si>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</si>
  <si>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</si>
  <si>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</si>
  <si>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</si>
  <si>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</si>
  <si>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</si>
  <si>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</si>
  <si>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</si>
  <si>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</si>
  <si>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</si>
  <si>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</si>
  <si>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</si>
  <si>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</si>
  <si>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</si>
  <si>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</si>
  <si>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</si>
  <si>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</si>
  <si>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</si>
  <si>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</si>
  <si>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</si>
  <si>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</si>
  <si>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</si>
  <si>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</si>
  <si>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</si>
  <si>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</si>
  <si>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</si>
  <si>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</si>
  <si>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</si>
  <si>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</si>
  <si>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</si>
  <si>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</si>
  <si>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</si>
  <si>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</si>
  <si>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</si>
  <si>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</si>
  <si>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</si>
  <si>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</si>
  <si>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</si>
  <si>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</si>
  <si>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</si>
  <si>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</si>
  <si>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</si>
  <si>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</si>
  <si>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</si>
  <si>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</si>
  <si>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</si>
  <si>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</si>
  <si>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</si>
  <si>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</si>
  <si>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</si>
  <si>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</si>
  <si>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</si>
  <si>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</si>
  <si>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</si>
  <si>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</si>
  <si>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</si>
  <si>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</si>
  <si>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</si>
  <si>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</si>
  <si>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</si>
  <si>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</si>
  <si>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</si>
  <si>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</si>
  <si>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</si>
  <si>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</si>
  <si>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</si>
  <si>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</si>
  <si>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</si>
  <si>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</si>
  <si>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</si>
  <si>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</si>
  <si>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</si>
  <si>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</si>
  <si>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</si>
  <si>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</si>
  <si>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</si>
  <si>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</si>
  <si>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</si>
  <si>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</si>
  <si>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</si>
  <si>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</si>
  <si>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</si>
  <si>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</si>
  <si>
    <t>Ybar:</t>
  </si>
  <si>
    <t>ES.Ybar</t>
  </si>
  <si>
    <t>Sy:</t>
  </si>
  <si>
    <t>Y-Ybar:</t>
  </si>
  <si>
    <t>(Y-Ybar)^2:</t>
  </si>
  <si>
    <t>f:</t>
  </si>
  <si>
    <t>N:</t>
  </si>
  <si>
    <t>n:</t>
  </si>
  <si>
    <t>Tp:</t>
  </si>
  <si>
    <t>Cond. &gt;4</t>
  </si>
  <si>
    <t>ES.Tp:</t>
  </si>
  <si>
    <t>ES.Tp.conservativo:</t>
  </si>
  <si>
    <t>Strato 1: 20-8</t>
  </si>
  <si>
    <t>Strato 2: 8-20</t>
  </si>
  <si>
    <t>Cond. &gt;3 Str.1</t>
  </si>
  <si>
    <t>Cond. &gt;3 Str.2</t>
  </si>
  <si>
    <t>NA</t>
  </si>
  <si>
    <t xml:space="preserve"> Rep1</t>
  </si>
  <si>
    <t xml:space="preserve"> Rep2</t>
  </si>
  <si>
    <t>IL.05.06</t>
  </si>
  <si>
    <t>IP.05.06</t>
  </si>
  <si>
    <t>IP.05.07</t>
  </si>
  <si>
    <t>IL.05.07</t>
  </si>
  <si>
    <t>Variazioni congiunturali</t>
  </si>
  <si>
    <t>Variazioni tendenziali</t>
  </si>
  <si>
    <t>Tabella 3.4b - Numero dipendenti</t>
  </si>
  <si>
    <t>Cat. Prof. t</t>
  </si>
  <si>
    <t>Cat. Prof. (t-1)</t>
  </si>
  <si>
    <t>Tabella 3.22 - Tassi di permanenza e transizione</t>
  </si>
  <si>
    <t xml:space="preserve">Tabella 3.23 - Previsioni al tempo (t+1) </t>
  </si>
  <si>
    <t>Totale (t+1)</t>
  </si>
  <si>
    <t>Cat. Prof. (t+1)</t>
  </si>
  <si>
    <t>Totale t</t>
  </si>
  <si>
    <t>Tabella 3.18a - Arezzo</t>
  </si>
  <si>
    <t>Tabella 3.18b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</si>
</sst>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Z242"/>
  <sheetViews>
    <sheetView workbookViewId="0">
      <selection activeCell="C4" sqref="C4"/>
    </sheetView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4" x14ac:dyDescent="0.25">
      <c r="A241">
        <v>33</v>
      </c>
      <c r="B241">
        <v>255</v>
      </c>
      <c r="C241">
        <v>120</v>
      </c>
      <c r="D241">
        <v>501.5</v>
      </c>
    </row>
    <row r="242" spans="1:4" x14ac:dyDescent="0.25">
      <c r="A242">
        <v>34</v>
      </c>
      <c r="B242">
        <v>189</v>
      </c>
      <c r="C242">
        <v>191</v>
      </c>
      <c r="D242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Z44"/>
  <sheetViews>
    <sheetView workbookViewId="0">
      <selection activeCell="J32" sqref="J32"/>
    </sheetView>
  </sheetViews>
  <sheetFormatPr defaultRowHeight="15" x14ac:dyDescent="0.25"/>
  <sheetData>
    <row r="1" spans="1:26" x14ac:dyDescent="0.25">
      <c r="A1" s="1" t="s">
        <v>120</v>
      </c>
    </row>
    <row r="2" spans="1:26" x14ac:dyDescent="0.25">
      <c r="A2" s="7" t="s">
        <v>170</v>
      </c>
      <c r="B2" s="5">
        <f>SUM(Dati!B4:Z4)/COUNT(Dati!B4:Z4)</f>
        <v>2.2400000000000002</v>
      </c>
      <c r="C2" s="8">
        <f>AVERAGE(Dati!B4:Z4)</f>
        <v>2.2400000000000002</v>
      </c>
    </row>
    <row r="3" spans="1:26" s="5" customFormat="1" x14ac:dyDescent="0.25">
      <c r="A3" s="7" t="s">
        <v>173</v>
      </c>
      <c r="B3" s="5">
        <f>Dati!B4-'Cap2'!$B$2</f>
        <v>-1.2400000000000002</v>
      </c>
      <c r="C3" s="5">
        <f>Dati!C4-'Cap2'!$B$2</f>
        <v>1.7599999999999998</v>
      </c>
      <c r="D3" s="5">
        <f>Dati!D4-'Cap2'!$B$2</f>
        <v>0.75999999999999979</v>
      </c>
      <c r="E3" s="5">
        <f>Dati!E4-'Cap2'!$B$2</f>
        <v>1.7599999999999998</v>
      </c>
      <c r="F3" s="5">
        <f>Dati!F4-'Cap2'!$B$2</f>
        <v>-2.2400000000000002</v>
      </c>
      <c r="G3" s="5">
        <f>Dati!G4-'Cap2'!$B$2</f>
        <v>0.75999999999999979</v>
      </c>
      <c r="H3" s="5">
        <f>Dati!H4-'Cap2'!$B$2</f>
        <v>0.75999999999999979</v>
      </c>
      <c r="I3" s="5">
        <f>Dati!I4-'Cap2'!$B$2</f>
        <v>-2.2400000000000002</v>
      </c>
      <c r="J3" s="5">
        <f>Dati!J4-'Cap2'!$B$2</f>
        <v>1.7599999999999998</v>
      </c>
      <c r="K3" s="5">
        <f>Dati!K4-'Cap2'!$B$2</f>
        <v>-1.2400000000000002</v>
      </c>
      <c r="L3" s="5">
        <f>Dati!L4-'Cap2'!$B$2</f>
        <v>-0.24000000000000021</v>
      </c>
      <c r="M3" s="5">
        <f>Dati!M4-'Cap2'!$B$2</f>
        <v>-2.2400000000000002</v>
      </c>
      <c r="N3" s="5">
        <f>Dati!N4-'Cap2'!$B$2</f>
        <v>-0.24000000000000021</v>
      </c>
      <c r="O3" s="5">
        <f>Dati!O4-'Cap2'!$B$2</f>
        <v>0.75999999999999979</v>
      </c>
      <c r="P3" s="5">
        <f>Dati!P4-'Cap2'!$B$2</f>
        <v>-0.24000000000000021</v>
      </c>
      <c r="Q3" s="5">
        <f>Dati!Q4-'Cap2'!$B$2</f>
        <v>1.7599999999999998</v>
      </c>
      <c r="R3" s="5">
        <f>Dati!R4-'Cap2'!$B$2</f>
        <v>0.75999999999999979</v>
      </c>
      <c r="S3" s="5">
        <f>Dati!S4-'Cap2'!$B$2</f>
        <v>0.75999999999999979</v>
      </c>
      <c r="T3" s="5">
        <f>Dati!T4-'Cap2'!$B$2</f>
        <v>-1.2400000000000002</v>
      </c>
      <c r="U3" s="5">
        <f>Dati!U4-'Cap2'!$B$2</f>
        <v>-1.2400000000000002</v>
      </c>
      <c r="V3" s="5">
        <f>Dati!V4-'Cap2'!$B$2</f>
        <v>1.7599999999999998</v>
      </c>
      <c r="W3" s="5">
        <f>Dati!W4-'Cap2'!$B$2</f>
        <v>-2.2400000000000002</v>
      </c>
      <c r="X3" s="5">
        <f>Dati!X4-'Cap2'!$B$2</f>
        <v>0.75999999999999979</v>
      </c>
      <c r="Y3" s="5">
        <f>Dati!Y4-'Cap2'!$B$2</f>
        <v>-1.2400000000000002</v>
      </c>
      <c r="Z3" s="5">
        <f>Dati!Z4-'Cap2'!$B$2</f>
        <v>1.7599999999999998</v>
      </c>
    </row>
    <row r="4" spans="1:26" s="5" customFormat="1" x14ac:dyDescent="0.25">
      <c r="A4" s="7" t="s">
        <v>174</v>
      </c>
      <c r="B4" s="5">
        <f>B3^2</f>
        <v>1.5376000000000005</v>
      </c>
      <c r="C4" s="5">
        <f t="shared" ref="C4:Z4" si="0">C3^2</f>
        <v>3.0975999999999995</v>
      </c>
      <c r="D4" s="5">
        <f t="shared" si="0"/>
        <v>0.57759999999999967</v>
      </c>
      <c r="E4" s="5">
        <f t="shared" si="0"/>
        <v>3.0975999999999995</v>
      </c>
      <c r="F4" s="5">
        <f t="shared" si="0"/>
        <v>5.0176000000000007</v>
      </c>
      <c r="G4" s="5">
        <f t="shared" si="0"/>
        <v>0.57759999999999967</v>
      </c>
      <c r="H4" s="5">
        <f t="shared" si="0"/>
        <v>0.57759999999999967</v>
      </c>
      <c r="I4" s="5">
        <f t="shared" si="0"/>
        <v>5.0176000000000007</v>
      </c>
      <c r="J4" s="5">
        <f t="shared" si="0"/>
        <v>3.0975999999999995</v>
      </c>
      <c r="K4" s="5">
        <f t="shared" si="0"/>
        <v>1.5376000000000005</v>
      </c>
      <c r="L4" s="5">
        <f t="shared" si="0"/>
        <v>5.7600000000000103E-2</v>
      </c>
      <c r="M4" s="5">
        <f t="shared" si="0"/>
        <v>5.0176000000000007</v>
      </c>
      <c r="N4" s="5">
        <f t="shared" si="0"/>
        <v>5.7600000000000103E-2</v>
      </c>
      <c r="O4" s="5">
        <f t="shared" si="0"/>
        <v>0.57759999999999967</v>
      </c>
      <c r="P4" s="5">
        <f t="shared" si="0"/>
        <v>5.7600000000000103E-2</v>
      </c>
      <c r="Q4" s="5">
        <f t="shared" si="0"/>
        <v>3.0975999999999995</v>
      </c>
      <c r="R4" s="5">
        <f t="shared" si="0"/>
        <v>0.57759999999999967</v>
      </c>
      <c r="S4" s="5">
        <f t="shared" si="0"/>
        <v>0.57759999999999967</v>
      </c>
      <c r="T4" s="5">
        <f t="shared" si="0"/>
        <v>1.5376000000000005</v>
      </c>
      <c r="U4" s="5">
        <f t="shared" si="0"/>
        <v>1.5376000000000005</v>
      </c>
      <c r="V4" s="5">
        <f t="shared" si="0"/>
        <v>3.0975999999999995</v>
      </c>
      <c r="W4" s="5">
        <f t="shared" si="0"/>
        <v>5.0176000000000007</v>
      </c>
      <c r="X4" s="5">
        <f t="shared" si="0"/>
        <v>0.57759999999999967</v>
      </c>
      <c r="Y4" s="5">
        <f t="shared" si="0"/>
        <v>1.5376000000000005</v>
      </c>
      <c r="Z4" s="5">
        <f t="shared" si="0"/>
        <v>3.0975999999999995</v>
      </c>
    </row>
    <row r="6" spans="1:26" x14ac:dyDescent="0.25">
      <c r="A6" s="1" t="s">
        <v>121</v>
      </c>
    </row>
    <row r="7" spans="1:26" x14ac:dyDescent="0.25">
      <c r="A7" s="7" t="s">
        <v>172</v>
      </c>
      <c r="B7" s="5">
        <f>SUM(B4:Z4)/(COUNT(B4:Z4)-1)</f>
        <v>2.106666666666666</v>
      </c>
      <c r="C7" s="8">
        <f>_xlfn.VAR.S(Dati!B4:Z4)</f>
        <v>2.1066666666666669</v>
      </c>
      <c r="E7" s="7" t="s">
        <v>176</v>
      </c>
      <c r="F7" s="5">
        <v>115</v>
      </c>
    </row>
    <row r="8" spans="1:26" x14ac:dyDescent="0.25">
      <c r="A8" s="7" t="s">
        <v>175</v>
      </c>
      <c r="B8" s="5">
        <f>F8/F7</f>
        <v>0.21739130434782608</v>
      </c>
      <c r="C8" s="8"/>
      <c r="E8" s="7" t="s">
        <v>177</v>
      </c>
      <c r="F8" s="5">
        <f>COUNT(Dati!B4:Z4)</f>
        <v>25</v>
      </c>
    </row>
    <row r="9" spans="1:26" x14ac:dyDescent="0.25">
      <c r="A9" s="7" t="s">
        <v>171</v>
      </c>
      <c r="B9" s="5">
        <f>((1-B8)*B7/F8)^(1/2)</f>
        <v>0.25680308815697001</v>
      </c>
    </row>
    <row r="11" spans="1:26" x14ac:dyDescent="0.25">
      <c r="A11" s="1" t="s">
        <v>122</v>
      </c>
    </row>
    <row r="12" spans="1:26" s="5" customFormat="1" x14ac:dyDescent="0.25">
      <c r="A12" s="7" t="s">
        <v>179</v>
      </c>
      <c r="B12" s="5">
        <f>IF(Dati!B4&gt;3,1,0)</f>
        <v>0</v>
      </c>
      <c r="C12" s="5">
        <f>IF(Dati!C4&gt;3,1,0)</f>
        <v>1</v>
      </c>
      <c r="D12" s="5">
        <f>IF(Dati!D4&gt;3,1,0)</f>
        <v>0</v>
      </c>
      <c r="E12" s="5">
        <f>IF(Dati!E4&gt;3,1,0)</f>
        <v>1</v>
      </c>
      <c r="F12" s="5">
        <f>IF(Dati!F4&gt;3,1,0)</f>
        <v>0</v>
      </c>
      <c r="G12" s="5">
        <f>IF(Dati!G4&gt;3,1,0)</f>
        <v>0</v>
      </c>
      <c r="H12" s="5">
        <f>IF(Dati!H4&gt;3,1,0)</f>
        <v>0</v>
      </c>
      <c r="I12" s="5">
        <f>IF(Dati!I4&gt;3,1,0)</f>
        <v>0</v>
      </c>
      <c r="J12" s="5">
        <f>IF(Dati!J4&gt;3,1,0)</f>
        <v>1</v>
      </c>
      <c r="K12" s="5">
        <f>IF(Dati!K4&gt;3,1,0)</f>
        <v>0</v>
      </c>
      <c r="L12" s="5">
        <f>IF(Dati!L4&gt;3,1,0)</f>
        <v>0</v>
      </c>
      <c r="M12" s="5">
        <f>IF(Dati!M4&gt;3,1,0)</f>
        <v>0</v>
      </c>
      <c r="N12" s="5">
        <f>IF(Dati!N4&gt;3,1,0)</f>
        <v>0</v>
      </c>
      <c r="O12" s="5">
        <f>IF(Dati!O4&gt;3,1,0)</f>
        <v>0</v>
      </c>
      <c r="P12" s="5">
        <f>IF(Dati!P4&gt;3,1,0)</f>
        <v>0</v>
      </c>
      <c r="Q12" s="5">
        <f>IF(Dati!Q4&gt;3,1,0)</f>
        <v>1</v>
      </c>
      <c r="R12" s="5">
        <f>IF(Dati!R4&gt;3,1,0)</f>
        <v>0</v>
      </c>
      <c r="S12" s="5">
        <f>IF(Dati!S4&gt;3,1,0)</f>
        <v>0</v>
      </c>
      <c r="T12" s="5">
        <f>IF(Dati!T4&gt;3,1,0)</f>
        <v>0</v>
      </c>
      <c r="U12" s="5">
        <f>IF(Dati!U4&gt;3,1,0)</f>
        <v>0</v>
      </c>
      <c r="V12" s="5">
        <f>IF(Dati!V4&gt;3,1,0)</f>
        <v>1</v>
      </c>
      <c r="W12" s="5">
        <f>IF(Dati!W4&gt;3,1,0)</f>
        <v>0</v>
      </c>
      <c r="X12" s="5">
        <f>IF(Dati!X4&gt;3,1,0)</f>
        <v>0</v>
      </c>
      <c r="Y12" s="5">
        <f>IF(Dati!Y4&gt;3,1,0)</f>
        <v>0</v>
      </c>
      <c r="Z12" s="5">
        <f>IF(Dati!Z4&gt;3,1,0)</f>
        <v>1</v>
      </c>
    </row>
    <row r="13" spans="1:26" s="5" customFormat="1" x14ac:dyDescent="0.25">
      <c r="A13" s="7" t="s">
        <v>178</v>
      </c>
      <c r="B13" s="5">
        <f>SUM(B12:Z12)/COUNT(B12:Z12)</f>
        <v>0.24</v>
      </c>
    </row>
    <row r="16" spans="1:26" x14ac:dyDescent="0.25">
      <c r="A16" s="1" t="s">
        <v>123</v>
      </c>
    </row>
    <row r="17" spans="1:26" s="5" customFormat="1" x14ac:dyDescent="0.25">
      <c r="A17" s="7" t="s">
        <v>180</v>
      </c>
      <c r="B17" s="5">
        <f>((1-B8)*B13*(1-B13)/(F8-1))^(1/2)</f>
        <v>7.712215043005817E-2</v>
      </c>
    </row>
    <row r="18" spans="1:26" s="5" customFormat="1" x14ac:dyDescent="0.25">
      <c r="A18" s="7" t="s">
        <v>181</v>
      </c>
      <c r="C18" s="5">
        <f>((1-B8)*0.5*(1-0.5)/(F8-1))^(1/2)</f>
        <v>9.0289389814326895E-2</v>
      </c>
    </row>
    <row r="20" spans="1:26" x14ac:dyDescent="0.25">
      <c r="A20" s="1" t="s">
        <v>124</v>
      </c>
    </row>
    <row r="21" spans="1:26" x14ac:dyDescent="0.25">
      <c r="A21" s="1"/>
    </row>
    <row r="22" spans="1:26" s="5" customFormat="1" x14ac:dyDescent="0.25">
      <c r="A22" s="7" t="s">
        <v>182</v>
      </c>
      <c r="B22" s="5">
        <f>IF(Dati!B9=1,Dati!B10,"NA")</f>
        <v>0</v>
      </c>
      <c r="C22" s="5" t="str">
        <f>IF(Dati!C9=1,Dati!C10,"NA")</f>
        <v>NA</v>
      </c>
      <c r="D22" s="5" t="str">
        <f>IF(Dati!D9=1,Dati!D10,"NA")</f>
        <v>NA</v>
      </c>
      <c r="E22" s="5">
        <f>IF(Dati!E9=1,Dati!E10,"NA")</f>
        <v>4</v>
      </c>
      <c r="F22" s="5">
        <f>IF(Dati!F9=1,Dati!F10,"NA")</f>
        <v>2</v>
      </c>
      <c r="G22" s="5">
        <f>IF(Dati!G9=1,Dati!G10,"NA")</f>
        <v>1</v>
      </c>
      <c r="H22" s="5" t="str">
        <f>IF(Dati!H9=1,Dati!H10,"NA")</f>
        <v>NA</v>
      </c>
      <c r="I22" s="5" t="str">
        <f>IF(Dati!I9=1,Dati!I10,"NA")</f>
        <v>NA</v>
      </c>
      <c r="J22" s="5" t="str">
        <f>IF(Dati!J9=1,Dati!J10,"NA")</f>
        <v>NA</v>
      </c>
      <c r="K22" s="5" t="str">
        <f>IF(Dati!K9=1,Dati!K10,"NA")</f>
        <v>NA</v>
      </c>
      <c r="L22" s="5">
        <f>IF(Dati!L9=1,Dati!L10,"NA")</f>
        <v>1</v>
      </c>
      <c r="M22" s="5" t="str">
        <f>IF(Dati!M9=1,Dati!M10,"NA")</f>
        <v>NA</v>
      </c>
      <c r="N22" s="5">
        <f>IF(Dati!N9=1,Dati!N10,"NA")</f>
        <v>4</v>
      </c>
      <c r="O22" s="5" t="str">
        <f>IF(Dati!O9=1,Dati!O10,"NA")</f>
        <v>NA</v>
      </c>
      <c r="P22" s="5" t="str">
        <f>IF(Dati!P9=1,Dati!P10,"NA")</f>
        <v>NA</v>
      </c>
      <c r="Q22" s="5">
        <f>IF(Dati!Q9=1,Dati!Q10,"NA")</f>
        <v>2</v>
      </c>
      <c r="R22" s="5" t="str">
        <f>IF(Dati!R9=1,Dati!R10,"NA")</f>
        <v>NA</v>
      </c>
      <c r="S22" s="5" t="str">
        <f>IF(Dati!S9=1,Dati!S10,"NA")</f>
        <v>NA</v>
      </c>
      <c r="T22" s="5">
        <f>IF(Dati!T9=1,Dati!T10,"NA")</f>
        <v>2</v>
      </c>
      <c r="U22" s="5">
        <f>IF(Dati!U9=1,Dati!U10,"NA")</f>
        <v>0</v>
      </c>
      <c r="V22" s="5" t="str">
        <f>IF(Dati!V9=1,Dati!V10,"NA")</f>
        <v>NA</v>
      </c>
      <c r="W22" s="5" t="str">
        <f>IF(Dati!W9=1,Dati!W10,"NA")</f>
        <v>NA</v>
      </c>
      <c r="X22" s="5" t="str">
        <f>IF(Dati!X9=1,Dati!X10,"NA")</f>
        <v>NA</v>
      </c>
      <c r="Y22" s="5">
        <f>IF(Dati!Y9=1,Dati!Y10,"NA")</f>
        <v>3</v>
      </c>
      <c r="Z22" s="5" t="str">
        <f>IF(Dati!Z9=1,Dati!Z10,"NA")</f>
        <v>NA</v>
      </c>
    </row>
    <row r="23" spans="1:26" s="5" customFormat="1" x14ac:dyDescent="0.25">
      <c r="A23" s="7" t="s">
        <v>183</v>
      </c>
      <c r="B23" s="5" t="str">
        <f>IF(Dati!B9=2,Dati!B10,"NA")</f>
        <v>NA</v>
      </c>
      <c r="C23" s="5">
        <f>IF(Dati!C9=2,Dati!C10,"NA")</f>
        <v>5</v>
      </c>
      <c r="D23" s="5">
        <f>IF(Dati!D9=2,Dati!D10,"NA")</f>
        <v>2</v>
      </c>
      <c r="E23" s="5" t="str">
        <f>IF(Dati!E9=2,Dati!E10,"NA")</f>
        <v>NA</v>
      </c>
      <c r="F23" s="5" t="str">
        <f>IF(Dati!F9=2,Dati!F10,"NA")</f>
        <v>NA</v>
      </c>
      <c r="G23" s="5" t="str">
        <f>IF(Dati!G9=2,Dati!G10,"NA")</f>
        <v>NA</v>
      </c>
      <c r="H23" s="5">
        <f>IF(Dati!H9=2,Dati!H10,"NA")</f>
        <v>5</v>
      </c>
      <c r="I23" s="5">
        <f>IF(Dati!I9=2,Dati!I10,"NA")</f>
        <v>4</v>
      </c>
      <c r="J23" s="5">
        <f>IF(Dati!J9=2,Dati!J10,"NA")</f>
        <v>2</v>
      </c>
      <c r="K23" s="5">
        <f>IF(Dati!K9=2,Dati!K10,"NA")</f>
        <v>5</v>
      </c>
      <c r="L23" s="5" t="str">
        <f>IF(Dati!L9=2,Dati!L10,"NA")</f>
        <v>NA</v>
      </c>
      <c r="M23" s="5">
        <f>IF(Dati!M9=2,Dati!M10,"NA")</f>
        <v>3</v>
      </c>
      <c r="N23" s="5" t="str">
        <f>IF(Dati!N9=2,Dati!N10,"NA")</f>
        <v>NA</v>
      </c>
      <c r="O23" s="5">
        <f>IF(Dati!O9=2,Dati!O10,"NA")</f>
        <v>3</v>
      </c>
      <c r="P23" s="5">
        <f>IF(Dati!P9=2,Dati!P10,"NA")</f>
        <v>4</v>
      </c>
      <c r="Q23" s="5" t="str">
        <f>IF(Dati!Q9=2,Dati!Q10,"NA")</f>
        <v>NA</v>
      </c>
      <c r="R23" s="5">
        <f>IF(Dati!R9=2,Dati!R10,"NA")</f>
        <v>2</v>
      </c>
      <c r="S23" s="5">
        <f>IF(Dati!S9=2,Dati!S10,"NA")</f>
        <v>3</v>
      </c>
      <c r="T23" s="5" t="str">
        <f>IF(Dati!T9=2,Dati!T10,"NA")</f>
        <v>NA</v>
      </c>
      <c r="U23" s="5" t="str">
        <f>IF(Dati!U9=2,Dati!U10,"NA")</f>
        <v>NA</v>
      </c>
      <c r="V23" s="5">
        <f>IF(Dati!V9=2,Dati!V10,"NA")</f>
        <v>1</v>
      </c>
      <c r="W23" s="5">
        <f>IF(Dati!W9=2,Dati!W10,"NA")</f>
        <v>2</v>
      </c>
      <c r="X23" s="5">
        <f>IF(Dati!X9=2,Dati!X10,"NA")</f>
        <v>3</v>
      </c>
      <c r="Y23" s="5" t="str">
        <f>IF(Dati!Y9=2,Dati!Y10,"NA")</f>
        <v>NA</v>
      </c>
      <c r="Z23" s="5">
        <f>IF(Dati!Z9=2,Dati!Z10,"NA")</f>
        <v>1</v>
      </c>
    </row>
    <row r="24" spans="1:26" s="5" customFormat="1" x14ac:dyDescent="0.25">
      <c r="A24" s="7"/>
    </row>
    <row r="25" spans="1:26" s="5" customFormat="1" x14ac:dyDescent="0.25">
      <c r="A25" s="7" t="s">
        <v>184</v>
      </c>
      <c r="B25" s="5">
        <f>IF(IF(B22="NA",0,B22)&gt;3,1,0)</f>
        <v>0</v>
      </c>
      <c r="C25" s="5">
        <f t="shared" ref="C25:Z25" si="1">IF(IF(C22="NA",0,C22)&gt;3,1,0)</f>
        <v>0</v>
      </c>
      <c r="D25" s="5">
        <f t="shared" si="1"/>
        <v>0</v>
      </c>
      <c r="E25" s="5">
        <f t="shared" si="1"/>
        <v>1</v>
      </c>
      <c r="F25" s="5">
        <f t="shared" si="1"/>
        <v>0</v>
      </c>
      <c r="G25" s="5">
        <f t="shared" si="1"/>
        <v>0</v>
      </c>
      <c r="H25" s="5">
        <f t="shared" si="1"/>
        <v>0</v>
      </c>
      <c r="I25" s="5">
        <f t="shared" si="1"/>
        <v>0</v>
      </c>
      <c r="J25" s="5">
        <f t="shared" si="1"/>
        <v>0</v>
      </c>
      <c r="K25" s="5">
        <f t="shared" si="1"/>
        <v>0</v>
      </c>
      <c r="L25" s="5">
        <f t="shared" si="1"/>
        <v>0</v>
      </c>
      <c r="M25" s="5">
        <f t="shared" si="1"/>
        <v>0</v>
      </c>
      <c r="N25" s="5">
        <f t="shared" si="1"/>
        <v>1</v>
      </c>
      <c r="O25" s="5">
        <f t="shared" si="1"/>
        <v>0</v>
      </c>
      <c r="P25" s="5">
        <f t="shared" si="1"/>
        <v>0</v>
      </c>
      <c r="Q25" s="5">
        <f t="shared" si="1"/>
        <v>0</v>
      </c>
      <c r="R25" s="5">
        <f t="shared" si="1"/>
        <v>0</v>
      </c>
      <c r="S25" s="5">
        <f t="shared" si="1"/>
        <v>0</v>
      </c>
      <c r="T25" s="5">
        <f t="shared" si="1"/>
        <v>0</v>
      </c>
      <c r="U25" s="5">
        <f t="shared" si="1"/>
        <v>0</v>
      </c>
      <c r="V25" s="5">
        <f t="shared" si="1"/>
        <v>0</v>
      </c>
      <c r="W25" s="5">
        <f t="shared" si="1"/>
        <v>0</v>
      </c>
      <c r="X25" s="5">
        <f t="shared" si="1"/>
        <v>0</v>
      </c>
      <c r="Y25" s="5">
        <f t="shared" si="1"/>
        <v>0</v>
      </c>
      <c r="Z25" s="5">
        <f t="shared" si="1"/>
        <v>0</v>
      </c>
    </row>
    <row r="26" spans="1:26" s="5" customFormat="1" x14ac:dyDescent="0.25">
      <c r="A26" s="7" t="s">
        <v>185</v>
      </c>
      <c r="B26" s="5">
        <f>IF(IF(B23="NA",0,B23)&gt;3,1,0)</f>
        <v>0</v>
      </c>
      <c r="C26" s="5">
        <f t="shared" ref="C26:Z26" si="2">IF(IF(C23="NA",0,C23)&gt;3,1,0)</f>
        <v>1</v>
      </c>
      <c r="D26" s="5">
        <f t="shared" si="2"/>
        <v>0</v>
      </c>
      <c r="E26" s="5">
        <f t="shared" si="2"/>
        <v>0</v>
      </c>
      <c r="F26" s="5">
        <f t="shared" si="2"/>
        <v>0</v>
      </c>
      <c r="G26" s="5">
        <f t="shared" si="2"/>
        <v>0</v>
      </c>
      <c r="H26" s="5">
        <f t="shared" si="2"/>
        <v>1</v>
      </c>
      <c r="I26" s="5">
        <f t="shared" si="2"/>
        <v>1</v>
      </c>
      <c r="J26" s="5">
        <f t="shared" si="2"/>
        <v>0</v>
      </c>
      <c r="K26" s="5">
        <f t="shared" si="2"/>
        <v>1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5">
        <f t="shared" si="2"/>
        <v>1</v>
      </c>
      <c r="Q26" s="5">
        <f t="shared" si="2"/>
        <v>0</v>
      </c>
      <c r="R26" s="5">
        <f t="shared" si="2"/>
        <v>0</v>
      </c>
      <c r="S26" s="5">
        <f t="shared" si="2"/>
        <v>0</v>
      </c>
      <c r="T26" s="5">
        <f t="shared" si="2"/>
        <v>0</v>
      </c>
      <c r="U26" s="5">
        <f t="shared" si="2"/>
        <v>0</v>
      </c>
      <c r="V26" s="5">
        <f t="shared" si="2"/>
        <v>0</v>
      </c>
      <c r="W26" s="5">
        <f t="shared" si="2"/>
        <v>0</v>
      </c>
      <c r="X26" s="5">
        <f t="shared" si="2"/>
        <v>0</v>
      </c>
      <c r="Y26" s="5">
        <f t="shared" si="2"/>
        <v>0</v>
      </c>
      <c r="Z26" s="5">
        <f t="shared" si="2"/>
        <v>0</v>
      </c>
    </row>
    <row r="28" spans="1:26" x14ac:dyDescent="0.25">
      <c r="A28" s="1" t="s">
        <v>136</v>
      </c>
      <c r="B28" s="1" t="s">
        <v>128</v>
      </c>
      <c r="C28" s="1" t="s">
        <v>129</v>
      </c>
      <c r="D28" s="1" t="s">
        <v>130</v>
      </c>
      <c r="E28" s="1" t="s">
        <v>131</v>
      </c>
      <c r="F28" s="1" t="s">
        <v>132</v>
      </c>
      <c r="G28" s="1" t="s">
        <v>133</v>
      </c>
      <c r="H28" s="1" t="s">
        <v>134</v>
      </c>
      <c r="I28" s="1" t="s">
        <v>135</v>
      </c>
    </row>
    <row r="29" spans="1:26" x14ac:dyDescent="0.25">
      <c r="A29" s="3" t="s">
        <v>126</v>
      </c>
      <c r="B29" s="5">
        <v>45</v>
      </c>
      <c r="C29" s="5">
        <f>B29/$B$31</f>
        <v>0.39130434782608697</v>
      </c>
      <c r="D29" s="5">
        <f>COUNT(Dati!B9:Z9)-'Cap2'!D30</f>
        <v>10</v>
      </c>
      <c r="E29" s="5">
        <f>SUM(B22:Z22)</f>
        <v>19</v>
      </c>
      <c r="F29" s="5">
        <f>E29/D29</f>
        <v>1.9</v>
      </c>
      <c r="G29" s="5">
        <f>_xlfn.VAR.S(B22:Z22)</f>
        <v>2.0999999999999996</v>
      </c>
      <c r="H29" s="5">
        <f>SUM(B25:Z25)</f>
        <v>2</v>
      </c>
      <c r="I29" s="5">
        <f>H29/D29</f>
        <v>0.2</v>
      </c>
    </row>
    <row r="30" spans="1:26" x14ac:dyDescent="0.25">
      <c r="A30" s="4" t="s">
        <v>127</v>
      </c>
      <c r="B30" s="5">
        <v>70</v>
      </c>
      <c r="C30" s="5">
        <f t="shared" ref="C30:C31" si="3">B30/$B$31</f>
        <v>0.60869565217391308</v>
      </c>
      <c r="D30" s="5">
        <f>SUM(Dati!B9:Z9)-COUNT(Dati!B9:Z9)</f>
        <v>15</v>
      </c>
      <c r="E30" s="5">
        <f>SUM(B23:Z23)</f>
        <v>45</v>
      </c>
      <c r="F30" s="5">
        <f>E30/D30</f>
        <v>3</v>
      </c>
      <c r="G30" s="5">
        <f>_xlfn.VAR.S(B23:Z23)</f>
        <v>1.8571428571428572</v>
      </c>
      <c r="H30" s="5">
        <f>SUM(B26:Z26)</f>
        <v>5</v>
      </c>
      <c r="I30" s="5">
        <f t="shared" ref="I30:I31" si="4">H30/D30</f>
        <v>0.33333333333333331</v>
      </c>
    </row>
    <row r="31" spans="1:26" x14ac:dyDescent="0.25">
      <c r="A31" s="1" t="s">
        <v>125</v>
      </c>
      <c r="B31" s="5">
        <f>B30+B29</f>
        <v>115</v>
      </c>
      <c r="C31" s="5">
        <f t="shared" si="3"/>
        <v>1</v>
      </c>
      <c r="D31" s="5">
        <f>D29+D30</f>
        <v>25</v>
      </c>
      <c r="E31" s="5">
        <f t="shared" ref="E31" si="5">E30+E29</f>
        <v>64</v>
      </c>
      <c r="F31" s="5">
        <f>E31/D31</f>
        <v>2.56</v>
      </c>
      <c r="G31" s="5">
        <f>_xlfn.VAR.S(B22:Z23)</f>
        <v>2.1733333333333333</v>
      </c>
      <c r="H31" s="5">
        <f>H30+H29</f>
        <v>7</v>
      </c>
      <c r="I31" s="5">
        <f t="shared" si="4"/>
        <v>0.28000000000000003</v>
      </c>
    </row>
    <row r="34" spans="1:3" x14ac:dyDescent="0.25">
      <c r="A34" s="1" t="s">
        <v>137</v>
      </c>
    </row>
    <row r="36" spans="1:3" x14ac:dyDescent="0.25">
      <c r="A36" s="1" t="s">
        <v>138</v>
      </c>
      <c r="B36" s="5">
        <f>B2</f>
        <v>2.2400000000000002</v>
      </c>
      <c r="C36" s="5"/>
    </row>
    <row r="37" spans="1:3" x14ac:dyDescent="0.25">
      <c r="A37" s="1" t="s">
        <v>139</v>
      </c>
      <c r="B37" s="5">
        <f>B9</f>
        <v>0.25680308815697001</v>
      </c>
      <c r="C37" s="5"/>
    </row>
    <row r="38" spans="1:3" x14ac:dyDescent="0.25">
      <c r="A38" s="1" t="s">
        <v>140</v>
      </c>
      <c r="B38" s="5">
        <v>2.0640000000000001</v>
      </c>
      <c r="C38" s="5"/>
    </row>
    <row r="39" spans="1:3" x14ac:dyDescent="0.25">
      <c r="A39" s="1" t="s">
        <v>141</v>
      </c>
      <c r="B39" s="5">
        <f>B36-B38*B37</f>
        <v>1.7099584260440142</v>
      </c>
      <c r="C39" s="5">
        <f>B36+B37*B38</f>
        <v>2.7700415739559863</v>
      </c>
    </row>
    <row r="42" spans="1:3" x14ac:dyDescent="0.25">
      <c r="A42" s="1" t="s">
        <v>142</v>
      </c>
    </row>
    <row r="44" spans="1:3" x14ac:dyDescent="0.25">
      <c r="A44" t="s">
        <v>177</v>
      </c>
      <c r="B44">
        <f>1.96^2*B7/0.5^2</f>
        <v>32.371882666666657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X145"/>
  <sheetViews>
    <sheetView tabSelected="1" topLeftCell="A88" workbookViewId="0">
      <selection activeCell="H93" sqref="H93"/>
    </sheetView>
  </sheetViews>
  <sheetFormatPr defaultRowHeight="15" x14ac:dyDescent="0.25"/>
  <cols>
    <col min="1" max="1" width="13" customWidth="1"/>
    <col min="10" max="10" width="11.28515625" customWidth="1"/>
    <col min="11" max="11" width="10.7109375" customWidth="1"/>
  </cols>
  <sheetData>
    <row r="1" spans="1:13" x14ac:dyDescent="0.25">
      <c r="A1" s="1" t="s">
        <v>5</v>
      </c>
    </row>
    <row r="3" spans="1:13" x14ac:dyDescent="0.25">
      <c r="A3" t="s">
        <v>6</v>
      </c>
      <c r="B3" t="s">
        <v>7</v>
      </c>
      <c r="C3" t="s">
        <v>8</v>
      </c>
      <c r="D3" t="s">
        <v>9</v>
      </c>
    </row>
    <row r="4" spans="1:13" x14ac:dyDescent="0.25">
      <c r="A4">
        <v>2008</v>
      </c>
      <c r="B4">
        <v>1.95</v>
      </c>
      <c r="C4" s="5" t="s">
        <v>186</v>
      </c>
      <c r="D4" s="5" t="s">
        <v>186</v>
      </c>
    </row>
    <row r="5" spans="1:13" x14ac:dyDescent="0.25">
      <c r="A5">
        <v>2009</v>
      </c>
      <c r="B5">
        <v>2.2000000000000002</v>
      </c>
      <c r="C5" s="5">
        <f>B5-B4</f>
        <v>0.25000000000000022</v>
      </c>
      <c r="D5" s="5">
        <f>(B5-B4)/B4</f>
        <v>0.12820512820512833</v>
      </c>
    </row>
    <row r="6" spans="1:13" x14ac:dyDescent="0.25">
      <c r="A6">
        <v>2010</v>
      </c>
      <c r="B6">
        <v>2.4900000000000002</v>
      </c>
      <c r="C6" s="5">
        <f>B6-B5</f>
        <v>0.29000000000000004</v>
      </c>
      <c r="D6" s="5">
        <f>(B6-B5)/B5</f>
        <v>0.13181818181818183</v>
      </c>
    </row>
    <row r="7" spans="1:13" x14ac:dyDescent="0.25">
      <c r="C7" s="6"/>
      <c r="D7" s="6"/>
    </row>
    <row r="8" spans="1:13" x14ac:dyDescent="0.25">
      <c r="A8" s="1" t="s">
        <v>143</v>
      </c>
      <c r="H8" s="7" t="s">
        <v>145</v>
      </c>
      <c r="I8" s="5"/>
      <c r="J8" s="5"/>
      <c r="K8" s="5"/>
      <c r="L8" s="5"/>
    </row>
    <row r="9" spans="1:13" x14ac:dyDescent="0.25">
      <c r="H9" s="7" t="s">
        <v>146</v>
      </c>
      <c r="I9" s="5"/>
      <c r="J9" s="5"/>
      <c r="K9" s="5"/>
      <c r="L9" s="5"/>
    </row>
    <row r="10" spans="1:1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</row>
    <row r="11" spans="1:13" x14ac:dyDescent="0.25">
      <c r="A11" t="s">
        <v>15</v>
      </c>
      <c r="B11">
        <v>183</v>
      </c>
      <c r="C11">
        <v>917</v>
      </c>
      <c r="D11">
        <v>1009</v>
      </c>
      <c r="E11" s="5">
        <f>SUM(B11:D11)</f>
        <v>2109</v>
      </c>
      <c r="H11" s="5" t="s">
        <v>15</v>
      </c>
      <c r="I11" s="9">
        <f>B11/$E$15*100</f>
        <v>0.78960994131860551</v>
      </c>
      <c r="J11" s="9">
        <f t="shared" ref="J11:L11" si="0">C11/$E$15*100</f>
        <v>3.9566793234380393</v>
      </c>
      <c r="K11" s="9">
        <f t="shared" si="0"/>
        <v>4.3536416983085955</v>
      </c>
      <c r="L11" s="9">
        <f t="shared" si="0"/>
        <v>9.0999309630652405</v>
      </c>
    </row>
    <row r="12" spans="1:13" x14ac:dyDescent="0.25">
      <c r="A12" t="s">
        <v>16</v>
      </c>
      <c r="B12">
        <v>474</v>
      </c>
      <c r="C12">
        <v>1328</v>
      </c>
      <c r="D12">
        <v>948</v>
      </c>
      <c r="E12" s="5">
        <f t="shared" ref="E12:E14" si="1">SUM(B12:D12)</f>
        <v>2750</v>
      </c>
      <c r="H12" s="5" t="s">
        <v>16</v>
      </c>
      <c r="I12" s="9">
        <f t="shared" ref="I12:I15" si="2">B12/$E$15*100</f>
        <v>2.0452191922678633</v>
      </c>
      <c r="J12" s="9">
        <f t="shared" ref="J12:J15" si="3">C12/$E$15*100</f>
        <v>5.7300655850880222</v>
      </c>
      <c r="K12" s="9">
        <f t="shared" ref="K12:K15" si="4">D12/$E$15*100</f>
        <v>4.0904383845357266</v>
      </c>
      <c r="L12" s="9">
        <f t="shared" ref="L12:L15" si="5">E12/$E$15*100</f>
        <v>11.865723161891612</v>
      </c>
    </row>
    <row r="13" spans="1:13" x14ac:dyDescent="0.25">
      <c r="A13" t="s">
        <v>153</v>
      </c>
      <c r="B13">
        <v>2950</v>
      </c>
      <c r="C13">
        <v>5170</v>
      </c>
      <c r="D13">
        <v>2278</v>
      </c>
      <c r="E13" s="5">
        <f t="shared" si="1"/>
        <v>10398</v>
      </c>
      <c r="G13" s="5"/>
      <c r="H13" s="5" t="s">
        <v>153</v>
      </c>
      <c r="I13" s="9">
        <f t="shared" si="2"/>
        <v>12.72868484639282</v>
      </c>
      <c r="J13" s="9">
        <f t="shared" si="3"/>
        <v>22.307559544356231</v>
      </c>
      <c r="K13" s="9">
        <f t="shared" si="4"/>
        <v>9.8291335864687603</v>
      </c>
      <c r="L13" s="9">
        <f t="shared" si="5"/>
        <v>44.865377977217811</v>
      </c>
      <c r="M13" s="5"/>
    </row>
    <row r="14" spans="1:13" x14ac:dyDescent="0.25">
      <c r="A14" t="s">
        <v>18</v>
      </c>
      <c r="B14">
        <v>2487</v>
      </c>
      <c r="C14">
        <v>4569</v>
      </c>
      <c r="D14">
        <v>863</v>
      </c>
      <c r="E14" s="5">
        <f t="shared" si="1"/>
        <v>7919</v>
      </c>
      <c r="H14" s="5" t="s">
        <v>18</v>
      </c>
      <c r="I14" s="9">
        <f t="shared" si="2"/>
        <v>10.730928546772525</v>
      </c>
      <c r="J14" s="9">
        <f t="shared" si="3"/>
        <v>19.7143596824301</v>
      </c>
      <c r="K14" s="9">
        <f t="shared" si="4"/>
        <v>3.7236796686227134</v>
      </c>
      <c r="L14" s="9">
        <f t="shared" si="5"/>
        <v>34.16896789782534</v>
      </c>
    </row>
    <row r="15" spans="1:13" x14ac:dyDescent="0.25">
      <c r="A15" t="s">
        <v>14</v>
      </c>
      <c r="B15" s="5">
        <f>SUM(B11:B14)</f>
        <v>6094</v>
      </c>
      <c r="C15" s="5">
        <f t="shared" ref="C15:E15" si="6">SUM(C11:C14)</f>
        <v>11984</v>
      </c>
      <c r="D15" s="5">
        <f t="shared" si="6"/>
        <v>5098</v>
      </c>
      <c r="E15" s="5">
        <f t="shared" si="6"/>
        <v>23176</v>
      </c>
      <c r="H15" s="5" t="s">
        <v>14</v>
      </c>
      <c r="I15" s="9">
        <f t="shared" si="2"/>
        <v>26.294442526751808</v>
      </c>
      <c r="J15" s="9">
        <f t="shared" si="3"/>
        <v>51.708664135312389</v>
      </c>
      <c r="K15" s="9">
        <f t="shared" si="4"/>
        <v>21.996893337935795</v>
      </c>
      <c r="L15" s="9">
        <f t="shared" si="5"/>
        <v>100</v>
      </c>
    </row>
    <row r="16" spans="1:13" x14ac:dyDescent="0.25">
      <c r="H16" s="5"/>
      <c r="I16" s="5"/>
      <c r="J16" s="5"/>
      <c r="K16" s="5"/>
      <c r="L16" s="5"/>
    </row>
    <row r="17" spans="1:24" x14ac:dyDescent="0.25">
      <c r="A17" s="1" t="s">
        <v>144</v>
      </c>
      <c r="H17" s="7" t="s">
        <v>195</v>
      </c>
      <c r="I17" s="5"/>
      <c r="J17" s="5"/>
      <c r="K17" s="5"/>
      <c r="L17" s="5"/>
      <c r="N17" s="7" t="s">
        <v>149</v>
      </c>
      <c r="O17" s="5"/>
      <c r="P17" s="5"/>
      <c r="Q17" s="5"/>
      <c r="R17" s="5"/>
      <c r="S17" s="5"/>
    </row>
    <row r="18" spans="1:24" x14ac:dyDescent="0.25">
      <c r="H18" s="7" t="s">
        <v>146</v>
      </c>
      <c r="I18" s="5"/>
      <c r="J18" s="5"/>
      <c r="K18" s="5"/>
      <c r="L18" s="5"/>
      <c r="N18" s="7" t="s">
        <v>147</v>
      </c>
      <c r="O18" s="5"/>
      <c r="P18" s="5"/>
      <c r="Q18" s="5"/>
      <c r="R18" s="5"/>
      <c r="S18" s="5"/>
      <c r="T18" s="7" t="s">
        <v>148</v>
      </c>
      <c r="U18" s="5"/>
      <c r="V18" s="5"/>
      <c r="W18" s="5"/>
      <c r="X18" s="5"/>
    </row>
    <row r="19" spans="1:24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  <c r="N19" s="5" t="s">
        <v>10</v>
      </c>
      <c r="O19" s="5" t="s">
        <v>11</v>
      </c>
      <c r="P19" s="5" t="s">
        <v>12</v>
      </c>
      <c r="Q19" s="5" t="s">
        <v>13</v>
      </c>
      <c r="R19" s="5" t="s">
        <v>14</v>
      </c>
      <c r="S19" s="5"/>
      <c r="T19" s="5" t="s">
        <v>10</v>
      </c>
      <c r="U19" s="5" t="s">
        <v>11</v>
      </c>
      <c r="V19" s="5" t="s">
        <v>12</v>
      </c>
      <c r="W19" s="5" t="s">
        <v>13</v>
      </c>
      <c r="X19" s="5" t="s">
        <v>14</v>
      </c>
    </row>
    <row r="20" spans="1:24" x14ac:dyDescent="0.25">
      <c r="A20" t="s">
        <v>15</v>
      </c>
      <c r="B20">
        <v>2</v>
      </c>
      <c r="C20">
        <v>10</v>
      </c>
      <c r="D20">
        <v>11</v>
      </c>
      <c r="E20" s="5">
        <f>SUM(B20:D20)</f>
        <v>23</v>
      </c>
      <c r="H20" s="5" t="s">
        <v>15</v>
      </c>
      <c r="I20" s="9">
        <f>B20/$E$24*100</f>
        <v>0.26702269692923897</v>
      </c>
      <c r="J20" s="9">
        <f t="shared" ref="J20:L20" si="7">C20/$E$24*100</f>
        <v>1.3351134846461949</v>
      </c>
      <c r="K20" s="9">
        <f t="shared" si="7"/>
        <v>1.4686248331108143</v>
      </c>
      <c r="L20" s="9">
        <f t="shared" si="7"/>
        <v>3.0707610146862483</v>
      </c>
      <c r="N20" s="5" t="s">
        <v>15</v>
      </c>
      <c r="O20" s="9">
        <f>B20/$E20*100</f>
        <v>8.695652173913043</v>
      </c>
      <c r="P20" s="9">
        <f t="shared" ref="P20:R20" si="8">C20/$E20*100</f>
        <v>43.478260869565219</v>
      </c>
      <c r="Q20" s="9">
        <f t="shared" si="8"/>
        <v>47.826086956521742</v>
      </c>
      <c r="R20" s="9">
        <f t="shared" si="8"/>
        <v>100</v>
      </c>
      <c r="S20" s="5"/>
      <c r="T20" s="5" t="s">
        <v>15</v>
      </c>
      <c r="U20" s="9">
        <f>B20/B$24*100</f>
        <v>0.94786729857819907</v>
      </c>
      <c r="V20" s="9">
        <f t="shared" ref="V20:X20" si="9">C20/C$24*100</f>
        <v>2.5316455696202533</v>
      </c>
      <c r="W20" s="9">
        <f t="shared" si="9"/>
        <v>7.6923076923076925</v>
      </c>
      <c r="X20" s="9">
        <f t="shared" si="9"/>
        <v>3.0707610146862483</v>
      </c>
    </row>
    <row r="21" spans="1:24" x14ac:dyDescent="0.25">
      <c r="A21" t="s">
        <v>16</v>
      </c>
      <c r="B21">
        <v>10</v>
      </c>
      <c r="C21">
        <v>28</v>
      </c>
      <c r="D21">
        <v>20</v>
      </c>
      <c r="E21" s="5">
        <f t="shared" ref="E21:E23" si="10">SUM(B21:D21)</f>
        <v>58</v>
      </c>
      <c r="H21" s="5" t="s">
        <v>16</v>
      </c>
      <c r="I21" s="9">
        <f t="shared" ref="I21:I24" si="11">B21/$E$24*100</f>
        <v>1.3351134846461949</v>
      </c>
      <c r="J21" s="9">
        <f t="shared" ref="J21:J24" si="12">C21/$E$24*100</f>
        <v>3.7383177570093453</v>
      </c>
      <c r="K21" s="9">
        <f t="shared" ref="K21:K24" si="13">D21/$E$24*100</f>
        <v>2.6702269692923899</v>
      </c>
      <c r="L21" s="9">
        <f t="shared" ref="L21:L24" si="14">E21/$E$24*100</f>
        <v>7.7436582109479302</v>
      </c>
      <c r="N21" s="5" t="s">
        <v>16</v>
      </c>
      <c r="O21" s="9">
        <f t="shared" ref="O21:O24" si="15">B21/$E21*100</f>
        <v>17.241379310344829</v>
      </c>
      <c r="P21" s="9">
        <f t="shared" ref="P21:P24" si="16">C21/$E21*100</f>
        <v>48.275862068965516</v>
      </c>
      <c r="Q21" s="9">
        <f t="shared" ref="Q21:Q24" si="17">D21/$E21*100</f>
        <v>34.482758620689658</v>
      </c>
      <c r="R21" s="9">
        <f t="shared" ref="R21:R24" si="18">E21/$E21*100</f>
        <v>100</v>
      </c>
      <c r="S21" s="5"/>
      <c r="T21" s="5" t="s">
        <v>16</v>
      </c>
      <c r="U21" s="9">
        <f t="shared" ref="U21:U24" si="19">B21/B$24*100</f>
        <v>4.7393364928909953</v>
      </c>
      <c r="V21" s="9">
        <f t="shared" ref="V21:V24" si="20">C21/C$24*100</f>
        <v>7.0886075949367093</v>
      </c>
      <c r="W21" s="9">
        <f t="shared" ref="W21:W24" si="21">D21/D$24*100</f>
        <v>13.986013986013987</v>
      </c>
      <c r="X21" s="9">
        <f t="shared" ref="X21:X24" si="22">E21/E$24*100</f>
        <v>7.7436582109479302</v>
      </c>
    </row>
    <row r="22" spans="1:24" x14ac:dyDescent="0.25">
      <c r="A22" t="s">
        <v>153</v>
      </c>
      <c r="B22">
        <v>101</v>
      </c>
      <c r="C22">
        <v>177</v>
      </c>
      <c r="D22">
        <v>78</v>
      </c>
      <c r="E22" s="5">
        <f t="shared" si="10"/>
        <v>356</v>
      </c>
      <c r="H22" s="5" t="s">
        <v>153</v>
      </c>
      <c r="I22" s="9">
        <f t="shared" si="11"/>
        <v>13.484646194926569</v>
      </c>
      <c r="J22" s="9">
        <f t="shared" si="12"/>
        <v>23.631508678237651</v>
      </c>
      <c r="K22" s="9">
        <f t="shared" si="13"/>
        <v>10.413885180240321</v>
      </c>
      <c r="L22" s="9">
        <f t="shared" si="14"/>
        <v>47.530040053404541</v>
      </c>
      <c r="M22" s="5"/>
      <c r="N22" s="5" t="s">
        <v>153</v>
      </c>
      <c r="O22" s="9">
        <f t="shared" si="15"/>
        <v>28.370786516853936</v>
      </c>
      <c r="P22" s="9">
        <f t="shared" si="16"/>
        <v>49.719101123595507</v>
      </c>
      <c r="Q22" s="9">
        <f t="shared" si="17"/>
        <v>21.910112359550563</v>
      </c>
      <c r="R22" s="9">
        <f t="shared" si="18"/>
        <v>100</v>
      </c>
      <c r="S22" s="5"/>
      <c r="T22" s="5" t="s">
        <v>153</v>
      </c>
      <c r="U22" s="9">
        <f t="shared" si="19"/>
        <v>47.867298578199055</v>
      </c>
      <c r="V22" s="9">
        <f t="shared" si="20"/>
        <v>44.810126582278478</v>
      </c>
      <c r="W22" s="9">
        <f t="shared" si="21"/>
        <v>54.54545454545454</v>
      </c>
      <c r="X22" s="9">
        <f t="shared" si="22"/>
        <v>47.530040053404541</v>
      </c>
    </row>
    <row r="23" spans="1:24" x14ac:dyDescent="0.25">
      <c r="A23" t="s">
        <v>18</v>
      </c>
      <c r="B23">
        <v>98</v>
      </c>
      <c r="C23">
        <v>180</v>
      </c>
      <c r="D23">
        <v>34</v>
      </c>
      <c r="E23" s="5">
        <f t="shared" si="10"/>
        <v>312</v>
      </c>
      <c r="H23" s="5" t="s">
        <v>18</v>
      </c>
      <c r="I23" s="9">
        <f t="shared" si="11"/>
        <v>13.084112149532709</v>
      </c>
      <c r="J23" s="9">
        <f t="shared" si="12"/>
        <v>24.032042723631509</v>
      </c>
      <c r="K23" s="9">
        <f t="shared" si="13"/>
        <v>4.539385847797063</v>
      </c>
      <c r="L23" s="9">
        <f t="shared" si="14"/>
        <v>41.655540720961284</v>
      </c>
      <c r="N23" s="5" t="s">
        <v>18</v>
      </c>
      <c r="O23" s="9">
        <f t="shared" si="15"/>
        <v>31.410256410256409</v>
      </c>
      <c r="P23" s="9">
        <f t="shared" si="16"/>
        <v>57.692307692307686</v>
      </c>
      <c r="Q23" s="9">
        <f t="shared" si="17"/>
        <v>10.897435897435898</v>
      </c>
      <c r="R23" s="9">
        <f t="shared" si="18"/>
        <v>100</v>
      </c>
      <c r="S23" s="5"/>
      <c r="T23" s="5" t="s">
        <v>18</v>
      </c>
      <c r="U23" s="9">
        <f t="shared" si="19"/>
        <v>46.445497630331758</v>
      </c>
      <c r="V23" s="9">
        <f t="shared" si="20"/>
        <v>45.569620253164558</v>
      </c>
      <c r="W23" s="9">
        <f t="shared" si="21"/>
        <v>23.776223776223777</v>
      </c>
      <c r="X23" s="9">
        <f t="shared" si="22"/>
        <v>41.655540720961284</v>
      </c>
    </row>
    <row r="24" spans="1:24" x14ac:dyDescent="0.25">
      <c r="A24" t="s">
        <v>14</v>
      </c>
      <c r="B24" s="5">
        <f>SUM(B20:B23)</f>
        <v>211</v>
      </c>
      <c r="C24" s="5">
        <f t="shared" ref="C24" si="23">SUM(C20:C23)</f>
        <v>395</v>
      </c>
      <c r="D24" s="5">
        <f t="shared" ref="D24" si="24">SUM(D20:D23)</f>
        <v>143</v>
      </c>
      <c r="E24" s="5">
        <f t="shared" ref="E24" si="25">SUM(E20:E23)</f>
        <v>749</v>
      </c>
      <c r="H24" s="5" t="s">
        <v>14</v>
      </c>
      <c r="I24" s="9">
        <f t="shared" si="11"/>
        <v>28.170894526034711</v>
      </c>
      <c r="J24" s="9">
        <f t="shared" si="12"/>
        <v>52.736982643524698</v>
      </c>
      <c r="K24" s="9">
        <f t="shared" si="13"/>
        <v>19.092122830440587</v>
      </c>
      <c r="L24" s="9">
        <f t="shared" si="14"/>
        <v>100</v>
      </c>
      <c r="N24" s="5" t="s">
        <v>14</v>
      </c>
      <c r="O24" s="9">
        <f t="shared" si="15"/>
        <v>28.170894526034711</v>
      </c>
      <c r="P24" s="9">
        <f t="shared" si="16"/>
        <v>52.736982643524698</v>
      </c>
      <c r="Q24" s="9">
        <f t="shared" si="17"/>
        <v>19.092122830440587</v>
      </c>
      <c r="R24" s="9">
        <f t="shared" si="18"/>
        <v>100</v>
      </c>
      <c r="S24" s="5"/>
      <c r="T24" s="5" t="s">
        <v>14</v>
      </c>
      <c r="U24" s="9">
        <f t="shared" si="19"/>
        <v>100</v>
      </c>
      <c r="V24" s="9">
        <f t="shared" si="20"/>
        <v>100</v>
      </c>
      <c r="W24" s="9">
        <f t="shared" si="21"/>
        <v>100</v>
      </c>
      <c r="X24" s="9">
        <f t="shared" si="22"/>
        <v>100</v>
      </c>
    </row>
    <row r="26" spans="1:24" x14ac:dyDescent="0.25">
      <c r="H26" s="7" t="s">
        <v>150</v>
      </c>
    </row>
    <row r="27" spans="1:24" x14ac:dyDescent="0.25">
      <c r="H27" s="5">
        <f>SUM(B11:B14)/SUM(D11:D14)*100</f>
        <v>119.53707336210277</v>
      </c>
    </row>
    <row r="28" spans="1:24" x14ac:dyDescent="0.25">
      <c r="N28" s="5"/>
    </row>
    <row r="29" spans="1:24" x14ac:dyDescent="0.25">
      <c r="A29" s="1" t="s">
        <v>21</v>
      </c>
      <c r="H29" s="7" t="s">
        <v>151</v>
      </c>
      <c r="I29" s="5"/>
      <c r="J29" s="5"/>
      <c r="K29" s="5"/>
    </row>
    <row r="30" spans="1:24" x14ac:dyDescent="0.25">
      <c r="H30" s="7" t="s">
        <v>152</v>
      </c>
      <c r="I30" s="5"/>
      <c r="J30" s="5"/>
      <c r="K30" s="5"/>
    </row>
    <row r="31" spans="1:24" x14ac:dyDescent="0.25">
      <c r="A31" t="s">
        <v>22</v>
      </c>
      <c r="B31" t="s">
        <v>187</v>
      </c>
      <c r="C31" t="s">
        <v>188</v>
      </c>
      <c r="D31" t="s">
        <v>14</v>
      </c>
      <c r="H31" s="5" t="s">
        <v>22</v>
      </c>
      <c r="I31" s="5" t="s">
        <v>187</v>
      </c>
      <c r="J31" s="5" t="s">
        <v>188</v>
      </c>
      <c r="K31" s="5" t="s">
        <v>14</v>
      </c>
    </row>
    <row r="32" spans="1:24" x14ac:dyDescent="0.25">
      <c r="A32" t="s">
        <v>23</v>
      </c>
      <c r="B32">
        <v>5</v>
      </c>
      <c r="C32">
        <v>7</v>
      </c>
      <c r="D32" s="5">
        <f>C32+B32</f>
        <v>12</v>
      </c>
      <c r="H32" s="5" t="s">
        <v>23</v>
      </c>
      <c r="I32" s="9">
        <f>B32/B40*100</f>
        <v>2.5</v>
      </c>
      <c r="J32" s="9">
        <f t="shared" ref="J32:K32" si="26">C32/C40*100</f>
        <v>2.3333333333333335</v>
      </c>
      <c r="K32" s="9">
        <f t="shared" si="26"/>
        <v>2.4</v>
      </c>
    </row>
    <row r="33" spans="1:18" x14ac:dyDescent="0.25">
      <c r="A33" t="s">
        <v>24</v>
      </c>
      <c r="B33">
        <v>7</v>
      </c>
      <c r="C33">
        <v>5</v>
      </c>
      <c r="D33" s="5">
        <f t="shared" ref="D33:D34" si="27">C33+B33</f>
        <v>12</v>
      </c>
      <c r="H33" s="5" t="s">
        <v>24</v>
      </c>
      <c r="I33" s="9">
        <f t="shared" ref="I33:I35" si="28">B33/B41*100</f>
        <v>1.1666666666666667</v>
      </c>
      <c r="J33" s="9">
        <f t="shared" ref="J33:J35" si="29">C33/C41*100</f>
        <v>1.25</v>
      </c>
      <c r="K33" s="9">
        <f t="shared" ref="K33:K35" si="30">D33/D41*100</f>
        <v>1.2</v>
      </c>
    </row>
    <row r="34" spans="1:18" x14ac:dyDescent="0.25">
      <c r="A34" t="s">
        <v>25</v>
      </c>
      <c r="B34">
        <v>6</v>
      </c>
      <c r="C34">
        <v>11</v>
      </c>
      <c r="D34" s="5">
        <f t="shared" si="27"/>
        <v>17</v>
      </c>
      <c r="H34" s="5" t="s">
        <v>25</v>
      </c>
      <c r="I34" s="9">
        <f t="shared" si="28"/>
        <v>6</v>
      </c>
      <c r="J34" s="9">
        <f t="shared" si="29"/>
        <v>5.5</v>
      </c>
      <c r="K34" s="9">
        <f t="shared" si="30"/>
        <v>5.6666666666666661</v>
      </c>
    </row>
    <row r="35" spans="1:18" x14ac:dyDescent="0.25">
      <c r="A35" t="s">
        <v>14</v>
      </c>
      <c r="B35" s="5">
        <f>SUM(B32:B34)</f>
        <v>18</v>
      </c>
      <c r="C35" s="5">
        <f t="shared" ref="C35:D35" si="31">SUM(C32:C34)</f>
        <v>23</v>
      </c>
      <c r="D35" s="5">
        <f t="shared" si="31"/>
        <v>41</v>
      </c>
      <c r="H35" s="5" t="s">
        <v>14</v>
      </c>
      <c r="I35" s="9">
        <f t="shared" si="28"/>
        <v>2</v>
      </c>
      <c r="J35" s="9">
        <f t="shared" si="29"/>
        <v>2.5555555555555558</v>
      </c>
      <c r="K35" s="9">
        <f t="shared" si="30"/>
        <v>2.2777777777777777</v>
      </c>
    </row>
    <row r="37" spans="1:18" x14ac:dyDescent="0.25">
      <c r="A37" s="1" t="s">
        <v>26</v>
      </c>
    </row>
    <row r="39" spans="1:18" x14ac:dyDescent="0.25">
      <c r="A39" t="s">
        <v>22</v>
      </c>
      <c r="B39" t="s">
        <v>187</v>
      </c>
      <c r="C39" t="s">
        <v>188</v>
      </c>
      <c r="D39" t="s">
        <v>14</v>
      </c>
    </row>
    <row r="40" spans="1:18" x14ac:dyDescent="0.25">
      <c r="A40" t="s">
        <v>23</v>
      </c>
      <c r="B40">
        <v>200</v>
      </c>
      <c r="C40">
        <v>300</v>
      </c>
      <c r="D40" s="5">
        <f>C40+B40</f>
        <v>500</v>
      </c>
    </row>
    <row r="41" spans="1:18" x14ac:dyDescent="0.25">
      <c r="A41" t="s">
        <v>24</v>
      </c>
      <c r="B41">
        <v>600</v>
      </c>
      <c r="C41">
        <v>400</v>
      </c>
      <c r="D41" s="5">
        <f t="shared" ref="D41:D42" si="32">C41+B41</f>
        <v>1000</v>
      </c>
    </row>
    <row r="42" spans="1:18" x14ac:dyDescent="0.25">
      <c r="A42" t="s">
        <v>25</v>
      </c>
      <c r="B42">
        <v>100</v>
      </c>
      <c r="C42">
        <v>200</v>
      </c>
      <c r="D42" s="5">
        <f t="shared" si="32"/>
        <v>300</v>
      </c>
    </row>
    <row r="43" spans="1:18" x14ac:dyDescent="0.25">
      <c r="A43" t="s">
        <v>14</v>
      </c>
      <c r="B43" s="5">
        <f>SUM(B40:B42)</f>
        <v>900</v>
      </c>
      <c r="C43" s="5">
        <f t="shared" ref="C43" si="33">SUM(C40:C42)</f>
        <v>900</v>
      </c>
      <c r="D43" s="5">
        <f t="shared" ref="D43" si="34">SUM(D40:D42)</f>
        <v>1800</v>
      </c>
    </row>
    <row r="45" spans="1:18" x14ac:dyDescent="0.25">
      <c r="A45" s="1" t="s">
        <v>27</v>
      </c>
      <c r="H45" s="7" t="s">
        <v>27</v>
      </c>
      <c r="I45" s="5"/>
      <c r="J45" s="5"/>
      <c r="K45" s="5"/>
      <c r="L45" s="5"/>
      <c r="O45" s="7" t="s">
        <v>156</v>
      </c>
    </row>
    <row r="46" spans="1:18" x14ac:dyDescent="0.25">
      <c r="H46" s="5"/>
      <c r="I46" s="5"/>
      <c r="J46" s="5"/>
      <c r="K46" s="5"/>
      <c r="L46" s="5"/>
      <c r="O46" s="5"/>
    </row>
    <row r="47" spans="1:18" x14ac:dyDescent="0.25">
      <c r="A47" t="s">
        <v>6</v>
      </c>
      <c r="B47" t="s">
        <v>28</v>
      </c>
      <c r="C47" t="s">
        <v>29</v>
      </c>
      <c r="D47" s="5" t="s">
        <v>30</v>
      </c>
      <c r="E47" s="5" t="s">
        <v>31</v>
      </c>
      <c r="H47" s="5" t="s">
        <v>6</v>
      </c>
      <c r="I47" s="5" t="s">
        <v>28</v>
      </c>
      <c r="J47" s="5" t="s">
        <v>154</v>
      </c>
      <c r="K47" s="5" t="s">
        <v>155</v>
      </c>
      <c r="L47" s="5" t="s">
        <v>31</v>
      </c>
      <c r="O47" s="5" t="s">
        <v>157</v>
      </c>
      <c r="R47" s="11">
        <f>(C52-C48)/C48*(1/4)</f>
        <v>6.8181818181818218E-2</v>
      </c>
    </row>
    <row r="48" spans="1:18" x14ac:dyDescent="0.25">
      <c r="A48">
        <v>2005</v>
      </c>
      <c r="B48">
        <v>0</v>
      </c>
      <c r="C48">
        <v>1.65</v>
      </c>
      <c r="D48" s="10">
        <f>C48/$C$48*100</f>
        <v>100</v>
      </c>
      <c r="E48" s="5" t="s">
        <v>186</v>
      </c>
      <c r="H48" s="5">
        <v>2005</v>
      </c>
      <c r="I48" s="5">
        <v>0</v>
      </c>
      <c r="J48" s="10">
        <f>D48</f>
        <v>100</v>
      </c>
      <c r="K48" s="10">
        <f>J48/$D$50*100</f>
        <v>106.45161290322579</v>
      </c>
      <c r="L48" s="5" t="s">
        <v>186</v>
      </c>
      <c r="O48" s="5" t="s">
        <v>158</v>
      </c>
      <c r="R48" s="11">
        <f>(C52/C48)^(1/4)-1</f>
        <v>6.2145069957740162E-2</v>
      </c>
    </row>
    <row r="49" spans="1:15" x14ac:dyDescent="0.25">
      <c r="A49">
        <v>2006</v>
      </c>
      <c r="B49">
        <v>1</v>
      </c>
      <c r="C49">
        <v>1.68</v>
      </c>
      <c r="D49" s="10">
        <f t="shared" ref="D49:D52" si="35">C49/$C$48*100</f>
        <v>101.81818181818183</v>
      </c>
      <c r="E49" s="10">
        <f>C49/C48*100</f>
        <v>101.81818181818183</v>
      </c>
      <c r="H49" s="5">
        <v>2006</v>
      </c>
      <c r="I49" s="5">
        <v>1</v>
      </c>
      <c r="J49" s="10">
        <f t="shared" ref="J49:J52" si="36">D49</f>
        <v>101.81818181818183</v>
      </c>
      <c r="K49" s="10">
        <f t="shared" ref="K49:K52" si="37">J49/$D$50*100</f>
        <v>108.38709677419357</v>
      </c>
      <c r="L49" s="10">
        <f>K49/K48*100</f>
        <v>101.81818181818186</v>
      </c>
    </row>
    <row r="50" spans="1:15" x14ac:dyDescent="0.25">
      <c r="A50">
        <v>2007</v>
      </c>
      <c r="B50">
        <v>2</v>
      </c>
      <c r="C50">
        <v>1.55</v>
      </c>
      <c r="D50" s="10">
        <f t="shared" si="35"/>
        <v>93.939393939393938</v>
      </c>
      <c r="E50" s="10">
        <f t="shared" ref="E50:E52" si="38">C50/C49*100</f>
        <v>92.261904761904773</v>
      </c>
      <c r="H50" s="5">
        <v>2007</v>
      </c>
      <c r="I50" s="5">
        <v>2</v>
      </c>
      <c r="J50" s="10">
        <f t="shared" si="36"/>
        <v>93.939393939393938</v>
      </c>
      <c r="K50" s="10">
        <f t="shared" si="37"/>
        <v>100</v>
      </c>
      <c r="L50" s="10">
        <f t="shared" ref="L50:L52" si="39">K50/K49*100</f>
        <v>92.261904761904745</v>
      </c>
    </row>
    <row r="51" spans="1:15" x14ac:dyDescent="0.25">
      <c r="A51">
        <v>2008</v>
      </c>
      <c r="B51">
        <v>3</v>
      </c>
      <c r="C51">
        <v>1.65</v>
      </c>
      <c r="D51" s="10">
        <f t="shared" si="35"/>
        <v>100</v>
      </c>
      <c r="E51" s="10">
        <f t="shared" si="38"/>
        <v>106.45161290322579</v>
      </c>
      <c r="H51" s="5">
        <v>2008</v>
      </c>
      <c r="I51" s="5">
        <v>3</v>
      </c>
      <c r="J51" s="10">
        <f t="shared" si="36"/>
        <v>100</v>
      </c>
      <c r="K51" s="10">
        <f t="shared" si="37"/>
        <v>106.45161290322579</v>
      </c>
      <c r="L51" s="10">
        <f t="shared" si="39"/>
        <v>106.45161290322579</v>
      </c>
    </row>
    <row r="52" spans="1:15" x14ac:dyDescent="0.25">
      <c r="A52">
        <v>2009</v>
      </c>
      <c r="B52">
        <v>4</v>
      </c>
      <c r="C52">
        <v>2.1</v>
      </c>
      <c r="D52" s="10">
        <f t="shared" si="35"/>
        <v>127.27272727272729</v>
      </c>
      <c r="E52" s="10">
        <f t="shared" si="38"/>
        <v>127.27272727272729</v>
      </c>
      <c r="H52" s="5">
        <v>2009</v>
      </c>
      <c r="I52" s="5">
        <v>4</v>
      </c>
      <c r="J52" s="10">
        <f t="shared" si="36"/>
        <v>127.27272727272729</v>
      </c>
      <c r="K52" s="10">
        <f t="shared" si="37"/>
        <v>135.48387096774198</v>
      </c>
      <c r="L52" s="10">
        <f t="shared" si="39"/>
        <v>127.27272727272734</v>
      </c>
    </row>
    <row r="54" spans="1:15" x14ac:dyDescent="0.25">
      <c r="A54" s="1" t="s">
        <v>35</v>
      </c>
      <c r="H54" s="7" t="s">
        <v>159</v>
      </c>
      <c r="I54" s="5"/>
      <c r="J54" s="5"/>
      <c r="K54" s="5"/>
      <c r="L54" s="5"/>
    </row>
    <row r="55" spans="1:15" x14ac:dyDescent="0.25">
      <c r="H55" s="5"/>
      <c r="I55" s="5"/>
      <c r="J55" s="5"/>
      <c r="K55" s="5"/>
      <c r="L55" s="5"/>
    </row>
    <row r="56" spans="1:15" x14ac:dyDescent="0.25">
      <c r="B56">
        <v>2005</v>
      </c>
      <c r="C56">
        <v>2006</v>
      </c>
      <c r="D56">
        <v>2007</v>
      </c>
      <c r="H56" s="5"/>
      <c r="I56" s="5" t="s">
        <v>163</v>
      </c>
      <c r="J56" s="5" t="s">
        <v>164</v>
      </c>
      <c r="K56" s="5" t="s">
        <v>165</v>
      </c>
      <c r="L56" s="5" t="s">
        <v>166</v>
      </c>
      <c r="M56" s="5" t="s">
        <v>167</v>
      </c>
      <c r="N56" s="5" t="s">
        <v>168</v>
      </c>
      <c r="O56" s="5" t="s">
        <v>169</v>
      </c>
    </row>
    <row r="57" spans="1:15" x14ac:dyDescent="0.25">
      <c r="A57" t="s">
        <v>32</v>
      </c>
      <c r="B57">
        <v>1.5</v>
      </c>
      <c r="C57">
        <v>1.8</v>
      </c>
      <c r="D57">
        <v>1.9</v>
      </c>
      <c r="H57" s="5" t="s">
        <v>160</v>
      </c>
      <c r="I57" s="5">
        <f>B57*B64</f>
        <v>16.5</v>
      </c>
      <c r="J57" s="5">
        <f>C57*B64</f>
        <v>19.8</v>
      </c>
      <c r="K57" s="5">
        <f>D57*B64</f>
        <v>20.9</v>
      </c>
      <c r="L57" s="5">
        <f>B57*C64</f>
        <v>11.25</v>
      </c>
      <c r="M57" s="5">
        <f>B57*D64</f>
        <v>6</v>
      </c>
      <c r="N57" s="5">
        <f>C57*C64</f>
        <v>13.5</v>
      </c>
      <c r="O57" s="5">
        <f>D57*D64</f>
        <v>7.6</v>
      </c>
    </row>
    <row r="58" spans="1:15" x14ac:dyDescent="0.25">
      <c r="A58" t="s">
        <v>33</v>
      </c>
      <c r="B58">
        <v>6.3</v>
      </c>
      <c r="C58">
        <v>6.5</v>
      </c>
      <c r="D58">
        <v>7</v>
      </c>
      <c r="H58" s="5" t="s">
        <v>161</v>
      </c>
      <c r="I58" s="5">
        <f t="shared" ref="I58:I59" si="40">B58*B65</f>
        <v>63</v>
      </c>
      <c r="J58" s="5">
        <f t="shared" ref="J58:J59" si="41">C58*B65</f>
        <v>65</v>
      </c>
      <c r="K58" s="5">
        <f t="shared" ref="K58:K59" si="42">D58*B65</f>
        <v>70</v>
      </c>
      <c r="L58" s="5">
        <f t="shared" ref="L58:L59" si="43">B58*C65</f>
        <v>50.4</v>
      </c>
      <c r="M58" s="5">
        <f t="shared" ref="M58:M59" si="44">B58*D65</f>
        <v>37.799999999999997</v>
      </c>
      <c r="N58" s="5">
        <f t="shared" ref="N58:O58" si="45">C58*C65</f>
        <v>52</v>
      </c>
      <c r="O58" s="5">
        <f t="shared" si="45"/>
        <v>42</v>
      </c>
    </row>
    <row r="59" spans="1:15" x14ac:dyDescent="0.25">
      <c r="A59" t="s">
        <v>34</v>
      </c>
      <c r="B59">
        <v>3.5</v>
      </c>
      <c r="C59">
        <v>3.8</v>
      </c>
      <c r="D59">
        <v>4.2</v>
      </c>
      <c r="H59" s="5" t="s">
        <v>162</v>
      </c>
      <c r="I59" s="5">
        <f t="shared" si="40"/>
        <v>42</v>
      </c>
      <c r="J59" s="5">
        <f t="shared" si="41"/>
        <v>45.599999999999994</v>
      </c>
      <c r="K59" s="5">
        <f t="shared" si="42"/>
        <v>50.400000000000006</v>
      </c>
      <c r="L59" s="5">
        <f t="shared" si="43"/>
        <v>35</v>
      </c>
      <c r="M59" s="5">
        <f t="shared" si="44"/>
        <v>22.75</v>
      </c>
      <c r="N59" s="5">
        <f t="shared" ref="N59:O59" si="46">C59*C66</f>
        <v>38</v>
      </c>
      <c r="O59" s="5">
        <f t="shared" si="46"/>
        <v>27.3</v>
      </c>
    </row>
    <row r="60" spans="1:15" x14ac:dyDescent="0.25">
      <c r="H60" s="5" t="s">
        <v>14</v>
      </c>
      <c r="I60" s="5">
        <f>SUM(I57:I59)</f>
        <v>121.5</v>
      </c>
      <c r="J60" s="5">
        <f t="shared" ref="J60:O60" si="47">SUM(J57:J59)</f>
        <v>130.39999999999998</v>
      </c>
      <c r="K60" s="5">
        <f t="shared" si="47"/>
        <v>141.30000000000001</v>
      </c>
      <c r="L60" s="5">
        <f t="shared" si="47"/>
        <v>96.65</v>
      </c>
      <c r="M60" s="5">
        <f t="shared" si="47"/>
        <v>66.55</v>
      </c>
      <c r="N60" s="5">
        <f t="shared" si="47"/>
        <v>103.5</v>
      </c>
      <c r="O60" s="5">
        <f t="shared" si="47"/>
        <v>76.900000000000006</v>
      </c>
    </row>
    <row r="61" spans="1:15" x14ac:dyDescent="0.25">
      <c r="A61" s="1" t="s">
        <v>36</v>
      </c>
      <c r="H61" s="5"/>
      <c r="I61" s="5"/>
      <c r="J61" s="5"/>
      <c r="K61" s="5"/>
      <c r="L61" s="5"/>
    </row>
    <row r="63" spans="1:15" x14ac:dyDescent="0.25">
      <c r="B63">
        <v>2005</v>
      </c>
      <c r="C63">
        <v>2006</v>
      </c>
      <c r="D63">
        <v>2007</v>
      </c>
      <c r="H63" s="5" t="s">
        <v>189</v>
      </c>
      <c r="I63" s="5">
        <f>J60/I60</f>
        <v>1.0732510288065842</v>
      </c>
    </row>
    <row r="64" spans="1:15" x14ac:dyDescent="0.25">
      <c r="A64" t="s">
        <v>32</v>
      </c>
      <c r="B64">
        <v>11</v>
      </c>
      <c r="C64">
        <v>7.5</v>
      </c>
      <c r="D64">
        <v>4</v>
      </c>
      <c r="H64" s="5" t="s">
        <v>192</v>
      </c>
      <c r="I64" s="5">
        <f>K60/I60</f>
        <v>1.162962962962963</v>
      </c>
    </row>
    <row r="65" spans="1:18" x14ac:dyDescent="0.25">
      <c r="A65" t="s">
        <v>33</v>
      </c>
      <c r="B65">
        <v>10</v>
      </c>
      <c r="C65">
        <v>8</v>
      </c>
      <c r="D65">
        <v>6</v>
      </c>
      <c r="H65" s="5" t="s">
        <v>190</v>
      </c>
      <c r="I65" s="5">
        <f>N60/L60</f>
        <v>1.0708742886704603</v>
      </c>
    </row>
    <row r="66" spans="1:18" x14ac:dyDescent="0.25">
      <c r="A66" t="s">
        <v>34</v>
      </c>
      <c r="B66">
        <v>12</v>
      </c>
      <c r="C66">
        <v>10</v>
      </c>
      <c r="D66">
        <v>6.5</v>
      </c>
      <c r="H66" s="5" t="s">
        <v>191</v>
      </c>
      <c r="I66" s="5">
        <f>O60/M60</f>
        <v>1.1555221637866266</v>
      </c>
    </row>
    <row r="69" spans="1:18" x14ac:dyDescent="0.25">
      <c r="A69" s="1" t="s">
        <v>37</v>
      </c>
      <c r="H69" s="7" t="s">
        <v>193</v>
      </c>
      <c r="I69" s="5"/>
      <c r="J69" s="5"/>
      <c r="K69" s="5"/>
      <c r="L69" s="5"/>
      <c r="M69" s="5"/>
      <c r="N69" s="7" t="s">
        <v>194</v>
      </c>
      <c r="O69" s="5"/>
      <c r="P69" s="5"/>
      <c r="Q69" s="5"/>
      <c r="R69" s="5"/>
    </row>
    <row r="70" spans="1:18" x14ac:dyDescent="0.25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x14ac:dyDescent="0.25">
      <c r="A71" t="s">
        <v>38</v>
      </c>
      <c r="B71" t="s">
        <v>39</v>
      </c>
      <c r="C71" t="s">
        <v>40</v>
      </c>
      <c r="D71" t="s">
        <v>41</v>
      </c>
      <c r="E71" t="s">
        <v>42</v>
      </c>
      <c r="H71" s="5" t="s">
        <v>38</v>
      </c>
      <c r="I71" s="5" t="s">
        <v>39</v>
      </c>
      <c r="J71" s="5" t="s">
        <v>40</v>
      </c>
      <c r="K71" s="5" t="s">
        <v>41</v>
      </c>
      <c r="L71" s="5" t="s">
        <v>42</v>
      </c>
      <c r="M71" s="5"/>
      <c r="N71" s="5" t="s">
        <v>38</v>
      </c>
      <c r="O71" s="5" t="s">
        <v>39</v>
      </c>
      <c r="P71" s="5" t="s">
        <v>40</v>
      </c>
      <c r="Q71" s="5" t="s">
        <v>41</v>
      </c>
      <c r="R71" s="5" t="s">
        <v>42</v>
      </c>
    </row>
    <row r="72" spans="1:18" x14ac:dyDescent="0.25">
      <c r="A72">
        <v>2009</v>
      </c>
      <c r="B72" t="s">
        <v>43</v>
      </c>
      <c r="C72">
        <v>102.3</v>
      </c>
      <c r="D72">
        <v>99.4</v>
      </c>
      <c r="E72">
        <v>121.7</v>
      </c>
      <c r="H72" s="5">
        <v>2009</v>
      </c>
      <c r="I72" s="5" t="s">
        <v>43</v>
      </c>
      <c r="J72" s="5" t="s">
        <v>186</v>
      </c>
      <c r="K72" s="5" t="s">
        <v>186</v>
      </c>
      <c r="L72" s="5" t="s">
        <v>186</v>
      </c>
      <c r="M72" s="5"/>
      <c r="N72" s="5">
        <v>2009</v>
      </c>
      <c r="O72" s="5" t="s">
        <v>43</v>
      </c>
      <c r="P72" s="5" t="s">
        <v>186</v>
      </c>
      <c r="Q72" s="5" t="s">
        <v>186</v>
      </c>
      <c r="R72" s="5" t="s">
        <v>186</v>
      </c>
    </row>
    <row r="73" spans="1:18" x14ac:dyDescent="0.25">
      <c r="A73">
        <v>2009</v>
      </c>
      <c r="B73" t="s">
        <v>44</v>
      </c>
      <c r="C73">
        <v>105.1</v>
      </c>
      <c r="D73">
        <v>101.5</v>
      </c>
      <c r="E73">
        <v>129.4</v>
      </c>
      <c r="H73" s="5">
        <v>2009</v>
      </c>
      <c r="I73" s="5" t="s">
        <v>44</v>
      </c>
      <c r="J73" s="9">
        <f>(C73/C72-1)*100</f>
        <v>2.7370478983382185</v>
      </c>
      <c r="K73" s="9">
        <f t="shared" ref="K73:L73" si="48">(D73/D72-1)*100</f>
        <v>2.1126760563380254</v>
      </c>
      <c r="L73" s="9">
        <f t="shared" si="48"/>
        <v>6.3270336894001744</v>
      </c>
      <c r="M73" s="5"/>
      <c r="N73" s="5">
        <v>2009</v>
      </c>
      <c r="O73" s="5" t="s">
        <v>44</v>
      </c>
      <c r="P73" s="5" t="s">
        <v>186</v>
      </c>
      <c r="Q73" s="5" t="s">
        <v>186</v>
      </c>
      <c r="R73" s="5" t="s">
        <v>186</v>
      </c>
    </row>
    <row r="74" spans="1:18" x14ac:dyDescent="0.25">
      <c r="A74">
        <v>2009</v>
      </c>
      <c r="B74" t="s">
        <v>45</v>
      </c>
      <c r="C74">
        <v>121.7</v>
      </c>
      <c r="D74">
        <v>118.4</v>
      </c>
      <c r="E74">
        <v>143.69999999999999</v>
      </c>
      <c r="H74" s="5">
        <v>2009</v>
      </c>
      <c r="I74" s="5" t="s">
        <v>45</v>
      </c>
      <c r="J74" s="9">
        <f t="shared" ref="J74:J87" si="49">(C74/C73-1)*100</f>
        <v>15.794481446241694</v>
      </c>
      <c r="K74" s="9">
        <f t="shared" ref="K74:K87" si="50">(D74/D73-1)*100</f>
        <v>16.650246305418715</v>
      </c>
      <c r="L74" s="9">
        <f t="shared" ref="L74:L87" si="51">(E74/E73-1)*100</f>
        <v>11.051004636785144</v>
      </c>
      <c r="M74" s="5"/>
      <c r="N74" s="5">
        <v>2009</v>
      </c>
      <c r="O74" s="5" t="s">
        <v>45</v>
      </c>
      <c r="P74" s="5" t="s">
        <v>186</v>
      </c>
      <c r="Q74" s="5" t="s">
        <v>186</v>
      </c>
      <c r="R74" s="5" t="s">
        <v>186</v>
      </c>
    </row>
    <row r="75" spans="1:18" x14ac:dyDescent="0.25">
      <c r="A75">
        <v>2009</v>
      </c>
      <c r="B75" t="s">
        <v>46</v>
      </c>
      <c r="C75">
        <v>115.9</v>
      </c>
      <c r="D75">
        <v>112.4</v>
      </c>
      <c r="E75">
        <v>139.6</v>
      </c>
      <c r="H75" s="5">
        <v>2009</v>
      </c>
      <c r="I75" s="5" t="s">
        <v>46</v>
      </c>
      <c r="J75" s="9">
        <f t="shared" si="49"/>
        <v>-4.7658175842234973</v>
      </c>
      <c r="K75" s="9">
        <f t="shared" si="50"/>
        <v>-5.0675675675675658</v>
      </c>
      <c r="L75" s="9">
        <f t="shared" si="51"/>
        <v>-2.8531663187195466</v>
      </c>
      <c r="M75" s="5"/>
      <c r="N75" s="5">
        <v>2009</v>
      </c>
      <c r="O75" s="5" t="s">
        <v>46</v>
      </c>
      <c r="P75" s="5" t="s">
        <v>186</v>
      </c>
      <c r="Q75" s="5" t="s">
        <v>186</v>
      </c>
      <c r="R75" s="5" t="s">
        <v>186</v>
      </c>
    </row>
    <row r="76" spans="1:18" x14ac:dyDescent="0.25">
      <c r="A76">
        <v>2009</v>
      </c>
      <c r="B76" t="s">
        <v>47</v>
      </c>
      <c r="C76">
        <v>115.3</v>
      </c>
      <c r="D76">
        <v>111.2</v>
      </c>
      <c r="E76">
        <v>142.6</v>
      </c>
      <c r="H76" s="5">
        <v>2009</v>
      </c>
      <c r="I76" s="5" t="s">
        <v>47</v>
      </c>
      <c r="J76" s="9">
        <f t="shared" si="49"/>
        <v>-0.51768766177739955</v>
      </c>
      <c r="K76" s="9">
        <f t="shared" si="50"/>
        <v>-1.067615658362997</v>
      </c>
      <c r="L76" s="9">
        <f t="shared" si="51"/>
        <v>2.1489971346704939</v>
      </c>
      <c r="M76" s="5"/>
      <c r="N76" s="5">
        <v>2009</v>
      </c>
      <c r="O76" s="5" t="s">
        <v>47</v>
      </c>
      <c r="P76" s="5" t="s">
        <v>186</v>
      </c>
      <c r="Q76" s="5" t="s">
        <v>186</v>
      </c>
      <c r="R76" s="5" t="s">
        <v>186</v>
      </c>
    </row>
    <row r="77" spans="1:18" x14ac:dyDescent="0.25">
      <c r="A77">
        <v>2009</v>
      </c>
      <c r="B77" t="s">
        <v>48</v>
      </c>
      <c r="C77">
        <v>123.6</v>
      </c>
      <c r="D77">
        <v>119.9</v>
      </c>
      <c r="E77">
        <v>148.30000000000001</v>
      </c>
      <c r="H77" s="5">
        <v>2009</v>
      </c>
      <c r="I77" s="5" t="s">
        <v>48</v>
      </c>
      <c r="J77" s="9">
        <f t="shared" si="49"/>
        <v>7.1986123156981829</v>
      </c>
      <c r="K77" s="9">
        <f t="shared" si="50"/>
        <v>7.8237410071942515</v>
      </c>
      <c r="L77" s="9">
        <f t="shared" si="51"/>
        <v>3.9971949509116422</v>
      </c>
      <c r="M77" s="5"/>
      <c r="N77" s="5">
        <v>2009</v>
      </c>
      <c r="O77" s="5" t="s">
        <v>48</v>
      </c>
      <c r="P77" s="5" t="s">
        <v>186</v>
      </c>
      <c r="Q77" s="5" t="s">
        <v>186</v>
      </c>
      <c r="R77" s="5" t="s">
        <v>186</v>
      </c>
    </row>
    <row r="78" spans="1:18" x14ac:dyDescent="0.25">
      <c r="A78">
        <v>2009</v>
      </c>
      <c r="B78" t="s">
        <v>49</v>
      </c>
      <c r="C78">
        <v>121.9</v>
      </c>
      <c r="D78">
        <v>118.3</v>
      </c>
      <c r="E78">
        <v>146</v>
      </c>
      <c r="H78" s="5">
        <v>2009</v>
      </c>
      <c r="I78" s="5" t="s">
        <v>49</v>
      </c>
      <c r="J78" s="9">
        <f t="shared" si="49"/>
        <v>-1.3754045307443286</v>
      </c>
      <c r="K78" s="9">
        <f t="shared" si="50"/>
        <v>-1.334445371142623</v>
      </c>
      <c r="L78" s="9">
        <f t="shared" si="51"/>
        <v>-1.5509103169251581</v>
      </c>
      <c r="M78" s="5"/>
      <c r="N78" s="5">
        <v>2009</v>
      </c>
      <c r="O78" s="5" t="s">
        <v>49</v>
      </c>
      <c r="P78" s="5" t="s">
        <v>186</v>
      </c>
      <c r="Q78" s="5" t="s">
        <v>186</v>
      </c>
      <c r="R78" s="5" t="s">
        <v>186</v>
      </c>
    </row>
    <row r="79" spans="1:18" x14ac:dyDescent="0.25">
      <c r="A79">
        <v>2009</v>
      </c>
      <c r="B79" t="s">
        <v>50</v>
      </c>
      <c r="C79">
        <v>102.4</v>
      </c>
      <c r="D79">
        <v>98.9</v>
      </c>
      <c r="E79">
        <v>126</v>
      </c>
      <c r="H79" s="5">
        <v>2009</v>
      </c>
      <c r="I79" s="5" t="s">
        <v>50</v>
      </c>
      <c r="J79" s="9">
        <f t="shared" si="49"/>
        <v>-15.996718621821159</v>
      </c>
      <c r="K79" s="9">
        <f t="shared" si="50"/>
        <v>-16.398985629754858</v>
      </c>
      <c r="L79" s="9">
        <f t="shared" si="51"/>
        <v>-13.698630136986301</v>
      </c>
      <c r="M79" s="5"/>
      <c r="N79" s="5">
        <v>2009</v>
      </c>
      <c r="O79" s="5" t="s">
        <v>50</v>
      </c>
      <c r="P79" s="5" t="s">
        <v>186</v>
      </c>
      <c r="Q79" s="5" t="s">
        <v>186</v>
      </c>
      <c r="R79" s="5" t="s">
        <v>186</v>
      </c>
    </row>
    <row r="80" spans="1:18" x14ac:dyDescent="0.25">
      <c r="A80">
        <v>2009</v>
      </c>
      <c r="B80" t="s">
        <v>51</v>
      </c>
      <c r="C80">
        <v>125.2</v>
      </c>
      <c r="D80">
        <v>119.5</v>
      </c>
      <c r="E80">
        <v>163.19999999999999</v>
      </c>
      <c r="H80" s="5">
        <v>2009</v>
      </c>
      <c r="I80" s="5" t="s">
        <v>51</v>
      </c>
      <c r="J80" s="9">
        <f t="shared" si="49"/>
        <v>22.265625</v>
      </c>
      <c r="K80" s="9">
        <f t="shared" si="50"/>
        <v>20.829120323559145</v>
      </c>
      <c r="L80" s="9">
        <f t="shared" si="51"/>
        <v>29.523809523809508</v>
      </c>
      <c r="M80" s="5"/>
      <c r="N80" s="5">
        <v>2009</v>
      </c>
      <c r="O80" s="5" t="s">
        <v>51</v>
      </c>
      <c r="P80" s="5" t="s">
        <v>186</v>
      </c>
      <c r="Q80" s="5" t="s">
        <v>186</v>
      </c>
      <c r="R80" s="5" t="s">
        <v>186</v>
      </c>
    </row>
    <row r="81" spans="1:18" x14ac:dyDescent="0.25">
      <c r="A81">
        <v>2009</v>
      </c>
      <c r="B81" t="s">
        <v>52</v>
      </c>
      <c r="C81">
        <v>124.9</v>
      </c>
      <c r="D81">
        <v>118.7</v>
      </c>
      <c r="E81">
        <v>166.3</v>
      </c>
      <c r="H81" s="5">
        <v>2009</v>
      </c>
      <c r="I81" s="5" t="s">
        <v>52</v>
      </c>
      <c r="J81" s="9">
        <f t="shared" si="49"/>
        <v>-0.23961661341852514</v>
      </c>
      <c r="K81" s="9">
        <f t="shared" si="50"/>
        <v>-0.66945606694560622</v>
      </c>
      <c r="L81" s="9">
        <f t="shared" si="51"/>
        <v>1.899509803921573</v>
      </c>
      <c r="M81" s="5"/>
      <c r="N81" s="5">
        <v>2009</v>
      </c>
      <c r="O81" s="5" t="s">
        <v>52</v>
      </c>
      <c r="P81" s="5" t="s">
        <v>186</v>
      </c>
      <c r="Q81" s="5" t="s">
        <v>186</v>
      </c>
      <c r="R81" s="5" t="s">
        <v>186</v>
      </c>
    </row>
    <row r="82" spans="1:18" x14ac:dyDescent="0.25">
      <c r="A82">
        <v>2009</v>
      </c>
      <c r="B82" t="s">
        <v>53</v>
      </c>
      <c r="C82">
        <v>120.7</v>
      </c>
      <c r="D82">
        <v>116.3</v>
      </c>
      <c r="E82">
        <v>150.30000000000001</v>
      </c>
      <c r="H82" s="5">
        <v>2009</v>
      </c>
      <c r="I82" s="5" t="s">
        <v>53</v>
      </c>
      <c r="J82" s="9">
        <f t="shared" si="49"/>
        <v>-3.3626901521216945</v>
      </c>
      <c r="K82" s="9">
        <f t="shared" si="50"/>
        <v>-2.0219039595619215</v>
      </c>
      <c r="L82" s="9">
        <f t="shared" si="51"/>
        <v>-9.6211665664461812</v>
      </c>
      <c r="M82" s="5"/>
      <c r="N82" s="5">
        <v>2009</v>
      </c>
      <c r="O82" s="5" t="s">
        <v>53</v>
      </c>
      <c r="P82" s="5" t="s">
        <v>186</v>
      </c>
      <c r="Q82" s="5" t="s">
        <v>186</v>
      </c>
      <c r="R82" s="5" t="s">
        <v>186</v>
      </c>
    </row>
    <row r="83" spans="1:18" x14ac:dyDescent="0.25">
      <c r="A83">
        <v>2009</v>
      </c>
      <c r="B83" t="s">
        <v>54</v>
      </c>
      <c r="C83">
        <v>126.4</v>
      </c>
      <c r="D83">
        <v>124.3</v>
      </c>
      <c r="E83">
        <v>140.5</v>
      </c>
      <c r="H83" s="5">
        <v>2009</v>
      </c>
      <c r="I83" s="5" t="s">
        <v>54</v>
      </c>
      <c r="J83" s="9">
        <f t="shared" si="49"/>
        <v>4.7224523612261926</v>
      </c>
      <c r="K83" s="9">
        <f t="shared" si="50"/>
        <v>6.8787618228718816</v>
      </c>
      <c r="L83" s="9">
        <f t="shared" si="51"/>
        <v>-6.5202927478376633</v>
      </c>
      <c r="M83" s="5"/>
      <c r="N83" s="5">
        <v>2009</v>
      </c>
      <c r="O83" s="5" t="s">
        <v>54</v>
      </c>
      <c r="P83" s="5" t="s">
        <v>186</v>
      </c>
      <c r="Q83" s="5" t="s">
        <v>186</v>
      </c>
      <c r="R83" s="5" t="s">
        <v>186</v>
      </c>
    </row>
    <row r="84" spans="1:18" x14ac:dyDescent="0.25">
      <c r="A84">
        <v>2010</v>
      </c>
      <c r="B84" t="s">
        <v>43</v>
      </c>
      <c r="C84">
        <v>97.6</v>
      </c>
      <c r="D84">
        <v>94.2</v>
      </c>
      <c r="E84">
        <v>120.4</v>
      </c>
      <c r="H84" s="5">
        <v>2010</v>
      </c>
      <c r="I84" s="5" t="s">
        <v>43</v>
      </c>
      <c r="J84" s="9">
        <f t="shared" si="49"/>
        <v>-22.78481012658229</v>
      </c>
      <c r="K84" s="9">
        <f t="shared" si="50"/>
        <v>-24.215607401448104</v>
      </c>
      <c r="L84" s="9">
        <f t="shared" si="51"/>
        <v>-14.306049822064049</v>
      </c>
      <c r="M84" s="5"/>
      <c r="N84" s="5">
        <v>2010</v>
      </c>
      <c r="O84" s="5" t="s">
        <v>43</v>
      </c>
      <c r="P84" s="9">
        <f>(C84/C72-1)*100</f>
        <v>-4.5943304007820203</v>
      </c>
      <c r="Q84" s="9">
        <f t="shared" ref="Q84:R84" si="52">(D84/D72-1)*100</f>
        <v>-5.2313883299798807</v>
      </c>
      <c r="R84" s="9">
        <f t="shared" si="52"/>
        <v>-1.0682004930156141</v>
      </c>
    </row>
    <row r="85" spans="1:18" x14ac:dyDescent="0.25">
      <c r="A85">
        <v>2010</v>
      </c>
      <c r="B85" t="s">
        <v>44</v>
      </c>
      <c r="C85">
        <v>106</v>
      </c>
      <c r="D85">
        <v>101.6</v>
      </c>
      <c r="E85">
        <v>135.80000000000001</v>
      </c>
      <c r="H85" s="5">
        <v>2010</v>
      </c>
      <c r="I85" s="5" t="s">
        <v>44</v>
      </c>
      <c r="J85" s="9">
        <f t="shared" si="49"/>
        <v>8.6065573770491852</v>
      </c>
      <c r="K85" s="9">
        <f t="shared" si="50"/>
        <v>7.8556263269639048</v>
      </c>
      <c r="L85" s="9">
        <f t="shared" si="51"/>
        <v>12.790697674418606</v>
      </c>
      <c r="M85" s="5"/>
      <c r="N85" s="5">
        <v>2010</v>
      </c>
      <c r="O85" s="5" t="s">
        <v>44</v>
      </c>
      <c r="P85" s="9">
        <f t="shared" ref="P85:P87" si="53">(C85/C73-1)*100</f>
        <v>0.85632730732636553</v>
      </c>
      <c r="Q85" s="9">
        <f t="shared" ref="Q85:Q87" si="54">(D85/D73-1)*100</f>
        <v>9.8522167487669066E-2</v>
      </c>
      <c r="R85" s="9">
        <f t="shared" ref="R85:R87" si="55">(E85/E73-1)*100</f>
        <v>4.9459041731066522</v>
      </c>
    </row>
    <row r="86" spans="1:18" x14ac:dyDescent="0.25">
      <c r="A86">
        <v>2010</v>
      </c>
      <c r="B86" t="s">
        <v>45</v>
      </c>
      <c r="C86">
        <v>128.80000000000001</v>
      </c>
      <c r="D86">
        <v>124.5</v>
      </c>
      <c r="E86">
        <v>157.6</v>
      </c>
      <c r="H86" s="5">
        <v>2010</v>
      </c>
      <c r="I86" s="5" t="s">
        <v>45</v>
      </c>
      <c r="J86" s="9">
        <f t="shared" si="49"/>
        <v>21.509433962264168</v>
      </c>
      <c r="K86" s="9">
        <f t="shared" si="50"/>
        <v>22.539370078740163</v>
      </c>
      <c r="L86" s="9">
        <f t="shared" si="51"/>
        <v>16.053019145802637</v>
      </c>
      <c r="M86" s="5"/>
      <c r="N86" s="5">
        <v>2010</v>
      </c>
      <c r="O86" s="5" t="s">
        <v>45</v>
      </c>
      <c r="P86" s="9">
        <f t="shared" si="53"/>
        <v>5.8340180772391115</v>
      </c>
      <c r="Q86" s="9">
        <f t="shared" si="54"/>
        <v>5.1520270270270174</v>
      </c>
      <c r="R86" s="9">
        <f t="shared" si="55"/>
        <v>9.6729297146833648</v>
      </c>
    </row>
    <row r="87" spans="1:18" x14ac:dyDescent="0.25">
      <c r="A87">
        <v>2010</v>
      </c>
      <c r="B87" t="s">
        <v>46</v>
      </c>
      <c r="C87">
        <v>113.6</v>
      </c>
      <c r="D87">
        <v>109.2</v>
      </c>
      <c r="E87">
        <v>143.30000000000001</v>
      </c>
      <c r="H87" s="5">
        <v>2010</v>
      </c>
      <c r="I87" s="5" t="s">
        <v>46</v>
      </c>
      <c r="J87" s="9">
        <f t="shared" si="49"/>
        <v>-11.801242236024855</v>
      </c>
      <c r="K87" s="9">
        <f t="shared" si="50"/>
        <v>-12.289156626506026</v>
      </c>
      <c r="L87" s="9">
        <f t="shared" si="51"/>
        <v>-9.0736040609136985</v>
      </c>
      <c r="M87" s="5"/>
      <c r="N87" s="5">
        <v>2010</v>
      </c>
      <c r="O87" s="5" t="s">
        <v>46</v>
      </c>
      <c r="P87" s="9">
        <f t="shared" si="53"/>
        <v>-1.9844693701466909</v>
      </c>
      <c r="Q87" s="9">
        <f t="shared" si="54"/>
        <v>-2.8469750889679735</v>
      </c>
      <c r="R87" s="9">
        <f t="shared" si="55"/>
        <v>2.6504297994269566</v>
      </c>
    </row>
    <row r="89" spans="1:18" x14ac:dyDescent="0.25">
      <c r="A89" s="1" t="s">
        <v>203</v>
      </c>
    </row>
    <row r="91" spans="1:18" x14ac:dyDescent="0.25">
      <c r="A91" t="s">
        <v>55</v>
      </c>
      <c r="B91">
        <v>2007</v>
      </c>
      <c r="C91">
        <v>2008</v>
      </c>
      <c r="D91">
        <v>2009</v>
      </c>
      <c r="E91">
        <v>2010</v>
      </c>
    </row>
    <row r="92" spans="1:18" x14ac:dyDescent="0.25">
      <c r="A92" t="s">
        <v>56</v>
      </c>
      <c r="B92">
        <v>7303</v>
      </c>
      <c r="C92">
        <v>7182</v>
      </c>
      <c r="D92">
        <v>6972</v>
      </c>
      <c r="E92">
        <v>6810</v>
      </c>
    </row>
    <row r="93" spans="1:18" x14ac:dyDescent="0.25">
      <c r="A93" t="s">
        <v>58</v>
      </c>
      <c r="B93">
        <v>5495</v>
      </c>
      <c r="C93">
        <v>5524</v>
      </c>
      <c r="D93">
        <v>5011</v>
      </c>
      <c r="E93">
        <v>4952</v>
      </c>
    </row>
    <row r="94" spans="1:18" x14ac:dyDescent="0.25">
      <c r="A94" t="s">
        <v>57</v>
      </c>
      <c r="B94">
        <v>5718</v>
      </c>
      <c r="C94">
        <v>5819</v>
      </c>
      <c r="D94">
        <v>5896</v>
      </c>
      <c r="E94">
        <v>5912</v>
      </c>
    </row>
    <row r="95" spans="1:18" x14ac:dyDescent="0.25">
      <c r="A95" t="s">
        <v>59</v>
      </c>
      <c r="B95">
        <v>7653</v>
      </c>
      <c r="C95">
        <v>7770</v>
      </c>
      <c r="D95">
        <v>7845</v>
      </c>
      <c r="E95">
        <v>7958</v>
      </c>
    </row>
    <row r="96" spans="1:18" x14ac:dyDescent="0.25">
      <c r="A96" t="s">
        <v>60</v>
      </c>
      <c r="B96">
        <v>1512</v>
      </c>
      <c r="C96">
        <v>1569</v>
      </c>
      <c r="D96">
        <v>1826</v>
      </c>
      <c r="E96">
        <v>1877</v>
      </c>
    </row>
    <row r="97" spans="1:5" x14ac:dyDescent="0.25">
      <c r="A97" t="s">
        <v>61</v>
      </c>
      <c r="B97">
        <v>711</v>
      </c>
      <c r="C97">
        <v>715</v>
      </c>
      <c r="D97">
        <v>707</v>
      </c>
      <c r="E97">
        <v>703</v>
      </c>
    </row>
    <row r="98" spans="1:5" x14ac:dyDescent="0.25">
      <c r="A98" t="s">
        <v>62</v>
      </c>
      <c r="B98">
        <v>5785</v>
      </c>
      <c r="C98">
        <v>5944</v>
      </c>
      <c r="D98">
        <v>6106</v>
      </c>
      <c r="E98">
        <v>6253</v>
      </c>
    </row>
    <row r="99" spans="1:5" x14ac:dyDescent="0.25">
      <c r="A99" t="s">
        <v>63</v>
      </c>
      <c r="B99">
        <v>96</v>
      </c>
      <c r="C99">
        <v>110</v>
      </c>
      <c r="D99">
        <v>138</v>
      </c>
      <c r="E99">
        <v>127</v>
      </c>
    </row>
    <row r="100" spans="1:5" x14ac:dyDescent="0.25">
      <c r="A100" t="s">
        <v>14</v>
      </c>
    </row>
    <row r="102" spans="1:5" x14ac:dyDescent="0.25">
      <c r="A102" s="1" t="s">
        <v>204</v>
      </c>
    </row>
    <row r="104" spans="1:5" x14ac:dyDescent="0.25">
      <c r="A104" t="s">
        <v>55</v>
      </c>
      <c r="B104">
        <v>2007</v>
      </c>
      <c r="C104">
        <v>2008</v>
      </c>
      <c r="D104">
        <v>2009</v>
      </c>
      <c r="E104">
        <v>2010</v>
      </c>
    </row>
    <row r="105" spans="1:5" x14ac:dyDescent="0.25">
      <c r="A105" t="s">
        <v>56</v>
      </c>
      <c r="B105">
        <v>46513</v>
      </c>
      <c r="C105">
        <v>45801</v>
      </c>
      <c r="D105">
        <v>43713</v>
      </c>
      <c r="E105">
        <v>42974</v>
      </c>
    </row>
    <row r="106" spans="1:5" x14ac:dyDescent="0.25">
      <c r="A106" t="s">
        <v>58</v>
      </c>
      <c r="B106">
        <v>54112</v>
      </c>
      <c r="C106">
        <v>55244</v>
      </c>
      <c r="D106">
        <v>50332</v>
      </c>
      <c r="E106">
        <v>49871</v>
      </c>
    </row>
    <row r="107" spans="1:5" x14ac:dyDescent="0.25">
      <c r="A107" t="s">
        <v>57</v>
      </c>
      <c r="B107">
        <v>62253</v>
      </c>
      <c r="C107">
        <v>63962</v>
      </c>
      <c r="D107">
        <v>65070</v>
      </c>
      <c r="E107">
        <v>65044</v>
      </c>
    </row>
    <row r="108" spans="1:5" x14ac:dyDescent="0.25">
      <c r="A108" t="s">
        <v>59</v>
      </c>
      <c r="B108">
        <v>91394</v>
      </c>
      <c r="C108">
        <v>92275</v>
      </c>
      <c r="D108">
        <v>92470</v>
      </c>
      <c r="E108">
        <v>93169</v>
      </c>
    </row>
    <row r="109" spans="1:5" x14ac:dyDescent="0.25">
      <c r="A109" t="s">
        <v>60</v>
      </c>
      <c r="B109">
        <v>20033</v>
      </c>
      <c r="C109">
        <v>20822</v>
      </c>
      <c r="D109">
        <v>23993</v>
      </c>
      <c r="E109">
        <v>24681</v>
      </c>
    </row>
    <row r="110" spans="1:5" x14ac:dyDescent="0.25">
      <c r="A110" t="s">
        <v>61</v>
      </c>
      <c r="B110">
        <v>7286</v>
      </c>
      <c r="C110">
        <v>7354</v>
      </c>
      <c r="D110">
        <v>7323</v>
      </c>
      <c r="E110">
        <v>7364</v>
      </c>
    </row>
    <row r="111" spans="1:5" x14ac:dyDescent="0.25">
      <c r="A111" t="s">
        <v>62</v>
      </c>
      <c r="B111">
        <v>76604</v>
      </c>
      <c r="C111">
        <v>78728</v>
      </c>
      <c r="D111">
        <v>80388</v>
      </c>
      <c r="E111">
        <v>81854</v>
      </c>
    </row>
    <row r="112" spans="1:5" x14ac:dyDescent="0.25">
      <c r="A112" t="s">
        <v>63</v>
      </c>
      <c r="B112">
        <v>1797</v>
      </c>
      <c r="C112">
        <v>1797</v>
      </c>
      <c r="D112">
        <v>2084</v>
      </c>
      <c r="E112">
        <v>1601</v>
      </c>
    </row>
    <row r="113" spans="1:20" x14ac:dyDescent="0.25">
      <c r="A113" t="s">
        <v>14</v>
      </c>
    </row>
    <row r="115" spans="1:20" x14ac:dyDescent="0.25">
      <c r="A115" s="1" t="s">
        <v>66</v>
      </c>
      <c r="H115" s="7" t="s">
        <v>198</v>
      </c>
      <c r="I115" s="5"/>
      <c r="J115" s="5"/>
      <c r="K115" s="5"/>
      <c r="L115" s="5"/>
      <c r="M115" s="5"/>
      <c r="O115" s="7" t="s">
        <v>199</v>
      </c>
      <c r="P115" s="5"/>
      <c r="Q115" s="5"/>
      <c r="R115" s="5"/>
      <c r="S115" s="5"/>
      <c r="T115" s="5"/>
    </row>
    <row r="116" spans="1:20" x14ac:dyDescent="0.25">
      <c r="B116" t="s">
        <v>196</v>
      </c>
      <c r="H116" s="5"/>
      <c r="I116" s="5" t="s">
        <v>196</v>
      </c>
      <c r="J116" s="5"/>
      <c r="K116" s="5"/>
      <c r="L116" s="5"/>
      <c r="M116" s="5"/>
      <c r="O116" s="5"/>
      <c r="P116" s="5" t="s">
        <v>201</v>
      </c>
      <c r="Q116" s="5"/>
      <c r="R116" s="5"/>
      <c r="S116" s="5"/>
      <c r="T116" s="5"/>
    </row>
    <row r="117" spans="1:20" x14ac:dyDescent="0.25">
      <c r="A117" t="s">
        <v>197</v>
      </c>
      <c r="B117">
        <v>1</v>
      </c>
      <c r="C117">
        <v>2</v>
      </c>
      <c r="D117">
        <v>3</v>
      </c>
      <c r="E117">
        <v>4</v>
      </c>
      <c r="F117" t="s">
        <v>67</v>
      </c>
      <c r="H117" s="5" t="s">
        <v>197</v>
      </c>
      <c r="I117" s="5">
        <v>1</v>
      </c>
      <c r="J117" s="5">
        <v>2</v>
      </c>
      <c r="K117" s="5">
        <v>3</v>
      </c>
      <c r="L117" s="5">
        <v>4</v>
      </c>
      <c r="M117" s="5" t="s">
        <v>67</v>
      </c>
      <c r="O117" s="5" t="s">
        <v>196</v>
      </c>
      <c r="P117" s="5">
        <v>1</v>
      </c>
      <c r="Q117" s="5">
        <v>2</v>
      </c>
      <c r="R117" s="5">
        <v>3</v>
      </c>
      <c r="S117" s="5">
        <v>4</v>
      </c>
      <c r="T117" s="5" t="s">
        <v>202</v>
      </c>
    </row>
    <row r="118" spans="1:20" x14ac:dyDescent="0.25">
      <c r="A118">
        <v>1</v>
      </c>
      <c r="B118">
        <v>400</v>
      </c>
      <c r="C118">
        <v>50</v>
      </c>
      <c r="D118">
        <v>50</v>
      </c>
      <c r="E118">
        <v>0</v>
      </c>
      <c r="F118" s="5">
        <f>SUM(B118:E118)</f>
        <v>500</v>
      </c>
      <c r="H118" s="5">
        <v>1</v>
      </c>
      <c r="I118" s="5">
        <f>B118/$F118</f>
        <v>0.8</v>
      </c>
      <c r="J118" s="5">
        <f t="shared" ref="J118:L121" si="56">C118/$F118</f>
        <v>0.1</v>
      </c>
      <c r="K118" s="5">
        <f t="shared" si="56"/>
        <v>0.1</v>
      </c>
      <c r="L118" s="5">
        <f t="shared" si="56"/>
        <v>0</v>
      </c>
      <c r="M118" s="5">
        <f>SUM(I118:L118)</f>
        <v>1</v>
      </c>
      <c r="O118" s="5">
        <v>1</v>
      </c>
      <c r="P118" s="5">
        <f>I118*$B$122</f>
        <v>320</v>
      </c>
      <c r="Q118" s="5">
        <f t="shared" ref="Q118:S118" si="57">J118*$B$122</f>
        <v>40</v>
      </c>
      <c r="R118" s="5">
        <f t="shared" si="57"/>
        <v>40</v>
      </c>
      <c r="S118" s="5">
        <f t="shared" si="57"/>
        <v>0</v>
      </c>
      <c r="T118" s="5">
        <f>SUM(P118:S118)</f>
        <v>400</v>
      </c>
    </row>
    <row r="119" spans="1:20" x14ac:dyDescent="0.25">
      <c r="A119">
        <v>2</v>
      </c>
      <c r="B119">
        <v>0</v>
      </c>
      <c r="C119">
        <v>270</v>
      </c>
      <c r="D119">
        <v>30</v>
      </c>
      <c r="E119">
        <v>0</v>
      </c>
      <c r="F119" s="5">
        <f t="shared" ref="F119:F121" si="58">SUM(B119:E119)</f>
        <v>300</v>
      </c>
      <c r="H119" s="5">
        <v>2</v>
      </c>
      <c r="I119" s="5">
        <f t="shared" ref="I119:I121" si="59">B119/$F119</f>
        <v>0</v>
      </c>
      <c r="J119" s="5">
        <f t="shared" si="56"/>
        <v>0.9</v>
      </c>
      <c r="K119" s="5">
        <f t="shared" si="56"/>
        <v>0.1</v>
      </c>
      <c r="L119" s="5">
        <f t="shared" si="56"/>
        <v>0</v>
      </c>
      <c r="M119" s="5">
        <f t="shared" ref="M119:M121" si="60">SUM(I119:L119)</f>
        <v>1</v>
      </c>
      <c r="O119" s="5">
        <v>2</v>
      </c>
      <c r="P119" s="5">
        <f>I119*$C$122</f>
        <v>0</v>
      </c>
      <c r="Q119" s="5">
        <f t="shared" ref="Q119:S119" si="61">J119*$C$122</f>
        <v>288</v>
      </c>
      <c r="R119" s="5">
        <f t="shared" si="61"/>
        <v>32</v>
      </c>
      <c r="S119" s="5">
        <f t="shared" si="61"/>
        <v>0</v>
      </c>
      <c r="T119" s="5">
        <f t="shared" ref="T119:T121" si="62">SUM(P119:S119)</f>
        <v>320</v>
      </c>
    </row>
    <row r="120" spans="1:20" x14ac:dyDescent="0.25">
      <c r="A120">
        <v>3</v>
      </c>
      <c r="B120">
        <v>0</v>
      </c>
      <c r="C120">
        <v>0</v>
      </c>
      <c r="D120">
        <v>70</v>
      </c>
      <c r="E120">
        <v>30</v>
      </c>
      <c r="F120" s="5">
        <f t="shared" si="58"/>
        <v>100</v>
      </c>
      <c r="H120" s="5">
        <v>3</v>
      </c>
      <c r="I120" s="5">
        <f t="shared" si="59"/>
        <v>0</v>
      </c>
      <c r="J120" s="5">
        <f t="shared" si="56"/>
        <v>0</v>
      </c>
      <c r="K120" s="5">
        <f t="shared" si="56"/>
        <v>0.7</v>
      </c>
      <c r="L120" s="5">
        <f t="shared" si="56"/>
        <v>0.3</v>
      </c>
      <c r="M120" s="5">
        <f t="shared" si="60"/>
        <v>1</v>
      </c>
      <c r="O120" s="5">
        <v>3</v>
      </c>
      <c r="P120" s="5">
        <f>I120*$D$122</f>
        <v>0</v>
      </c>
      <c r="Q120" s="5">
        <f t="shared" ref="Q120:S120" si="63">J120*$D$122</f>
        <v>0</v>
      </c>
      <c r="R120" s="5">
        <f t="shared" si="63"/>
        <v>105</v>
      </c>
      <c r="S120" s="5">
        <f t="shared" si="63"/>
        <v>45</v>
      </c>
      <c r="T120" s="5">
        <f t="shared" si="62"/>
        <v>150</v>
      </c>
    </row>
    <row r="121" spans="1:20" x14ac:dyDescent="0.25">
      <c r="A121">
        <v>4</v>
      </c>
      <c r="B121">
        <v>0</v>
      </c>
      <c r="C121">
        <v>0</v>
      </c>
      <c r="D121">
        <v>0</v>
      </c>
      <c r="E121">
        <v>25</v>
      </c>
      <c r="F121" s="5">
        <f t="shared" si="58"/>
        <v>25</v>
      </c>
      <c r="H121" s="5">
        <v>4</v>
      </c>
      <c r="I121" s="5">
        <f t="shared" si="59"/>
        <v>0</v>
      </c>
      <c r="J121" s="5">
        <f t="shared" si="56"/>
        <v>0</v>
      </c>
      <c r="K121" s="5">
        <f t="shared" si="56"/>
        <v>0</v>
      </c>
      <c r="L121" s="5">
        <f t="shared" si="56"/>
        <v>1</v>
      </c>
      <c r="M121" s="5">
        <f t="shared" si="60"/>
        <v>1</v>
      </c>
      <c r="O121" s="5">
        <v>4</v>
      </c>
      <c r="P121" s="5">
        <f>I121*$E$122</f>
        <v>0</v>
      </c>
      <c r="Q121" s="5">
        <f t="shared" ref="Q121:S121" si="64">J121*$E$122</f>
        <v>0</v>
      </c>
      <c r="R121" s="5">
        <f t="shared" si="64"/>
        <v>0</v>
      </c>
      <c r="S121" s="5">
        <f t="shared" si="64"/>
        <v>55</v>
      </c>
      <c r="T121" s="5">
        <f t="shared" si="62"/>
        <v>55</v>
      </c>
    </row>
    <row r="122" spans="1:20" x14ac:dyDescent="0.25">
      <c r="A122" t="s">
        <v>68</v>
      </c>
      <c r="B122" s="5">
        <f>SUM(B118:B121)</f>
        <v>400</v>
      </c>
      <c r="C122" s="5">
        <f t="shared" ref="C122:E122" si="65">SUM(C118:C121)</f>
        <v>320</v>
      </c>
      <c r="D122" s="5">
        <f t="shared" si="65"/>
        <v>150</v>
      </c>
      <c r="E122" s="5">
        <f t="shared" si="65"/>
        <v>55</v>
      </c>
      <c r="H122" s="5" t="s">
        <v>68</v>
      </c>
      <c r="I122" s="5"/>
      <c r="J122" s="5"/>
      <c r="K122" s="5"/>
      <c r="L122" s="5"/>
      <c r="M122" s="5"/>
      <c r="O122" s="5" t="s">
        <v>200</v>
      </c>
      <c r="P122" s="5"/>
      <c r="Q122" s="5"/>
      <c r="R122" s="5"/>
      <c r="S122" s="5"/>
      <c r="T122" s="5"/>
    </row>
    <row r="124" spans="1:20" x14ac:dyDescent="0.25">
      <c r="A124" s="1" t="s">
        <v>69</v>
      </c>
    </row>
    <row r="126" spans="1:20" x14ac:dyDescent="0.25">
      <c r="A126" t="s">
        <v>6</v>
      </c>
      <c r="B126" t="s">
        <v>70</v>
      </c>
      <c r="C126" t="s">
        <v>71</v>
      </c>
      <c r="D126" t="s">
        <v>72</v>
      </c>
      <c r="E126" t="s">
        <v>73</v>
      </c>
    </row>
    <row r="127" spans="1:20" x14ac:dyDescent="0.25">
      <c r="A127">
        <v>2001</v>
      </c>
      <c r="B127">
        <v>8</v>
      </c>
      <c r="C127">
        <v>15</v>
      </c>
      <c r="D127">
        <v>253</v>
      </c>
    </row>
    <row r="128" spans="1:20" x14ac:dyDescent="0.25">
      <c r="A128">
        <v>2002</v>
      </c>
      <c r="B128">
        <v>12</v>
      </c>
      <c r="C128">
        <v>10</v>
      </c>
    </row>
    <row r="129" spans="1:6" x14ac:dyDescent="0.25">
      <c r="A129">
        <v>2003</v>
      </c>
      <c r="B129">
        <v>10</v>
      </c>
      <c r="C129">
        <v>15</v>
      </c>
    </row>
    <row r="130" spans="1:6" x14ac:dyDescent="0.25">
      <c r="A130">
        <v>2004</v>
      </c>
      <c r="B130">
        <v>11</v>
      </c>
      <c r="C130">
        <v>10</v>
      </c>
    </row>
    <row r="131" spans="1:6" x14ac:dyDescent="0.25">
      <c r="A131">
        <v>2005</v>
      </c>
      <c r="B131">
        <v>15</v>
      </c>
      <c r="C131">
        <v>10</v>
      </c>
    </row>
    <row r="132" spans="1:6" x14ac:dyDescent="0.25">
      <c r="A132">
        <v>2006</v>
      </c>
      <c r="B132">
        <v>15</v>
      </c>
      <c r="C132">
        <v>11</v>
      </c>
    </row>
    <row r="133" spans="1:6" x14ac:dyDescent="0.25">
      <c r="A133">
        <v>2007</v>
      </c>
      <c r="B133">
        <v>9</v>
      </c>
      <c r="C133">
        <v>9</v>
      </c>
    </row>
    <row r="134" spans="1:6" x14ac:dyDescent="0.25">
      <c r="A134">
        <v>2008</v>
      </c>
      <c r="B134">
        <v>9</v>
      </c>
      <c r="C134">
        <v>10</v>
      </c>
    </row>
    <row r="135" spans="1:6" x14ac:dyDescent="0.25">
      <c r="A135">
        <v>2009</v>
      </c>
      <c r="B135">
        <v>7</v>
      </c>
      <c r="C135">
        <v>8</v>
      </c>
    </row>
    <row r="136" spans="1:6" x14ac:dyDescent="0.25">
      <c r="A136">
        <v>2010</v>
      </c>
      <c r="B136">
        <v>6</v>
      </c>
      <c r="C136">
        <v>10</v>
      </c>
    </row>
    <row r="138" spans="1:6" x14ac:dyDescent="0.25">
      <c r="A138" s="1" t="s">
        <v>74</v>
      </c>
    </row>
    <row r="140" spans="1:6" x14ac:dyDescent="0.25">
      <c r="B140">
        <v>2005</v>
      </c>
      <c r="C140">
        <v>2006</v>
      </c>
      <c r="D140">
        <v>2007</v>
      </c>
      <c r="E140">
        <v>2008</v>
      </c>
      <c r="F140">
        <v>2009</v>
      </c>
    </row>
    <row r="141" spans="1:6" x14ac:dyDescent="0.25">
      <c r="A141" t="s">
        <v>75</v>
      </c>
      <c r="B141">
        <v>25</v>
      </c>
      <c r="C141">
        <v>26.08</v>
      </c>
      <c r="D141">
        <v>27.97</v>
      </c>
      <c r="E141">
        <v>30.3</v>
      </c>
      <c r="F141">
        <v>31.02</v>
      </c>
    </row>
    <row r="142" spans="1:6" x14ac:dyDescent="0.25">
      <c r="A142" t="s">
        <v>76</v>
      </c>
      <c r="B142">
        <v>100</v>
      </c>
      <c r="C142">
        <v>102.6</v>
      </c>
      <c r="D142">
        <v>107.3</v>
      </c>
      <c r="E142">
        <v>115</v>
      </c>
      <c r="F142">
        <v>116.6</v>
      </c>
    </row>
    <row r="143" spans="1:6" x14ac:dyDescent="0.25">
      <c r="A143" t="s">
        <v>77</v>
      </c>
    </row>
    <row r="144" spans="1:6" x14ac:dyDescent="0.25">
      <c r="A144" t="s">
        <v>78</v>
      </c>
    </row>
    <row r="145" spans="1:1" x14ac:dyDescent="0.25">
      <c r="A145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89"/>
  <sheetViews>
    <sheetView topLeftCell="A52" workbookViewId="0">
      <selection activeCell="E7" sqref="E7"/>
    </sheetView>
  </sheetViews>
  <sheetFormatPr defaultRowHeight="15" x14ac:dyDescent="0.25"/>
  <sheetData>
    <row r="1" spans="1:3" x14ac:dyDescent="0.25">
      <c r="A1" s="1" t="s">
        <v>80</v>
      </c>
    </row>
    <row r="3" spans="1:3" x14ac:dyDescent="0.25">
      <c r="A3" t="s">
        <v>81</v>
      </c>
      <c r="B3" t="s">
        <v>82</v>
      </c>
      <c r="C3" t="s">
        <v>83</v>
      </c>
    </row>
    <row r="4" spans="1:3" x14ac:dyDescent="0.25">
      <c r="A4" t="s">
        <v>85</v>
      </c>
      <c r="B4">
        <v>3557.7</v>
      </c>
      <c r="C4">
        <v>29.61</v>
      </c>
    </row>
    <row r="5" spans="1:3" x14ac:dyDescent="0.25">
      <c r="A5" t="s">
        <v>86</v>
      </c>
      <c r="B5">
        <v>3296.4</v>
      </c>
      <c r="C5">
        <v>27.83</v>
      </c>
    </row>
    <row r="6" spans="1:3" x14ac:dyDescent="0.25">
      <c r="A6" t="s">
        <v>87</v>
      </c>
      <c r="B6">
        <v>3437.1</v>
      </c>
      <c r="C6">
        <v>28.39</v>
      </c>
    </row>
    <row r="7" spans="1:3" x14ac:dyDescent="0.25">
      <c r="A7" t="s">
        <v>88</v>
      </c>
      <c r="B7">
        <v>3336.6</v>
      </c>
      <c r="C7">
        <v>29.17</v>
      </c>
    </row>
    <row r="8" spans="1:3" x14ac:dyDescent="0.25">
      <c r="A8" t="s">
        <v>84</v>
      </c>
      <c r="B8">
        <v>3618</v>
      </c>
      <c r="C8">
        <v>30.17</v>
      </c>
    </row>
    <row r="9" spans="1:3" x14ac:dyDescent="0.25">
      <c r="A9" t="s">
        <v>89</v>
      </c>
      <c r="B9">
        <v>3376.8</v>
      </c>
      <c r="C9">
        <v>30.28</v>
      </c>
    </row>
    <row r="10" spans="1:3" x14ac:dyDescent="0.25">
      <c r="A10" t="s">
        <v>90</v>
      </c>
      <c r="B10">
        <v>3195.9</v>
      </c>
      <c r="C10">
        <v>28.06</v>
      </c>
    </row>
    <row r="11" spans="1:3" x14ac:dyDescent="0.25">
      <c r="A11" t="s">
        <v>91</v>
      </c>
      <c r="B11">
        <v>4060.2</v>
      </c>
      <c r="C11">
        <v>33.28</v>
      </c>
    </row>
    <row r="12" spans="1:3" x14ac:dyDescent="0.25">
      <c r="A12" t="s">
        <v>92</v>
      </c>
      <c r="B12">
        <v>3859.2</v>
      </c>
      <c r="C12">
        <v>29.28</v>
      </c>
    </row>
    <row r="13" spans="1:3" x14ac:dyDescent="0.25">
      <c r="A13" t="s">
        <v>93</v>
      </c>
      <c r="B13">
        <v>3658.2</v>
      </c>
      <c r="C13">
        <v>29.51</v>
      </c>
    </row>
    <row r="14" spans="1:3" x14ac:dyDescent="0.25">
      <c r="A14" t="s">
        <v>94</v>
      </c>
      <c r="B14">
        <v>3678.3</v>
      </c>
      <c r="C14">
        <v>31.28</v>
      </c>
    </row>
    <row r="15" spans="1:3" x14ac:dyDescent="0.25">
      <c r="A15" t="s">
        <v>95</v>
      </c>
      <c r="B15">
        <v>3825</v>
      </c>
      <c r="C15">
        <v>31.06</v>
      </c>
    </row>
    <row r="16" spans="1:3" x14ac:dyDescent="0.25">
      <c r="A16" t="s">
        <v>96</v>
      </c>
      <c r="B16">
        <v>3396.9</v>
      </c>
      <c r="C16">
        <v>29.83</v>
      </c>
    </row>
    <row r="17" spans="1:12" x14ac:dyDescent="0.25">
      <c r="A17" t="s">
        <v>97</v>
      </c>
      <c r="B17">
        <v>3497.4</v>
      </c>
      <c r="C17">
        <v>28.39</v>
      </c>
    </row>
    <row r="18" spans="1:12" x14ac:dyDescent="0.25">
      <c r="A18" t="s">
        <v>98</v>
      </c>
      <c r="B18">
        <v>3296.4</v>
      </c>
      <c r="C18">
        <v>28.17</v>
      </c>
    </row>
    <row r="19" spans="1:12" x14ac:dyDescent="0.25">
      <c r="A19" t="s">
        <v>99</v>
      </c>
      <c r="B19">
        <v>3638.1</v>
      </c>
      <c r="C19">
        <v>29.28</v>
      </c>
    </row>
    <row r="20" spans="1:12" x14ac:dyDescent="0.25">
      <c r="A20" t="s">
        <v>100</v>
      </c>
      <c r="B20">
        <v>3879.3</v>
      </c>
      <c r="C20">
        <v>31.06</v>
      </c>
    </row>
    <row r="21" spans="1:12" x14ac:dyDescent="0.25">
      <c r="A21" t="s">
        <v>101</v>
      </c>
      <c r="B21">
        <v>4502.3999999999996</v>
      </c>
      <c r="C21">
        <v>35.270000000000003</v>
      </c>
    </row>
    <row r="22" spans="1:12" x14ac:dyDescent="0.25">
      <c r="A22" t="s">
        <v>102</v>
      </c>
      <c r="B22">
        <v>3396.9</v>
      </c>
      <c r="C22">
        <v>27.28</v>
      </c>
    </row>
    <row r="23" spans="1:12" x14ac:dyDescent="0.25">
      <c r="A23" t="s">
        <v>103</v>
      </c>
      <c r="B23">
        <v>3457.2</v>
      </c>
      <c r="C23">
        <v>28.72</v>
      </c>
    </row>
    <row r="24" spans="1:12" x14ac:dyDescent="0.25">
      <c r="A24" t="s">
        <v>104</v>
      </c>
      <c r="B24">
        <v>3206</v>
      </c>
      <c r="C24">
        <v>27.56</v>
      </c>
    </row>
    <row r="25" spans="1:12" x14ac:dyDescent="0.25">
      <c r="A25" t="s">
        <v>105</v>
      </c>
      <c r="B25">
        <v>3356.7</v>
      </c>
      <c r="C25">
        <v>28.94</v>
      </c>
    </row>
    <row r="27" spans="1:12" x14ac:dyDescent="0.25">
      <c r="A27" s="1" t="s">
        <v>80</v>
      </c>
    </row>
    <row r="29" spans="1:12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</row>
    <row r="30" spans="1:12" x14ac:dyDescent="0.25">
      <c r="A30" t="s">
        <v>85</v>
      </c>
      <c r="B30">
        <f t="shared" ref="B30:B51" si="0"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 t="shared" ref="J30:J51" si="1">SUM(C30:E30)</f>
        <v>13.59</v>
      </c>
      <c r="K30" s="2">
        <f t="shared" ref="K30:K51" si="2">SUM(F30:I30)</f>
        <v>16.02</v>
      </c>
      <c r="L30" s="2">
        <f t="shared" ref="L30:L51" si="3">K30+J30</f>
        <v>29.61</v>
      </c>
    </row>
    <row r="31" spans="1:12" x14ac:dyDescent="0.25">
      <c r="A31" t="s">
        <v>86</v>
      </c>
      <c r="B31">
        <f t="shared" si="0"/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 t="shared" si="1"/>
        <v>10.71</v>
      </c>
      <c r="K31" s="2">
        <f t="shared" si="2"/>
        <v>17.12</v>
      </c>
      <c r="L31" s="2">
        <f t="shared" si="3"/>
        <v>27.830000000000002</v>
      </c>
    </row>
    <row r="32" spans="1:12" x14ac:dyDescent="0.25">
      <c r="A32" t="s">
        <v>87</v>
      </c>
      <c r="B32">
        <f t="shared" si="0"/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 t="shared" si="1"/>
        <v>11.5</v>
      </c>
      <c r="K32" s="2">
        <f t="shared" si="2"/>
        <v>16.89</v>
      </c>
      <c r="L32" s="2">
        <f t="shared" si="3"/>
        <v>28.39</v>
      </c>
    </row>
    <row r="33" spans="1:12" x14ac:dyDescent="0.25">
      <c r="A33" t="s">
        <v>88</v>
      </c>
      <c r="B33">
        <f t="shared" si="0"/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 t="shared" si="1"/>
        <v>12.94</v>
      </c>
      <c r="K33" s="2">
        <f t="shared" si="2"/>
        <v>16.23</v>
      </c>
      <c r="L33" s="2">
        <f t="shared" si="3"/>
        <v>29.17</v>
      </c>
    </row>
    <row r="34" spans="1:12" x14ac:dyDescent="0.25">
      <c r="A34" t="s">
        <v>84</v>
      </c>
      <c r="B34">
        <f t="shared" si="0"/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 t="shared" si="1"/>
        <v>10.65</v>
      </c>
      <c r="K34" s="2">
        <f t="shared" si="2"/>
        <v>19.520000000000003</v>
      </c>
      <c r="L34" s="2">
        <f t="shared" si="3"/>
        <v>30.17</v>
      </c>
    </row>
    <row r="35" spans="1:12" x14ac:dyDescent="0.25">
      <c r="A35" t="s">
        <v>89</v>
      </c>
      <c r="B35">
        <f t="shared" si="0"/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 t="shared" si="1"/>
        <v>6.8100000000000005</v>
      </c>
      <c r="K35" s="2">
        <f t="shared" si="2"/>
        <v>23.47</v>
      </c>
      <c r="L35" s="2">
        <f t="shared" si="3"/>
        <v>30.28</v>
      </c>
    </row>
    <row r="36" spans="1:12" x14ac:dyDescent="0.25">
      <c r="A36" t="s">
        <v>90</v>
      </c>
      <c r="B36">
        <f t="shared" si="0"/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 t="shared" si="1"/>
        <v>8.2100000000000009</v>
      </c>
      <c r="K36" s="2">
        <f t="shared" si="2"/>
        <v>19.850000000000001</v>
      </c>
      <c r="L36" s="2">
        <f t="shared" si="3"/>
        <v>28.060000000000002</v>
      </c>
    </row>
    <row r="37" spans="1:12" x14ac:dyDescent="0.25">
      <c r="A37" t="s">
        <v>91</v>
      </c>
      <c r="B37">
        <f t="shared" si="0"/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 t="shared" si="1"/>
        <v>8.83</v>
      </c>
      <c r="K37" s="2">
        <f t="shared" si="2"/>
        <v>24.44</v>
      </c>
      <c r="L37" s="2">
        <f t="shared" si="3"/>
        <v>33.270000000000003</v>
      </c>
    </row>
    <row r="38" spans="1:12" x14ac:dyDescent="0.25">
      <c r="A38" t="s">
        <v>92</v>
      </c>
      <c r="B38">
        <f t="shared" si="0"/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 t="shared" si="1"/>
        <v>9.92</v>
      </c>
      <c r="K38" s="2">
        <f t="shared" si="2"/>
        <v>19.350000000000001</v>
      </c>
      <c r="L38" s="2">
        <f t="shared" si="3"/>
        <v>29.270000000000003</v>
      </c>
    </row>
    <row r="39" spans="1:12" x14ac:dyDescent="0.25">
      <c r="A39" t="s">
        <v>93</v>
      </c>
      <c r="B39">
        <f t="shared" si="0"/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 t="shared" si="1"/>
        <v>12.65</v>
      </c>
      <c r="K39" s="2">
        <f t="shared" si="2"/>
        <v>16.869999999999997</v>
      </c>
      <c r="L39" s="2">
        <f t="shared" si="3"/>
        <v>29.519999999999996</v>
      </c>
    </row>
    <row r="40" spans="1:12" x14ac:dyDescent="0.25">
      <c r="A40" t="s">
        <v>94</v>
      </c>
      <c r="B40">
        <f t="shared" si="0"/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 t="shared" si="1"/>
        <v>13.860000000000001</v>
      </c>
      <c r="K40" s="2">
        <f t="shared" si="2"/>
        <v>17.41</v>
      </c>
      <c r="L40" s="2">
        <f t="shared" si="3"/>
        <v>31.270000000000003</v>
      </c>
    </row>
    <row r="41" spans="1:12" x14ac:dyDescent="0.25">
      <c r="A41" t="s">
        <v>95</v>
      </c>
      <c r="B41">
        <f t="shared" si="0"/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 t="shared" si="1"/>
        <v>9.1199999999999992</v>
      </c>
      <c r="K41" s="2">
        <f t="shared" si="2"/>
        <v>21.939999999999998</v>
      </c>
      <c r="L41" s="2">
        <f t="shared" si="3"/>
        <v>31.059999999999995</v>
      </c>
    </row>
    <row r="42" spans="1:12" x14ac:dyDescent="0.25">
      <c r="A42" t="s">
        <v>96</v>
      </c>
      <c r="B42">
        <f t="shared" si="0"/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 t="shared" si="1"/>
        <v>11.63</v>
      </c>
      <c r="K42" s="2">
        <f t="shared" si="2"/>
        <v>18.2</v>
      </c>
      <c r="L42" s="2">
        <f t="shared" si="3"/>
        <v>29.83</v>
      </c>
    </row>
    <row r="43" spans="1:12" x14ac:dyDescent="0.25">
      <c r="A43" t="s">
        <v>97</v>
      </c>
      <c r="B43">
        <f t="shared" si="0"/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 t="shared" si="1"/>
        <v>13.32</v>
      </c>
      <c r="K43" s="2">
        <f t="shared" si="2"/>
        <v>15.06</v>
      </c>
      <c r="L43" s="2">
        <f t="shared" si="3"/>
        <v>28.380000000000003</v>
      </c>
    </row>
    <row r="44" spans="1:12" x14ac:dyDescent="0.25">
      <c r="A44" t="s">
        <v>98</v>
      </c>
      <c r="B44">
        <f t="shared" si="0"/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 t="shared" si="1"/>
        <v>7.1</v>
      </c>
      <c r="K44" s="2">
        <f t="shared" si="2"/>
        <v>21.07</v>
      </c>
      <c r="L44" s="2">
        <f t="shared" si="3"/>
        <v>28.17</v>
      </c>
    </row>
    <row r="45" spans="1:12" x14ac:dyDescent="0.25">
      <c r="A45" t="s">
        <v>99</v>
      </c>
      <c r="B45">
        <f t="shared" si="0"/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 t="shared" si="1"/>
        <v>9.370000000000001</v>
      </c>
      <c r="K45" s="2">
        <f t="shared" si="2"/>
        <v>19.900000000000002</v>
      </c>
      <c r="L45" s="2">
        <f t="shared" si="3"/>
        <v>29.270000000000003</v>
      </c>
    </row>
    <row r="46" spans="1:12" x14ac:dyDescent="0.25">
      <c r="A46" t="s">
        <v>100</v>
      </c>
      <c r="B46">
        <f t="shared" si="0"/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 t="shared" si="1"/>
        <v>15.53</v>
      </c>
      <c r="K46" s="2">
        <f t="shared" si="2"/>
        <v>15.53</v>
      </c>
      <c r="L46" s="2">
        <f t="shared" si="3"/>
        <v>31.06</v>
      </c>
    </row>
    <row r="47" spans="1:12" x14ac:dyDescent="0.25">
      <c r="A47" t="s">
        <v>101</v>
      </c>
      <c r="B47">
        <f t="shared" si="0"/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 t="shared" si="1"/>
        <v>16.11</v>
      </c>
      <c r="K47" s="2">
        <f t="shared" si="2"/>
        <v>19.16</v>
      </c>
      <c r="L47" s="2">
        <f t="shared" si="3"/>
        <v>35.269999999999996</v>
      </c>
    </row>
    <row r="48" spans="1:12" x14ac:dyDescent="0.25">
      <c r="A48" t="s">
        <v>102</v>
      </c>
      <c r="B48">
        <f t="shared" si="0"/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 t="shared" si="1"/>
        <v>11</v>
      </c>
      <c r="K48" s="2">
        <f t="shared" si="2"/>
        <v>16.28</v>
      </c>
      <c r="L48" s="2">
        <f t="shared" si="3"/>
        <v>27.28</v>
      </c>
    </row>
    <row r="49" spans="1:12" x14ac:dyDescent="0.25">
      <c r="A49" t="s">
        <v>103</v>
      </c>
      <c r="B49">
        <f t="shared" si="0"/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 t="shared" si="1"/>
        <v>8.18</v>
      </c>
      <c r="K49" s="2">
        <f t="shared" si="2"/>
        <v>20.55</v>
      </c>
      <c r="L49" s="2">
        <f t="shared" si="3"/>
        <v>28.73</v>
      </c>
    </row>
    <row r="50" spans="1:12" x14ac:dyDescent="0.25">
      <c r="A50" t="s">
        <v>104</v>
      </c>
      <c r="B50">
        <f t="shared" si="0"/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 t="shared" si="1"/>
        <v>7.7000000000000011</v>
      </c>
      <c r="K50" s="2">
        <f t="shared" si="2"/>
        <v>19.86</v>
      </c>
      <c r="L50" s="2">
        <f t="shared" si="3"/>
        <v>27.560000000000002</v>
      </c>
    </row>
    <row r="51" spans="1:12" x14ac:dyDescent="0.25">
      <c r="A51" t="s">
        <v>105</v>
      </c>
      <c r="B51">
        <f t="shared" si="0"/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 t="shared" si="1"/>
        <v>8.59</v>
      </c>
      <c r="K51" s="2">
        <f t="shared" si="2"/>
        <v>20.36</v>
      </c>
      <c r="L51" s="2">
        <f t="shared" si="3"/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Cap2</vt:lpstr>
      <vt:lpstr>Cap3</vt:lpstr>
      <vt:lpstr>Cap6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2019-03-22T11:52:46Z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455004df-6181-44ec-8997-857ce836e5f6</vt:lpwstr>
  </property>
  <property fmtid="{D5CDD505-2E9C-101B-9397-08002B2CF9AE}" pid="3" name="Classification">
    <vt:lpwstr>Internal</vt:lpwstr>
  </property>
</Properties>
</file>