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gonigro/Library/Mobile Documents/com~apple~CloudDocs/iCloud Drive (Archivio)/Documents/Dati_condivisi/Hidra Corsi_Convegni_Libri/UNIV_TRIESTE_Ingegneria_Economia per Ingegneria/2020_ECONOMIA APPLICATA ALL'INGEGNERIA_CORSO/"/>
    </mc:Choice>
  </mc:AlternateContent>
  <xr:revisionPtr revIDLastSave="0" documentId="8_{7318D5EE-9099-2A46-9779-A18E9367AFB4}" xr6:coauthVersionLast="36" xr6:coauthVersionMax="36" xr10:uidLastSave="{00000000-0000-0000-0000-000000000000}"/>
  <bookViews>
    <workbookView xWindow="1180" yWindow="460" windowWidth="31820" windowHeight="18900" activeTab="5" xr2:uid="{319C85EE-FAA9-E342-BBC9-7E81B5944528}"/>
  </bookViews>
  <sheets>
    <sheet name="BEP MIX PRODOTTO" sheetId="1" r:id="rId1"/>
    <sheet name="conto econOmico" sheetId="2" r:id="rId2"/>
    <sheet name="piano ammortamenti" sheetId="3" r:id="rId3"/>
    <sheet name="Foglio2" sheetId="10" r:id="rId4"/>
    <sheet name="bplan e cash flow" sheetId="9" r:id="rId5"/>
    <sheet name="esercizio 7.5" sheetId="11" r:id="rId6"/>
    <sheet name="VALORE AGGIUNTO" sheetId="4" r:id="rId7"/>
    <sheet name="ce pe canale" sheetId="5" r:id="rId8"/>
    <sheet name="budget " sheetId="6" r:id="rId9"/>
    <sheet name="RIMANZE DI MAGAZZINO" sheetId="7" r:id="rId10"/>
    <sheet name="ESERCIZIO" sheetId="8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9" l="1"/>
  <c r="H37" i="9"/>
  <c r="H36" i="9"/>
  <c r="G17" i="9"/>
  <c r="H35" i="9"/>
  <c r="H34" i="9"/>
  <c r="H32" i="9"/>
  <c r="H30" i="9"/>
  <c r="H28" i="9"/>
  <c r="G22" i="9"/>
  <c r="H21" i="9"/>
  <c r="H22" i="9" s="1"/>
  <c r="H16" i="9"/>
  <c r="H13" i="9"/>
  <c r="H6" i="9"/>
  <c r="G28" i="9"/>
  <c r="F28" i="9"/>
  <c r="G27" i="9"/>
  <c r="G16" i="9"/>
  <c r="G13" i="9"/>
  <c r="G6" i="9"/>
  <c r="F20" i="9"/>
  <c r="F21" i="9" s="1"/>
  <c r="F22" i="9" s="1"/>
  <c r="E21" i="9"/>
  <c r="F13" i="9"/>
  <c r="F17" i="9"/>
  <c r="F16" i="9"/>
  <c r="F6" i="9"/>
  <c r="E27" i="9"/>
  <c r="E13" i="9"/>
  <c r="E17" i="9"/>
  <c r="E16" i="9"/>
  <c r="E6" i="9"/>
  <c r="D16" i="9"/>
  <c r="D13" i="9"/>
  <c r="D20" i="9" s="1"/>
  <c r="D27" i="9" s="1"/>
  <c r="E28" i="9" s="1"/>
  <c r="D6" i="9"/>
  <c r="D17" i="9" s="1"/>
  <c r="D21" i="9" l="1"/>
  <c r="D22" i="9" s="1"/>
  <c r="E22" i="9"/>
  <c r="B37" i="3"/>
  <c r="B35" i="3"/>
  <c r="B34" i="3"/>
  <c r="E87" i="7" l="1"/>
  <c r="D87" i="7"/>
  <c r="D75" i="7"/>
  <c r="E75" i="7"/>
  <c r="C75" i="7"/>
  <c r="D73" i="7"/>
  <c r="E73" i="7"/>
  <c r="C73" i="7"/>
  <c r="E70" i="7"/>
  <c r="E71" i="7" s="1"/>
  <c r="D70" i="7"/>
  <c r="D71" i="7" s="1"/>
  <c r="C71" i="7"/>
  <c r="C70" i="7"/>
  <c r="D51" i="7"/>
  <c r="F31" i="7"/>
  <c r="F27" i="7"/>
  <c r="E16" i="3"/>
  <c r="E14" i="3"/>
  <c r="E15" i="3" s="1"/>
  <c r="F14" i="3"/>
  <c r="F13" i="3"/>
  <c r="E13" i="3"/>
  <c r="F12" i="3"/>
  <c r="E12" i="3"/>
  <c r="O31" i="6"/>
  <c r="I23" i="6"/>
  <c r="L26" i="6"/>
  <c r="L25" i="6"/>
  <c r="L23" i="6"/>
  <c r="L21" i="6"/>
  <c r="L27" i="6"/>
  <c r="Q8" i="6"/>
  <c r="P12" i="6"/>
  <c r="O12" i="6"/>
  <c r="P8" i="6"/>
  <c r="O8" i="6"/>
  <c r="F15" i="3" l="1"/>
  <c r="F16" i="3"/>
  <c r="Q12" i="6"/>
  <c r="R12" i="6" s="1"/>
  <c r="G15" i="4"/>
  <c r="G13" i="4"/>
  <c r="G11" i="4"/>
  <c r="G6" i="4"/>
  <c r="G5" i="4"/>
  <c r="F11" i="4"/>
  <c r="F13" i="4" s="1"/>
  <c r="F15" i="4" s="1"/>
  <c r="F9" i="4"/>
  <c r="D11" i="4"/>
  <c r="D9" i="4"/>
  <c r="D13" i="4"/>
  <c r="D15" i="4" s="1"/>
  <c r="D16" i="4" s="1"/>
  <c r="F8" i="4"/>
  <c r="F7" i="4"/>
  <c r="D8" i="4"/>
  <c r="D7" i="4"/>
  <c r="F16" i="4" l="1"/>
  <c r="D24" i="6"/>
  <c r="G21" i="6"/>
  <c r="D21" i="6"/>
  <c r="H8" i="6" l="1"/>
  <c r="D12" i="6"/>
  <c r="G14" i="6"/>
  <c r="I14" i="6" s="1"/>
  <c r="I13" i="6"/>
  <c r="I15" i="6"/>
  <c r="I17" i="6"/>
  <c r="I18" i="6"/>
  <c r="I19" i="6"/>
  <c r="I20" i="6"/>
  <c r="I22" i="6"/>
  <c r="I27" i="6"/>
  <c r="I29" i="6"/>
  <c r="I8" i="6"/>
  <c r="H29" i="6"/>
  <c r="H27" i="6"/>
  <c r="H22" i="6"/>
  <c r="H20" i="6"/>
  <c r="H19" i="6"/>
  <c r="H18" i="6"/>
  <c r="H17" i="6"/>
  <c r="H15" i="6"/>
  <c r="H13" i="6"/>
  <c r="E9" i="6"/>
  <c r="G9" i="6" s="1"/>
  <c r="G12" i="6" s="1"/>
  <c r="E10" i="6"/>
  <c r="G10" i="6" s="1"/>
  <c r="E11" i="6"/>
  <c r="G11" i="6" s="1"/>
  <c r="I11" i="6" s="1"/>
  <c r="E13" i="6"/>
  <c r="E14" i="6"/>
  <c r="E15" i="6"/>
  <c r="E16" i="6"/>
  <c r="E17" i="6"/>
  <c r="E18" i="6"/>
  <c r="E19" i="6"/>
  <c r="E20" i="6"/>
  <c r="E22" i="6"/>
  <c r="E23" i="6"/>
  <c r="E25" i="6"/>
  <c r="E27" i="6"/>
  <c r="E29" i="6"/>
  <c r="E8" i="6"/>
  <c r="G25" i="6"/>
  <c r="I25" i="6" s="1"/>
  <c r="G16" i="6"/>
  <c r="I16" i="6" s="1"/>
  <c r="H16" i="6" l="1"/>
  <c r="H14" i="6"/>
  <c r="H11" i="6"/>
  <c r="I10" i="6"/>
  <c r="H10" i="6"/>
  <c r="I9" i="6"/>
  <c r="H9" i="6"/>
  <c r="H23" i="6"/>
  <c r="E12" i="6"/>
  <c r="H25" i="6"/>
  <c r="F6" i="4"/>
  <c r="G18" i="2"/>
  <c r="G22" i="2" s="1"/>
  <c r="H10" i="2"/>
  <c r="H14" i="2" s="1"/>
  <c r="H18" i="2" s="1"/>
  <c r="H22" i="2" s="1"/>
  <c r="G10" i="2"/>
  <c r="D6" i="3"/>
  <c r="E18" i="2"/>
  <c r="E22" i="2" s="1"/>
  <c r="F10" i="2"/>
  <c r="F14" i="2" s="1"/>
  <c r="F18" i="2" s="1"/>
  <c r="F22" i="2" s="1"/>
  <c r="E10" i="2"/>
  <c r="H9" i="1"/>
  <c r="F9" i="1"/>
  <c r="K8" i="1"/>
  <c r="H6" i="1" s="1"/>
  <c r="H12" i="6" l="1"/>
  <c r="I12" i="6"/>
  <c r="H10" i="1"/>
  <c r="I10" i="1" s="1"/>
  <c r="K9" i="1"/>
  <c r="K10" i="1" s="1"/>
  <c r="F10" i="1"/>
  <c r="G10" i="1" s="1"/>
  <c r="F6" i="1"/>
  <c r="L10" i="1" l="1"/>
  <c r="K17" i="1" s="1"/>
  <c r="K14" i="1"/>
  <c r="F17" i="1" l="1"/>
  <c r="H17" i="1"/>
  <c r="E21" i="6" l="1"/>
  <c r="D26" i="6"/>
  <c r="E26" i="6" l="1"/>
  <c r="D28" i="6"/>
  <c r="E24" i="6"/>
  <c r="E28" i="6" l="1"/>
  <c r="D30" i="6"/>
  <c r="E30" i="6" s="1"/>
  <c r="H21" i="6"/>
  <c r="I21" i="6"/>
  <c r="G24" i="6"/>
  <c r="H24" i="6" s="1"/>
  <c r="I24" i="6" l="1"/>
  <c r="G26" i="6"/>
  <c r="I26" i="6" l="1"/>
  <c r="H26" i="6"/>
  <c r="G28" i="6"/>
  <c r="H28" i="6" l="1"/>
  <c r="G30" i="6"/>
  <c r="I28" i="6"/>
  <c r="I30" i="6" l="1"/>
  <c r="H30" i="6"/>
</calcChain>
</file>

<file path=xl/sharedStrings.xml><?xml version="1.0" encoding="utf-8"?>
<sst xmlns="http://schemas.openxmlformats.org/spreadsheetml/2006/main" count="264" uniqueCount="212">
  <si>
    <t>prod1</t>
  </si>
  <si>
    <t>prod2</t>
  </si>
  <si>
    <t>ricavi</t>
  </si>
  <si>
    <t>mdc</t>
  </si>
  <si>
    <t>cvar</t>
  </si>
  <si>
    <t>%</t>
  </si>
  <si>
    <t>tot</t>
  </si>
  <si>
    <t>costi fissi</t>
  </si>
  <si>
    <t>risultato</t>
  </si>
  <si>
    <t>BEP</t>
  </si>
  <si>
    <t>costi var mon</t>
  </si>
  <si>
    <t>cst fissi mon</t>
  </si>
  <si>
    <t>MdC</t>
  </si>
  <si>
    <t>ebitda</t>
  </si>
  <si>
    <t>cst fix non monetari</t>
  </si>
  <si>
    <t>ebit</t>
  </si>
  <si>
    <t>economico</t>
  </si>
  <si>
    <t>tax</t>
  </si>
  <si>
    <t>ris. Netto</t>
  </si>
  <si>
    <t>aspetti finanziari del C/C</t>
  </si>
  <si>
    <t>acquisto macchinario</t>
  </si>
  <si>
    <t>vita economica 5 anni</t>
  </si>
  <si>
    <t>vita economica</t>
  </si>
  <si>
    <t>periodo di tempo entro il quale il macchinario svolge con efficienza la sua operatività.</t>
  </si>
  <si>
    <t>quota ammortamento</t>
  </si>
  <si>
    <t>movimento monetario, patrimoniale</t>
  </si>
  <si>
    <t>costo NON MONETARIO ECONOMICO</t>
  </si>
  <si>
    <t>STATO PATRIMONIALE</t>
  </si>
  <si>
    <t>COMPUTER</t>
  </si>
  <si>
    <t>C/C</t>
  </si>
  <si>
    <t>CASO 1: HO I DENARI X PAGARE</t>
  </si>
  <si>
    <t>CASO 2: ACCENDO UN PRESTITO BANCARIO</t>
  </si>
  <si>
    <t>DEBITO</t>
  </si>
  <si>
    <t>PIANO DI AMMORTAMENTO</t>
  </si>
  <si>
    <t>ACQUISTO</t>
  </si>
  <si>
    <t>VALORE BENE</t>
  </si>
  <si>
    <t>Q.TA AMM.TO</t>
  </si>
  <si>
    <t>ANN5</t>
  </si>
  <si>
    <t>ANNO6</t>
  </si>
  <si>
    <t>EBITDA</t>
  </si>
  <si>
    <t>EBIT</t>
  </si>
  <si>
    <t>ore disponibili</t>
  </si>
  <si>
    <t>manutenzione cst 10 ogni 1000</t>
  </si>
  <si>
    <t>var</t>
  </si>
  <si>
    <t>var a scatti</t>
  </si>
  <si>
    <t>fix</t>
  </si>
  <si>
    <t>leva operativa</t>
  </si>
  <si>
    <t xml:space="preserve">ricavi </t>
  </si>
  <si>
    <t>cli 1- privati</t>
  </si>
  <si>
    <t>cli2- scuole</t>
  </si>
  <si>
    <t>cst frutta ( var)</t>
  </si>
  <si>
    <t>margine contribuzione</t>
  </si>
  <si>
    <t>cst fix dipendenti</t>
  </si>
  <si>
    <t xml:space="preserve">interessi passivi </t>
  </si>
  <si>
    <t>Pn, 18.12.2019</t>
  </si>
  <si>
    <t>tipo</t>
  </si>
  <si>
    <t>Ebt</t>
  </si>
  <si>
    <t>Ebitda</t>
  </si>
  <si>
    <t>Valore aggiunto</t>
  </si>
  <si>
    <t>delta%</t>
  </si>
  <si>
    <t>Margine di contribuzione</t>
  </si>
  <si>
    <t>Bilancio d'esercizio</t>
  </si>
  <si>
    <t>Ricavi totali</t>
  </si>
  <si>
    <t>materiali</t>
  </si>
  <si>
    <t>energia</t>
  </si>
  <si>
    <t>trasporti</t>
  </si>
  <si>
    <t>consulenze</t>
  </si>
  <si>
    <t>manutenzioni</t>
  </si>
  <si>
    <t>utenze uffici</t>
  </si>
  <si>
    <t>commercialista</t>
  </si>
  <si>
    <t>legali</t>
  </si>
  <si>
    <t>assicurazioni</t>
  </si>
  <si>
    <t>affitto capannone</t>
  </si>
  <si>
    <t>autovetture</t>
  </si>
  <si>
    <t>amministratori</t>
  </si>
  <si>
    <t>personale</t>
  </si>
  <si>
    <t>ammortamenti</t>
  </si>
  <si>
    <t>interessi bancari</t>
  </si>
  <si>
    <t>tasse</t>
  </si>
  <si>
    <t>Budget</t>
  </si>
  <si>
    <t>Conto economico</t>
  </si>
  <si>
    <t>ore macchina effettive</t>
  </si>
  <si>
    <t>Ricavo</t>
  </si>
  <si>
    <t>Materiali</t>
  </si>
  <si>
    <t>Energia</t>
  </si>
  <si>
    <t>Valore Aggiunto</t>
  </si>
  <si>
    <t>Manutenzione (10 ogni 1000h)</t>
  </si>
  <si>
    <t>Personale</t>
  </si>
  <si>
    <t>Ammortamento</t>
  </si>
  <si>
    <t>Δ %</t>
  </si>
  <si>
    <t>Ebit - RISULTATO OPERATIVO</t>
  </si>
  <si>
    <t>PROD A</t>
  </si>
  <si>
    <t>PROD B</t>
  </si>
  <si>
    <t>CALCOLARE IL BEP, AZIENDALE E PER PRODOTTO</t>
  </si>
  <si>
    <t>TOT</t>
  </si>
  <si>
    <t>BEP AZ</t>
  </si>
  <si>
    <t>COSTI FISSI</t>
  </si>
  <si>
    <t>BEP PROD A</t>
  </si>
  <si>
    <t>BEP PROD B</t>
  </si>
  <si>
    <t>CASH FLOW DEL CONTO ECONOMICO</t>
  </si>
  <si>
    <t>RISULTATO DI PERIODO + AMM.TI</t>
  </si>
  <si>
    <t>CASH FLOW DI BEP</t>
  </si>
  <si>
    <t xml:space="preserve"> VALORE ECONOMICO  RESIDUO</t>
  </si>
  <si>
    <t>FONDO AMMORTAMENTO</t>
  </si>
  <si>
    <t>RIMANZE DI MAGAZZINO</t>
  </si>
  <si>
    <t>PRODOTTI FINITI NON VENDUTI</t>
  </si>
  <si>
    <t>OVVERO PRODOTTI IN ECCESSO RISPETTO ALLA DOMANDA CLIENTE</t>
  </si>
  <si>
    <t>MATERIE PRIME NON UTILIZZATE</t>
  </si>
  <si>
    <t xml:space="preserve"> ( ACQUISTATE IN ECCESSO RISPETTO ALLA NECESSITA')</t>
  </si>
  <si>
    <t>PRODOTTI IN CORSO DI LAVORAZIONE / SEMILAVORATI / WIP</t>
  </si>
  <si>
    <t>OVVERO LAVORAZIONI NON COMPLETATE</t>
  </si>
  <si>
    <t>CONSUMI</t>
  </si>
  <si>
    <t>ACQUISTI</t>
  </si>
  <si>
    <t>SCHEDA DI MAGAZZINO</t>
  </si>
  <si>
    <t>RIMANENZA INIZIALE</t>
  </si>
  <si>
    <t>PRELIEVI</t>
  </si>
  <si>
    <t>RIMANENZA FINALE</t>
  </si>
  <si>
    <t>BISCOTTI NUTELLA</t>
  </si>
  <si>
    <t>consumo</t>
  </si>
  <si>
    <t>rim. Iniziali</t>
  </si>
  <si>
    <t>Acquisti</t>
  </si>
  <si>
    <t>Rim. Finali</t>
  </si>
  <si>
    <t>consumi?</t>
  </si>
  <si>
    <t>differenza magazzino + acquisti</t>
  </si>
  <si>
    <t>stato patrimoniale</t>
  </si>
  <si>
    <t xml:space="preserve">ACQUISTI </t>
  </si>
  <si>
    <t>CONTO ECONOMICO</t>
  </si>
  <si>
    <t>diff. Magazzino (R.F-R.I)</t>
  </si>
  <si>
    <t>RICAVI</t>
  </si>
  <si>
    <t>R.FINALI</t>
  </si>
  <si>
    <t>RIM. INIZIALI</t>
  </si>
  <si>
    <t>DIFF. MAGAZZINO</t>
  </si>
  <si>
    <t>FLUSSO CASSA MAGAZZINO</t>
  </si>
  <si>
    <t>FLUSSO DI CASSA MATERIALI</t>
  </si>
  <si>
    <t>SP</t>
  </si>
  <si>
    <t>CE</t>
  </si>
  <si>
    <t>TOT ( SP+CE)</t>
  </si>
  <si>
    <t>FLUSSO DI CASSA MAGAZZINO</t>
  </si>
  <si>
    <t>MAGAZZINO FINALE</t>
  </si>
  <si>
    <t>IMMOBILIZZAZIONI</t>
  </si>
  <si>
    <t>AMM.TI 2019</t>
  </si>
  <si>
    <t>AMM.TI</t>
  </si>
  <si>
    <t>ACQUISTO MACCHINA</t>
  </si>
  <si>
    <t>AMM.TI AGGIUNTIVI</t>
  </si>
  <si>
    <t>IMMOBILIZZAZIONI INIZ</t>
  </si>
  <si>
    <t>ANNO 2020</t>
  </si>
  <si>
    <t>IMMOBILIZZAZIONI INIZ ( 1.1.20)</t>
  </si>
  <si>
    <t>ACQUISTI 2020)</t>
  </si>
  <si>
    <t>AMMORTAMENTI  2020</t>
  </si>
  <si>
    <t>IMMOBILIZZAZIONI FINALI 2020</t>
  </si>
  <si>
    <t>FLUSSO DI CASSA INVESTIM</t>
  </si>
  <si>
    <t>CST VAR</t>
  </si>
  <si>
    <t>C.FISSI</t>
  </si>
  <si>
    <t>Magazzino</t>
  </si>
  <si>
    <t>crediti</t>
  </si>
  <si>
    <t>debiti</t>
  </si>
  <si>
    <t xml:space="preserve">calcolare </t>
  </si>
  <si>
    <t>bep</t>
  </si>
  <si>
    <t>cash flow totale</t>
  </si>
  <si>
    <t>conto economico</t>
  </si>
  <si>
    <t>r.netto</t>
  </si>
  <si>
    <t>ANNO 17</t>
  </si>
  <si>
    <t>ANNO 18</t>
  </si>
  <si>
    <t>ANNO 19</t>
  </si>
  <si>
    <t>ANNO 20</t>
  </si>
  <si>
    <t>ANNO 21</t>
  </si>
  <si>
    <t>immobilizzazioni</t>
  </si>
  <si>
    <t>flusso cassa immob</t>
  </si>
  <si>
    <t>immobizzazioni</t>
  </si>
  <si>
    <t>cap circolante</t>
  </si>
  <si>
    <t>cap investito</t>
  </si>
  <si>
    <t>patrimonio netto</t>
  </si>
  <si>
    <t>cst var</t>
  </si>
  <si>
    <t>cf</t>
  </si>
  <si>
    <t>utile/perdita</t>
  </si>
  <si>
    <t>anno 1</t>
  </si>
  <si>
    <t>totale fonti</t>
  </si>
  <si>
    <t>anno2</t>
  </si>
  <si>
    <t>Cap sociale</t>
  </si>
  <si>
    <t>Utili</t>
  </si>
  <si>
    <t>FLUSSO DI CASSA</t>
  </si>
  <si>
    <t>CASSA</t>
  </si>
  <si>
    <t>DEBITO  BANCHE Breve Termine</t>
  </si>
  <si>
    <t>DEBITO BANCHE Medio lungo termine</t>
  </si>
  <si>
    <t>posizione finanziaria netta</t>
  </si>
  <si>
    <t>utile</t>
  </si>
  <si>
    <t>amm.ti</t>
  </si>
  <si>
    <t>anno3 budget</t>
  </si>
  <si>
    <t>anno3 bdg</t>
  </si>
  <si>
    <t>Posizione Finanziaria Netta</t>
  </si>
  <si>
    <t>flusso di cassa</t>
  </si>
  <si>
    <t>nessuna variazione ccn</t>
  </si>
  <si>
    <t>anno4 bdg</t>
  </si>
  <si>
    <t>anno5 bdg</t>
  </si>
  <si>
    <t>Cassa generata nel C/E</t>
  </si>
  <si>
    <t>variazione immobilizzazioni</t>
  </si>
  <si>
    <t>Variazione PN</t>
  </si>
  <si>
    <t>flusso di cassa totale</t>
  </si>
  <si>
    <t>Cassa generata da SP</t>
  </si>
  <si>
    <t>acquisti</t>
  </si>
  <si>
    <t>energiale elettrica</t>
  </si>
  <si>
    <t>servizi</t>
  </si>
  <si>
    <t>lavorazini di terzi</t>
  </si>
  <si>
    <t>imballaggi</t>
  </si>
  <si>
    <t>magazzino</t>
  </si>
  <si>
    <t>CCNetto</t>
  </si>
  <si>
    <t>Capitale investito</t>
  </si>
  <si>
    <t>PN</t>
  </si>
  <si>
    <t>PFN</t>
  </si>
  <si>
    <t>totale Fonti</t>
  </si>
  <si>
    <t>calcolare x ogni anno</t>
  </si>
  <si>
    <t>utile/perita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</si>
</sst>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\+0%;\-0%;0%;"/>
    <numFmt numFmtId="167" formatCode="\+0%;\-0%;;"/>
    <numFmt numFmtId="168" formatCode="\+0%;\-0%;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43" fontId="0" fillId="0" borderId="0" xfId="1" applyFont="1"/>
    <xf numFmtId="164" fontId="0" fillId="0" borderId="0" xfId="1" applyNumberFormat="1" applyFont="1"/>
    <xf numFmtId="9" fontId="0" fillId="0" borderId="0" xfId="3" applyFont="1"/>
    <xf numFmtId="164" fontId="0" fillId="0" borderId="0" xfId="0" applyNumberFormat="1"/>
    <xf numFmtId="9" fontId="0" fillId="0" borderId="0" xfId="0" applyNumberFormat="1"/>
    <xf numFmtId="9" fontId="0" fillId="2" borderId="0" xfId="3" applyFont="1" applyFill="1"/>
    <xf numFmtId="0" fontId="2" fillId="0" borderId="0" xfId="0" applyFont="1"/>
    <xf numFmtId="0" fontId="2" fillId="2" borderId="0" xfId="0" applyFont="1" applyFill="1"/>
    <xf numFmtId="164" fontId="2" fillId="2" borderId="0" xfId="1" applyNumberFormat="1" applyFont="1" applyFill="1"/>
    <xf numFmtId="164" fontId="2" fillId="2" borderId="0" xfId="0" applyNumberFormat="1" applyFont="1" applyFill="1"/>
    <xf numFmtId="43" fontId="2" fillId="0" borderId="0" xfId="1" applyFont="1"/>
    <xf numFmtId="44" fontId="0" fillId="0" borderId="0" xfId="2" applyFont="1"/>
    <xf numFmtId="44" fontId="2" fillId="0" borderId="0" xfId="2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/>
    <xf numFmtId="43" fontId="2" fillId="2" borderId="0" xfId="1" applyFont="1" applyFill="1"/>
    <xf numFmtId="44" fontId="2" fillId="2" borderId="0" xfId="2" applyFont="1" applyFill="1"/>
    <xf numFmtId="0" fontId="0" fillId="3" borderId="0" xfId="0" applyFill="1"/>
    <xf numFmtId="0" fontId="2" fillId="3" borderId="0" xfId="0" applyFont="1" applyFill="1"/>
    <xf numFmtId="43" fontId="0" fillId="3" borderId="0" xfId="1" applyFont="1" applyFill="1"/>
    <xf numFmtId="44" fontId="2" fillId="3" borderId="0" xfId="2" applyFont="1" applyFill="1"/>
    <xf numFmtId="164" fontId="0" fillId="3" borderId="0" xfId="1" applyNumberFormat="1" applyFont="1" applyFill="1"/>
    <xf numFmtId="165" fontId="0" fillId="0" borderId="0" xfId="3" applyNumberFormat="1" applyFont="1"/>
    <xf numFmtId="165" fontId="2" fillId="0" borderId="0" xfId="3" applyNumberFormat="1" applyFont="1"/>
    <xf numFmtId="0" fontId="0" fillId="0" borderId="0" xfId="0" applyFont="1"/>
    <xf numFmtId="164" fontId="0" fillId="4" borderId="0" xfId="1" applyNumberFormat="1" applyFont="1" applyFill="1"/>
    <xf numFmtId="0" fontId="0" fillId="0" borderId="0" xfId="0" quotePrefix="1"/>
    <xf numFmtId="165" fontId="2" fillId="0" borderId="0" xfId="0" applyNumberFormat="1" applyFont="1"/>
    <xf numFmtId="0" fontId="2" fillId="0" borderId="0" xfId="0" quotePrefix="1" applyFont="1" applyAlignment="1">
      <alignment horizontal="center"/>
    </xf>
    <xf numFmtId="9" fontId="2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3" applyNumberFormat="1" applyFont="1"/>
    <xf numFmtId="166" fontId="0" fillId="4" borderId="0" xfId="3" applyNumberFormat="1" applyFont="1" applyFill="1"/>
    <xf numFmtId="164" fontId="2" fillId="3" borderId="0" xfId="0" applyNumberFormat="1" applyFont="1" applyFill="1"/>
    <xf numFmtId="165" fontId="2" fillId="3" borderId="0" xfId="3" applyNumberFormat="1" applyFont="1" applyFill="1"/>
    <xf numFmtId="166" fontId="2" fillId="3" borderId="0" xfId="3" applyNumberFormat="1" applyFont="1" applyFill="1"/>
    <xf numFmtId="164" fontId="2" fillId="3" borderId="0" xfId="1" applyNumberFormat="1" applyFont="1" applyFill="1"/>
    <xf numFmtId="9" fontId="0" fillId="3" borderId="0" xfId="0" applyNumberFormat="1" applyFill="1"/>
    <xf numFmtId="167" fontId="0" fillId="0" borderId="0" xfId="3" applyNumberFormat="1" applyFont="1"/>
    <xf numFmtId="168" fontId="0" fillId="0" borderId="0" xfId="3" applyNumberFormat="1" applyFont="1"/>
    <xf numFmtId="0" fontId="0" fillId="3" borderId="0" xfId="0" applyFont="1" applyFill="1"/>
    <xf numFmtId="168" fontId="0" fillId="3" borderId="0" xfId="3" applyNumberFormat="1" applyFont="1" applyFill="1"/>
    <xf numFmtId="0" fontId="0" fillId="0" borderId="2" xfId="0" applyFont="1" applyBorder="1"/>
    <xf numFmtId="164" fontId="0" fillId="0" borderId="2" xfId="1" applyNumberFormat="1" applyFont="1" applyBorder="1"/>
    <xf numFmtId="9" fontId="0" fillId="0" borderId="2" xfId="0" applyNumberFormat="1" applyBorder="1"/>
    <xf numFmtId="167" fontId="0" fillId="0" borderId="2" xfId="3" applyNumberFormat="1" applyFont="1" applyBorder="1"/>
    <xf numFmtId="0" fontId="0" fillId="0" borderId="5" xfId="0" applyFont="1" applyBorder="1"/>
    <xf numFmtId="164" fontId="0" fillId="0" borderId="5" xfId="1" applyNumberFormat="1" applyFont="1" applyBorder="1"/>
    <xf numFmtId="9" fontId="0" fillId="0" borderId="5" xfId="0" applyNumberFormat="1" applyBorder="1"/>
    <xf numFmtId="167" fontId="0" fillId="0" borderId="5" xfId="3" applyNumberFormat="1" applyFont="1" applyBorder="1"/>
    <xf numFmtId="0" fontId="2" fillId="3" borderId="0" xfId="0" applyFont="1" applyFill="1" applyAlignment="1">
      <alignment horizontal="center"/>
    </xf>
    <xf numFmtId="0" fontId="0" fillId="0" borderId="0" xfId="0" applyFont="1" applyBorder="1"/>
    <xf numFmtId="164" fontId="0" fillId="0" borderId="0" xfId="1" applyNumberFormat="1" applyFont="1" applyBorder="1"/>
    <xf numFmtId="0" fontId="0" fillId="0" borderId="0" xfId="0" applyBorder="1"/>
    <xf numFmtId="167" fontId="0" fillId="0" borderId="0" xfId="3" applyNumberFormat="1" applyFont="1" applyBorder="1"/>
    <xf numFmtId="0" fontId="2" fillId="3" borderId="0" xfId="0" applyFont="1" applyFill="1" applyBorder="1"/>
    <xf numFmtId="164" fontId="0" fillId="3" borderId="0" xfId="1" applyNumberFormat="1" applyFont="1" applyFill="1" applyBorder="1"/>
    <xf numFmtId="168" fontId="0" fillId="3" borderId="0" xfId="3" applyNumberFormat="1" applyFont="1" applyFill="1" applyBorder="1"/>
    <xf numFmtId="164" fontId="3" fillId="4" borderId="0" xfId="1" applyNumberFormat="1" applyFont="1" applyFill="1"/>
    <xf numFmtId="164" fontId="2" fillId="6" borderId="0" xfId="0" applyNumberFormat="1" applyFont="1" applyFill="1"/>
    <xf numFmtId="164" fontId="2" fillId="0" borderId="0" xfId="1" applyNumberFormat="1" applyFont="1"/>
    <xf numFmtId="164" fontId="2" fillId="0" borderId="0" xfId="0" applyNumberFormat="1" applyFont="1"/>
    <xf numFmtId="165" fontId="2" fillId="5" borderId="0" xfId="3" applyNumberFormat="1" applyFont="1" applyFill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16" fontId="0" fillId="0" borderId="0" xfId="0" applyNumberFormat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7" xfId="0" applyFont="1" applyBorder="1"/>
    <xf numFmtId="0" fontId="10" fillId="0" borderId="17" xfId="0" applyFont="1" applyBorder="1"/>
    <xf numFmtId="0" fontId="10" fillId="0" borderId="0" xfId="0" applyFont="1"/>
    <xf numFmtId="0" fontId="10" fillId="0" borderId="11" xfId="0" applyFont="1" applyBorder="1"/>
    <xf numFmtId="0" fontId="10" fillId="0" borderId="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11" fillId="0" borderId="0" xfId="0" applyFont="1"/>
    <xf numFmtId="0" fontId="12" fillId="0" borderId="0" xfId="0" applyFont="1"/>
    <xf numFmtId="0" fontId="10" fillId="5" borderId="16" xfId="0" applyFont="1" applyFill="1" applyBorder="1"/>
    <xf numFmtId="0" fontId="11" fillId="5" borderId="0" xfId="0" applyFont="1" applyFill="1"/>
    <xf numFmtId="0" fontId="10" fillId="7" borderId="7" xfId="0" applyFont="1" applyFill="1" applyBorder="1"/>
    <xf numFmtId="0" fontId="10" fillId="7" borderId="1" xfId="0" applyFont="1" applyFill="1" applyBorder="1"/>
    <xf numFmtId="0" fontId="9" fillId="7" borderId="0" xfId="0" applyFont="1" applyFill="1"/>
    <xf numFmtId="0" fontId="9" fillId="8" borderId="0" xfId="0" applyFont="1" applyFill="1"/>
    <xf numFmtId="0" fontId="10" fillId="8" borderId="12" xfId="0" applyFont="1" applyFill="1" applyBorder="1"/>
    <xf numFmtId="0" fontId="2" fillId="8" borderId="0" xfId="0" applyFont="1" applyFill="1"/>
    <xf numFmtId="0" fontId="2" fillId="9" borderId="0" xfId="0" applyFont="1" applyFill="1"/>
    <xf numFmtId="0" fontId="2" fillId="10" borderId="0" xfId="0" applyFont="1" applyFill="1" applyAlignment="1">
      <alignment horizontal="center"/>
    </xf>
    <xf numFmtId="0" fontId="13" fillId="0" borderId="0" xfId="0" applyFont="1"/>
    <xf numFmtId="3" fontId="0" fillId="0" borderId="0" xfId="0" applyNumberFormat="1"/>
    <xf numFmtId="0" fontId="2" fillId="5" borderId="0" xfId="0" applyFont="1" applyFill="1" applyAlignment="1">
      <alignment horizontal="center"/>
    </xf>
    <xf numFmtId="164" fontId="0" fillId="2" borderId="0" xfId="1" applyNumberFormat="1" applyFont="1" applyFill="1"/>
    <xf numFmtId="164" fontId="0" fillId="2" borderId="0" xfId="0" applyNumberFormat="1" applyFill="1"/>
    <xf numFmtId="164" fontId="1" fillId="0" borderId="0" xfId="1" applyNumberFormat="1" applyFont="1"/>
    <xf numFmtId="164" fontId="2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14" fillId="0" borderId="0" xfId="0" applyFont="1"/>
    <xf numFmtId="164" fontId="14" fillId="0" borderId="0" xfId="1" applyNumberFormat="1" applyFont="1" applyAlignment="1">
      <alignment horizontal="center"/>
    </xf>
    <xf numFmtId="164" fontId="15" fillId="0" borderId="0" xfId="1" applyNumberFormat="1" applyFont="1"/>
    <xf numFmtId="164" fontId="2" fillId="2" borderId="0" xfId="1" applyNumberFormat="1" applyFont="1" applyFill="1" applyAlignment="1">
      <alignment horizontal="center"/>
    </xf>
    <xf numFmtId="0" fontId="15" fillId="2" borderId="0" xfId="0" applyFont="1" applyFill="1"/>
    <xf numFmtId="164" fontId="16" fillId="2" borderId="0" xfId="1" applyNumberFormat="1" applyFont="1" applyFill="1" applyAlignment="1">
      <alignment horizontal="center"/>
    </xf>
    <xf numFmtId="164" fontId="16" fillId="2" borderId="0" xfId="1" applyNumberFormat="1" applyFont="1" applyFill="1"/>
    <xf numFmtId="164" fontId="15" fillId="2" borderId="0" xfId="1" applyNumberFormat="1" applyFont="1" applyFill="1" applyAlignment="1">
      <alignment horizontal="center"/>
    </xf>
    <xf numFmtId="164" fontId="15" fillId="2" borderId="0" xfId="1" applyNumberFormat="1" applyFont="1" applyFill="1"/>
    <xf numFmtId="0" fontId="0" fillId="6" borderId="0" xfId="0" applyFill="1"/>
    <xf numFmtId="164" fontId="0" fillId="6" borderId="0" xfId="1" applyNumberFormat="1" applyFont="1" applyFill="1" applyAlignment="1">
      <alignment horizontal="center"/>
    </xf>
    <xf numFmtId="164" fontId="0" fillId="6" borderId="0" xfId="1" applyNumberFormat="1" applyFont="1" applyFill="1"/>
    <xf numFmtId="164" fontId="1" fillId="6" borderId="0" xfId="1" applyNumberFormat="1" applyFont="1" applyFill="1"/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9EBFE-5A75-B44A-BCF0-53E9F8B31E4F}">
  <dimension ref="D6:L17"/>
  <sheetViews>
    <sheetView zoomScale="160" zoomScaleNormal="160" workbookViewId="0">
      <selection activeCell="K10" sqref="K10"/>
    </sheetView>
  </sheetViews>
  <sheetFormatPr baseColWidth="10" defaultColWidth="11" defaultRowHeight="16" x14ac:dyDescent="0.2"/>
  <cols>
    <col min="6" max="6" width="13" bestFit="1" customWidth="1"/>
    <col min="7" max="7" width="12" customWidth="1"/>
    <col min="8" max="8" width="12" bestFit="1" customWidth="1"/>
    <col min="10" max="10" width="4.33203125" customWidth="1"/>
    <col min="11" max="11" width="13" bestFit="1" customWidth="1"/>
  </cols>
  <sheetData>
    <row r="6" spans="5:12" x14ac:dyDescent="0.2">
      <c r="F6" s="3">
        <f>+F8/K8</f>
        <v>0.8571428571428571</v>
      </c>
      <c r="H6" s="3">
        <f>+H8/K8</f>
        <v>0.14285714285714285</v>
      </c>
    </row>
    <row r="7" spans="5:12" x14ac:dyDescent="0.2">
      <c r="F7" t="s">
        <v>0</v>
      </c>
      <c r="G7" t="s">
        <v>5</v>
      </c>
      <c r="H7" t="s">
        <v>1</v>
      </c>
      <c r="I7" t="s">
        <v>5</v>
      </c>
      <c r="K7" t="s">
        <v>6</v>
      </c>
    </row>
    <row r="8" spans="5:12" x14ac:dyDescent="0.2">
      <c r="E8" t="s">
        <v>2</v>
      </c>
      <c r="F8" s="2">
        <v>180000</v>
      </c>
      <c r="G8" s="2"/>
      <c r="H8" s="2">
        <v>30000</v>
      </c>
      <c r="K8" s="4">
        <f>+H8+F8</f>
        <v>210000</v>
      </c>
    </row>
    <row r="9" spans="5:12" x14ac:dyDescent="0.2">
      <c r="E9" t="s">
        <v>4</v>
      </c>
      <c r="F9" s="2">
        <f>+F8*G9</f>
        <v>113400</v>
      </c>
      <c r="G9" s="3">
        <v>0.63</v>
      </c>
      <c r="H9" s="2">
        <f>+H8*I9</f>
        <v>22800</v>
      </c>
      <c r="I9" s="5">
        <v>0.76</v>
      </c>
      <c r="K9" s="4">
        <f>+H9+F9</f>
        <v>136200</v>
      </c>
    </row>
    <row r="10" spans="5:12" x14ac:dyDescent="0.2">
      <c r="E10" t="s">
        <v>3</v>
      </c>
      <c r="F10" s="2">
        <f>+F8-F9</f>
        <v>66600</v>
      </c>
      <c r="G10" s="3">
        <f>+F10/F8</f>
        <v>0.37</v>
      </c>
      <c r="H10" s="2">
        <f>+H8-H9</f>
        <v>7200</v>
      </c>
      <c r="I10" s="3">
        <f>+H10/H8</f>
        <v>0.24</v>
      </c>
      <c r="K10" s="4">
        <f>+K8-K9</f>
        <v>73800</v>
      </c>
      <c r="L10" s="6">
        <f>+K10/K8</f>
        <v>0.35142857142857142</v>
      </c>
    </row>
    <row r="11" spans="5:12" x14ac:dyDescent="0.2">
      <c r="F11" s="2"/>
      <c r="G11" s="2"/>
      <c r="H11" s="2"/>
    </row>
    <row r="12" spans="5:12" x14ac:dyDescent="0.2">
      <c r="F12" s="2"/>
      <c r="G12" s="2"/>
      <c r="I12" s="2" t="s">
        <v>7</v>
      </c>
      <c r="K12" s="2">
        <v>50000</v>
      </c>
    </row>
    <row r="13" spans="5:12" x14ac:dyDescent="0.2">
      <c r="F13" s="2"/>
      <c r="G13" s="2"/>
      <c r="H13" s="2"/>
    </row>
    <row r="14" spans="5:12" x14ac:dyDescent="0.2">
      <c r="I14" t="s">
        <v>8</v>
      </c>
      <c r="K14" s="4">
        <f>+K10-K12</f>
        <v>23800</v>
      </c>
    </row>
    <row r="17" spans="4:12" x14ac:dyDescent="0.2">
      <c r="D17" s="8" t="s">
        <v>9</v>
      </c>
      <c r="E17" s="8"/>
      <c r="F17" s="9">
        <f>+K17*F6</f>
        <v>121951.21951219511</v>
      </c>
      <c r="G17" s="8"/>
      <c r="H17" s="10">
        <f>K17*H6</f>
        <v>20325.203252032519</v>
      </c>
      <c r="I17" s="8"/>
      <c r="J17" s="8"/>
      <c r="K17" s="9">
        <f>+K12/L10</f>
        <v>142276.42276422764</v>
      </c>
      <c r="L17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BEC66-08F5-6049-AF79-08E9ADBC8A12}">
  <dimension ref="A3:I87"/>
  <sheetViews>
    <sheetView topLeftCell="A67" zoomScale="165" workbookViewId="0">
      <selection activeCell="B85" sqref="B85"/>
    </sheetView>
  </sheetViews>
  <sheetFormatPr baseColWidth="10" defaultRowHeight="16" x14ac:dyDescent="0.2"/>
  <cols>
    <col min="1" max="1" width="11.83203125" bestFit="1" customWidth="1"/>
    <col min="2" max="2" width="26.6640625" customWidth="1"/>
    <col min="3" max="4" width="23.6640625" customWidth="1"/>
    <col min="5" max="5" width="21" customWidth="1"/>
    <col min="6" max="6" width="16.1640625" customWidth="1"/>
    <col min="7" max="7" width="18.5" customWidth="1"/>
    <col min="8" max="8" width="22.83203125" customWidth="1"/>
    <col min="9" max="9" width="16" customWidth="1"/>
    <col min="10" max="10" width="21.33203125" customWidth="1"/>
  </cols>
  <sheetData>
    <row r="3" spans="2:9" ht="34" x14ac:dyDescent="0.4">
      <c r="B3" s="76" t="s">
        <v>104</v>
      </c>
    </row>
    <row r="5" spans="2:9" x14ac:dyDescent="0.2">
      <c r="C5" s="7" t="s">
        <v>107</v>
      </c>
      <c r="I5" t="s">
        <v>108</v>
      </c>
    </row>
    <row r="7" spans="2:9" x14ac:dyDescent="0.2">
      <c r="C7" s="7" t="s">
        <v>109</v>
      </c>
      <c r="I7" t="s">
        <v>110</v>
      </c>
    </row>
    <row r="9" spans="2:9" x14ac:dyDescent="0.2">
      <c r="C9" s="7" t="s">
        <v>105</v>
      </c>
      <c r="I9" t="s">
        <v>106</v>
      </c>
    </row>
    <row r="16" spans="2:9" ht="31" x14ac:dyDescent="0.35">
      <c r="C16" s="75" t="s">
        <v>111</v>
      </c>
    </row>
    <row r="19" spans="2:8" ht="34" x14ac:dyDescent="0.4">
      <c r="C19" s="76" t="s">
        <v>112</v>
      </c>
    </row>
    <row r="23" spans="2:8" ht="26" x14ac:dyDescent="0.3">
      <c r="C23" s="74" t="s">
        <v>113</v>
      </c>
    </row>
    <row r="25" spans="2:8" ht="17" thickBot="1" x14ac:dyDescent="0.25"/>
    <row r="26" spans="2:8" ht="51" thickBot="1" x14ac:dyDescent="0.35">
      <c r="B26" s="77" t="s">
        <v>117</v>
      </c>
      <c r="C26" s="80" t="s">
        <v>114</v>
      </c>
      <c r="D26" s="81" t="s">
        <v>112</v>
      </c>
      <c r="E26" s="81" t="s">
        <v>115</v>
      </c>
      <c r="F26" s="82" t="s">
        <v>116</v>
      </c>
      <c r="G26" s="78"/>
      <c r="H26" s="83" t="s">
        <v>118</v>
      </c>
    </row>
    <row r="27" spans="2:8" ht="24" x14ac:dyDescent="0.3">
      <c r="B27" s="79">
        <v>43831</v>
      </c>
      <c r="C27" s="95">
        <v>11</v>
      </c>
      <c r="D27" s="97">
        <v>9</v>
      </c>
      <c r="E27" s="84"/>
      <c r="F27" s="85">
        <f>+C27+D27</f>
        <v>20</v>
      </c>
      <c r="G27" s="86"/>
      <c r="H27" s="86"/>
    </row>
    <row r="28" spans="2:8" ht="24" x14ac:dyDescent="0.3">
      <c r="C28" s="87"/>
      <c r="D28" s="88"/>
      <c r="E28" s="88"/>
      <c r="F28" s="89"/>
      <c r="G28" s="86"/>
      <c r="H28" s="86"/>
    </row>
    <row r="29" spans="2:8" ht="24" x14ac:dyDescent="0.3">
      <c r="B29" s="79">
        <v>43832</v>
      </c>
      <c r="C29" s="87"/>
      <c r="D29" s="88"/>
      <c r="E29" s="88">
        <v>3</v>
      </c>
      <c r="F29" s="89">
        <v>17</v>
      </c>
      <c r="G29" s="86"/>
      <c r="H29" s="86">
        <v>3</v>
      </c>
    </row>
    <row r="30" spans="2:8" ht="24" x14ac:dyDescent="0.3">
      <c r="C30" s="87"/>
      <c r="D30" s="88"/>
      <c r="E30" s="88"/>
      <c r="F30" s="89"/>
      <c r="G30" s="86"/>
      <c r="H30" s="86"/>
    </row>
    <row r="31" spans="2:8" ht="24" x14ac:dyDescent="0.3">
      <c r="B31" s="79">
        <v>43833</v>
      </c>
      <c r="C31" s="87"/>
      <c r="D31" s="98">
        <v>4</v>
      </c>
      <c r="E31" s="88">
        <v>7</v>
      </c>
      <c r="F31" s="101">
        <f>+C27+D27+D31-E29-E31</f>
        <v>14</v>
      </c>
      <c r="G31" s="86"/>
      <c r="H31" s="86">
        <v>7</v>
      </c>
    </row>
    <row r="32" spans="2:8" ht="24" x14ac:dyDescent="0.3">
      <c r="C32" s="87"/>
      <c r="D32" s="88"/>
      <c r="E32" s="88"/>
      <c r="F32" s="89"/>
      <c r="G32" s="86"/>
      <c r="H32" s="86"/>
    </row>
    <row r="33" spans="3:8" ht="24" x14ac:dyDescent="0.3">
      <c r="C33" s="87"/>
      <c r="D33" s="88"/>
      <c r="E33" s="88"/>
      <c r="F33" s="89"/>
      <c r="G33" s="86"/>
      <c r="H33" s="86"/>
    </row>
    <row r="34" spans="3:8" ht="24" x14ac:dyDescent="0.3">
      <c r="C34" s="87"/>
      <c r="D34" s="88"/>
      <c r="E34" s="88"/>
      <c r="F34" s="89"/>
      <c r="G34" s="86"/>
      <c r="H34" s="86"/>
    </row>
    <row r="35" spans="3:8" ht="24" x14ac:dyDescent="0.3">
      <c r="C35" s="87"/>
      <c r="D35" s="88"/>
      <c r="E35" s="88"/>
      <c r="F35" s="89"/>
      <c r="G35" s="86"/>
      <c r="H35" s="86"/>
    </row>
    <row r="36" spans="3:8" ht="24" x14ac:dyDescent="0.3">
      <c r="C36" s="87"/>
      <c r="D36" s="88"/>
      <c r="E36" s="88"/>
      <c r="F36" s="89"/>
      <c r="G36" s="86"/>
      <c r="H36" s="86"/>
    </row>
    <row r="37" spans="3:8" ht="25" thickBot="1" x14ac:dyDescent="0.35">
      <c r="C37" s="90"/>
      <c r="D37" s="91"/>
      <c r="E37" s="91"/>
      <c r="F37" s="92"/>
      <c r="G37" s="86"/>
      <c r="H37" s="86"/>
    </row>
    <row r="45" spans="3:8" ht="31" x14ac:dyDescent="0.35">
      <c r="C45" s="94" t="s">
        <v>119</v>
      </c>
      <c r="D45" s="96">
        <v>11</v>
      </c>
    </row>
    <row r="47" spans="3:8" ht="31" x14ac:dyDescent="0.35">
      <c r="C47" s="94" t="s">
        <v>120</v>
      </c>
      <c r="D47" s="99">
        <v>13</v>
      </c>
    </row>
    <row r="49" spans="3:6" ht="31" x14ac:dyDescent="0.35">
      <c r="C49" s="94" t="s">
        <v>121</v>
      </c>
      <c r="D49" s="100">
        <v>14</v>
      </c>
    </row>
    <row r="51" spans="3:6" ht="31" x14ac:dyDescent="0.35">
      <c r="C51" s="94" t="s">
        <v>122</v>
      </c>
      <c r="D51" s="75">
        <f>+D45+D47-D49</f>
        <v>10</v>
      </c>
      <c r="E51" s="93" t="s">
        <v>123</v>
      </c>
    </row>
    <row r="53" spans="3:6" ht="26" x14ac:dyDescent="0.3">
      <c r="E53" s="74" t="s">
        <v>127</v>
      </c>
      <c r="F53" s="74" t="s">
        <v>27</v>
      </c>
    </row>
    <row r="54" spans="3:6" ht="26" x14ac:dyDescent="0.3">
      <c r="E54" s="74" t="s">
        <v>125</v>
      </c>
      <c r="F54" s="74" t="s">
        <v>126</v>
      </c>
    </row>
    <row r="64" spans="3:6" x14ac:dyDescent="0.2">
      <c r="C64" s="102">
        <v>2018</v>
      </c>
      <c r="D64" s="103">
        <v>2019</v>
      </c>
      <c r="E64" s="104">
        <v>2020</v>
      </c>
    </row>
    <row r="65" spans="1:5" x14ac:dyDescent="0.2">
      <c r="B65" t="s">
        <v>130</v>
      </c>
      <c r="C65">
        <v>-2000</v>
      </c>
      <c r="D65" s="72">
        <v>-3000</v>
      </c>
      <c r="E65" s="105">
        <v>-1500</v>
      </c>
    </row>
    <row r="66" spans="1:5" x14ac:dyDescent="0.2">
      <c r="B66" t="s">
        <v>112</v>
      </c>
      <c r="C66">
        <v>-6000</v>
      </c>
      <c r="D66">
        <v>-4500</v>
      </c>
      <c r="E66">
        <v>-5000</v>
      </c>
    </row>
    <row r="67" spans="1:5" x14ac:dyDescent="0.2">
      <c r="B67" t="s">
        <v>129</v>
      </c>
      <c r="C67" s="72">
        <v>3000</v>
      </c>
      <c r="D67" s="105">
        <v>1500</v>
      </c>
      <c r="E67">
        <v>1500</v>
      </c>
    </row>
    <row r="70" spans="1:5" x14ac:dyDescent="0.2">
      <c r="B70" t="s">
        <v>131</v>
      </c>
      <c r="C70">
        <f>+C67+C65</f>
        <v>1000</v>
      </c>
      <c r="D70">
        <f>+D67+D65</f>
        <v>-1500</v>
      </c>
      <c r="E70">
        <f>+E67+E65</f>
        <v>0</v>
      </c>
    </row>
    <row r="71" spans="1:5" x14ac:dyDescent="0.2">
      <c r="A71" t="s">
        <v>135</v>
      </c>
      <c r="B71" t="s">
        <v>111</v>
      </c>
      <c r="C71">
        <f>+C70+C66</f>
        <v>-5000</v>
      </c>
      <c r="D71">
        <f>+D70+D66</f>
        <v>-6000</v>
      </c>
      <c r="E71">
        <f>+E70+E66</f>
        <v>-5000</v>
      </c>
    </row>
    <row r="73" spans="1:5" x14ac:dyDescent="0.2">
      <c r="A73" t="s">
        <v>134</v>
      </c>
      <c r="B73" t="s">
        <v>132</v>
      </c>
      <c r="C73">
        <f>-C70</f>
        <v>-1000</v>
      </c>
      <c r="D73">
        <f t="shared" ref="D73:E73" si="0">-D70</f>
        <v>1500</v>
      </c>
      <c r="E73">
        <f t="shared" si="0"/>
        <v>0</v>
      </c>
    </row>
    <row r="75" spans="1:5" x14ac:dyDescent="0.2">
      <c r="A75" t="s">
        <v>136</v>
      </c>
      <c r="B75" t="s">
        <v>133</v>
      </c>
      <c r="C75">
        <f>+C71+C73</f>
        <v>-6000</v>
      </c>
      <c r="D75">
        <f t="shared" ref="D75:E75" si="1">+D71+D73</f>
        <v>-4500</v>
      </c>
      <c r="E75">
        <f t="shared" si="1"/>
        <v>-5000</v>
      </c>
    </row>
    <row r="81" spans="2:5" x14ac:dyDescent="0.2">
      <c r="C81" s="102">
        <v>2018</v>
      </c>
      <c r="D81" s="103">
        <v>2019</v>
      </c>
      <c r="E81" s="104">
        <v>2020</v>
      </c>
    </row>
    <row r="82" spans="2:5" x14ac:dyDescent="0.2">
      <c r="B82" t="s">
        <v>138</v>
      </c>
      <c r="C82">
        <v>3000</v>
      </c>
      <c r="D82">
        <v>1500</v>
      </c>
      <c r="E82">
        <v>1500</v>
      </c>
    </row>
    <row r="84" spans="2:5" x14ac:dyDescent="0.2">
      <c r="B84" t="s">
        <v>137</v>
      </c>
      <c r="D84">
        <v>1500</v>
      </c>
      <c r="E84">
        <v>0</v>
      </c>
    </row>
    <row r="85" spans="2:5" x14ac:dyDescent="0.2">
      <c r="B85" t="s">
        <v>111</v>
      </c>
      <c r="D85">
        <v>-6000</v>
      </c>
      <c r="E85">
        <v>-5000</v>
      </c>
    </row>
    <row r="87" spans="2:5" x14ac:dyDescent="0.2">
      <c r="B87" t="s">
        <v>133</v>
      </c>
      <c r="D87">
        <f>SUM(D84:D86)</f>
        <v>-4500</v>
      </c>
      <c r="E87">
        <f>SUM(E84:E86)</f>
        <v>-5000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62CF4-653A-2E48-B327-3EFEADBDACB3}">
  <dimension ref="B5:D28"/>
  <sheetViews>
    <sheetView topLeftCell="A2" zoomScale="114" workbookViewId="0">
      <selection activeCell="B26" sqref="B26"/>
    </sheetView>
  </sheetViews>
  <sheetFormatPr baseColWidth="10" defaultRowHeight="16" x14ac:dyDescent="0.2"/>
  <cols>
    <col min="2" max="2" width="21.5" customWidth="1"/>
    <col min="3" max="3" width="29.6640625" customWidth="1"/>
  </cols>
  <sheetData>
    <row r="5" spans="2:4" x14ac:dyDescent="0.2">
      <c r="B5" s="7" t="s">
        <v>159</v>
      </c>
    </row>
    <row r="6" spans="2:4" x14ac:dyDescent="0.2">
      <c r="C6" s="7">
        <v>2019</v>
      </c>
    </row>
    <row r="7" spans="2:4" x14ac:dyDescent="0.2">
      <c r="B7" t="s">
        <v>128</v>
      </c>
      <c r="C7" s="106">
        <v>23000</v>
      </c>
    </row>
    <row r="8" spans="2:4" x14ac:dyDescent="0.2">
      <c r="B8" t="s">
        <v>151</v>
      </c>
      <c r="C8" s="106">
        <v>18000</v>
      </c>
    </row>
    <row r="9" spans="2:4" x14ac:dyDescent="0.2">
      <c r="B9" t="s">
        <v>152</v>
      </c>
      <c r="C9">
        <v>9000</v>
      </c>
    </row>
    <row r="10" spans="2:4" x14ac:dyDescent="0.2">
      <c r="B10" t="s">
        <v>141</v>
      </c>
      <c r="C10">
        <v>2000</v>
      </c>
    </row>
    <row r="13" spans="2:4" x14ac:dyDescent="0.2">
      <c r="B13" t="s">
        <v>124</v>
      </c>
      <c r="C13" s="7">
        <v>2019</v>
      </c>
      <c r="D13" s="7">
        <v>2018</v>
      </c>
    </row>
    <row r="14" spans="2:4" x14ac:dyDescent="0.2">
      <c r="B14" t="s">
        <v>139</v>
      </c>
      <c r="C14">
        <v>4500</v>
      </c>
      <c r="D14">
        <v>7000</v>
      </c>
    </row>
    <row r="16" spans="2:4" x14ac:dyDescent="0.2">
      <c r="B16" t="s">
        <v>153</v>
      </c>
      <c r="C16">
        <v>3500</v>
      </c>
      <c r="D16">
        <v>4200</v>
      </c>
    </row>
    <row r="17" spans="2:4" x14ac:dyDescent="0.2">
      <c r="B17" t="s">
        <v>154</v>
      </c>
      <c r="C17">
        <v>5600</v>
      </c>
      <c r="D17">
        <v>6400</v>
      </c>
    </row>
    <row r="18" spans="2:4" x14ac:dyDescent="0.2">
      <c r="B18" t="s">
        <v>155</v>
      </c>
      <c r="C18">
        <v>-4700</v>
      </c>
      <c r="D18">
        <v>-5300</v>
      </c>
    </row>
    <row r="22" spans="2:4" x14ac:dyDescent="0.2">
      <c r="B22" s="7" t="s">
        <v>156</v>
      </c>
    </row>
    <row r="24" spans="2:4" x14ac:dyDescent="0.2">
      <c r="B24" t="s">
        <v>13</v>
      </c>
    </row>
    <row r="25" spans="2:4" x14ac:dyDescent="0.2">
      <c r="B25" t="s">
        <v>15</v>
      </c>
    </row>
    <row r="26" spans="2:4" x14ac:dyDescent="0.2">
      <c r="B26" t="s">
        <v>160</v>
      </c>
    </row>
    <row r="27" spans="2:4" x14ac:dyDescent="0.2">
      <c r="B27" t="s">
        <v>157</v>
      </c>
    </row>
    <row r="28" spans="2:4" x14ac:dyDescent="0.2">
      <c r="B28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5B1E8-2C4F-B945-BD42-9DD18346E13D}">
  <dimension ref="C6:K23"/>
  <sheetViews>
    <sheetView topLeftCell="A4" zoomScale="160" zoomScaleNormal="160" workbookViewId="0">
      <selection activeCell="J21" sqref="J21"/>
    </sheetView>
  </sheetViews>
  <sheetFormatPr baseColWidth="10" defaultColWidth="11" defaultRowHeight="16" x14ac:dyDescent="0.2"/>
  <cols>
    <col min="4" max="4" width="17.6640625" bestFit="1" customWidth="1"/>
    <col min="5" max="5" width="12" style="1" hidden="1" customWidth="1"/>
    <col min="6" max="6" width="15.33203125" hidden="1" customWidth="1"/>
    <col min="7" max="8" width="12" bestFit="1" customWidth="1"/>
  </cols>
  <sheetData>
    <row r="6" spans="3:10" ht="34" x14ac:dyDescent="0.2">
      <c r="E6" s="1" t="s">
        <v>16</v>
      </c>
      <c r="F6" s="14" t="s">
        <v>19</v>
      </c>
    </row>
    <row r="7" spans="3:10" x14ac:dyDescent="0.2">
      <c r="G7" t="s">
        <v>37</v>
      </c>
      <c r="H7" t="s">
        <v>38</v>
      </c>
    </row>
    <row r="8" spans="3:10" x14ac:dyDescent="0.2">
      <c r="D8" t="s">
        <v>2</v>
      </c>
      <c r="E8" s="1">
        <v>20000</v>
      </c>
      <c r="F8" s="12">
        <v>20000</v>
      </c>
      <c r="G8" s="1">
        <v>20000</v>
      </c>
      <c r="H8" s="12">
        <v>20000</v>
      </c>
    </row>
    <row r="9" spans="3:10" x14ac:dyDescent="0.2">
      <c r="D9" t="s">
        <v>10</v>
      </c>
      <c r="E9" s="1">
        <v>-8900</v>
      </c>
      <c r="F9" s="12">
        <v>-8900</v>
      </c>
      <c r="G9" s="1">
        <v>-8900</v>
      </c>
      <c r="H9" s="12">
        <v>-8900</v>
      </c>
    </row>
    <row r="10" spans="3:10" x14ac:dyDescent="0.2">
      <c r="D10" s="7" t="s">
        <v>12</v>
      </c>
      <c r="E10" s="11">
        <f>SUM(E8:E9)</f>
        <v>11100</v>
      </c>
      <c r="F10" s="13">
        <f>SUM(F8:F9)</f>
        <v>11100</v>
      </c>
      <c r="G10" s="11">
        <f>SUM(G8:G9)</f>
        <v>11100</v>
      </c>
      <c r="H10" s="13">
        <f>SUM(H8:H9)</f>
        <v>11100</v>
      </c>
    </row>
    <row r="11" spans="3:10" x14ac:dyDescent="0.2">
      <c r="F11" s="12"/>
      <c r="G11" s="1"/>
      <c r="H11" s="12"/>
    </row>
    <row r="12" spans="3:10" x14ac:dyDescent="0.2">
      <c r="D12" t="s">
        <v>11</v>
      </c>
      <c r="E12" s="1">
        <v>-5000</v>
      </c>
      <c r="F12" s="12">
        <v>-5000</v>
      </c>
      <c r="G12" s="1">
        <v>-5000</v>
      </c>
      <c r="H12" s="12">
        <v>-5000</v>
      </c>
    </row>
    <row r="13" spans="3:10" x14ac:dyDescent="0.2">
      <c r="F13" s="12"/>
      <c r="G13" s="1"/>
      <c r="H13" s="12"/>
    </row>
    <row r="14" spans="3:10" x14ac:dyDescent="0.2">
      <c r="C14" s="26"/>
      <c r="D14" s="27" t="s">
        <v>13</v>
      </c>
      <c r="E14" s="28">
        <v>6100</v>
      </c>
      <c r="F14" s="29">
        <f>SUM(F10:F13)</f>
        <v>6100</v>
      </c>
      <c r="G14" s="28">
        <v>6100</v>
      </c>
      <c r="H14" s="29">
        <f>SUM(H10:H13)</f>
        <v>6100</v>
      </c>
      <c r="I14" s="26"/>
      <c r="J14" s="26"/>
    </row>
    <row r="15" spans="3:10" x14ac:dyDescent="0.2">
      <c r="F15" s="12"/>
      <c r="G15" s="1"/>
      <c r="H15" s="12"/>
    </row>
    <row r="16" spans="3:10" x14ac:dyDescent="0.2">
      <c r="D16" t="s">
        <v>14</v>
      </c>
      <c r="E16" s="1">
        <v>-2000</v>
      </c>
      <c r="F16" s="12"/>
      <c r="G16" s="1">
        <v>-2000</v>
      </c>
      <c r="H16" s="12"/>
    </row>
    <row r="17" spans="3:11" x14ac:dyDescent="0.2">
      <c r="F17" s="12"/>
      <c r="G17" s="1"/>
      <c r="H17" s="12"/>
    </row>
    <row r="18" spans="3:11" x14ac:dyDescent="0.2">
      <c r="C18" s="23"/>
      <c r="D18" s="8" t="s">
        <v>15</v>
      </c>
      <c r="E18" s="24">
        <f>+E14+E16</f>
        <v>4100</v>
      </c>
      <c r="F18" s="25">
        <f>+F14+F16</f>
        <v>6100</v>
      </c>
      <c r="G18" s="24">
        <f>+G14+G16</f>
        <v>4100</v>
      </c>
      <c r="H18" s="25">
        <f>+H14+H16</f>
        <v>6100</v>
      </c>
      <c r="I18" s="23"/>
      <c r="J18" s="23"/>
      <c r="K18" s="23"/>
    </row>
    <row r="19" spans="3:11" x14ac:dyDescent="0.2">
      <c r="F19" s="12"/>
      <c r="G19" s="1"/>
      <c r="H19" s="12"/>
    </row>
    <row r="20" spans="3:11" x14ac:dyDescent="0.2">
      <c r="D20" t="s">
        <v>17</v>
      </c>
      <c r="E20" s="1">
        <v>-3000</v>
      </c>
      <c r="F20" s="12">
        <v>-3000</v>
      </c>
      <c r="G20" s="1">
        <v>-3000</v>
      </c>
      <c r="H20" s="12">
        <v>-3000</v>
      </c>
    </row>
    <row r="21" spans="3:11" x14ac:dyDescent="0.2">
      <c r="F21" s="12"/>
      <c r="G21" s="1"/>
      <c r="H21" s="12"/>
    </row>
    <row r="22" spans="3:11" x14ac:dyDescent="0.2">
      <c r="D22" s="7" t="s">
        <v>18</v>
      </c>
      <c r="E22" s="11">
        <f>+E18+E20</f>
        <v>1100</v>
      </c>
      <c r="F22" s="13">
        <f>+F18+F20</f>
        <v>3100</v>
      </c>
      <c r="G22" s="11">
        <f>+G18+G20</f>
        <v>1100</v>
      </c>
      <c r="H22" s="13">
        <f>+H18+H20</f>
        <v>3100</v>
      </c>
    </row>
    <row r="23" spans="3:11" x14ac:dyDescent="0.2">
      <c r="F23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98357-5F8E-4742-8588-D6970EE2DFBB}">
  <dimension ref="A3:O37"/>
  <sheetViews>
    <sheetView topLeftCell="A6" zoomScale="184" zoomScaleNormal="190" workbookViewId="0">
      <selection activeCell="C12" sqref="C12"/>
    </sheetView>
  </sheetViews>
  <sheetFormatPr baseColWidth="10" defaultColWidth="11" defaultRowHeight="16" x14ac:dyDescent="0.2"/>
  <cols>
    <col min="1" max="1" width="28.83203125" bestFit="1" customWidth="1"/>
    <col min="3" max="3" width="22.83203125" customWidth="1"/>
    <col min="4" max="4" width="14.5" bestFit="1" customWidth="1"/>
    <col min="5" max="5" width="16.6640625" customWidth="1"/>
    <col min="6" max="6" width="13.5" bestFit="1" customWidth="1"/>
    <col min="7" max="7" width="27.33203125" customWidth="1"/>
  </cols>
  <sheetData>
    <row r="3" spans="2:15" x14ac:dyDescent="0.2">
      <c r="C3" t="s">
        <v>20</v>
      </c>
      <c r="D3" s="1">
        <v>1000000</v>
      </c>
      <c r="E3" s="7" t="s">
        <v>25</v>
      </c>
    </row>
    <row r="4" spans="2:15" ht="51" x14ac:dyDescent="0.2">
      <c r="C4" t="s">
        <v>21</v>
      </c>
      <c r="F4" s="16" t="s">
        <v>22</v>
      </c>
      <c r="G4" s="17" t="s">
        <v>23</v>
      </c>
    </row>
    <row r="5" spans="2:15" x14ac:dyDescent="0.2">
      <c r="K5" s="18"/>
      <c r="L5" s="18" t="s">
        <v>27</v>
      </c>
      <c r="M5" s="18"/>
      <c r="N5" s="18"/>
    </row>
    <row r="6" spans="2:15" x14ac:dyDescent="0.2">
      <c r="C6" t="s">
        <v>24</v>
      </c>
      <c r="D6" s="2">
        <f>+D3/5</f>
        <v>200000</v>
      </c>
      <c r="E6" s="7" t="s">
        <v>26</v>
      </c>
      <c r="L6" s="19"/>
    </row>
    <row r="7" spans="2:15" x14ac:dyDescent="0.2">
      <c r="K7" t="s">
        <v>28</v>
      </c>
      <c r="L7" s="20">
        <v>3000</v>
      </c>
      <c r="M7">
        <v>-3000</v>
      </c>
      <c r="N7" t="s">
        <v>29</v>
      </c>
      <c r="O7" t="s">
        <v>30</v>
      </c>
    </row>
    <row r="8" spans="2:15" x14ac:dyDescent="0.2">
      <c r="L8" s="20"/>
    </row>
    <row r="9" spans="2:15" x14ac:dyDescent="0.2">
      <c r="C9" s="7" t="s">
        <v>33</v>
      </c>
      <c r="L9" s="20"/>
    </row>
    <row r="10" spans="2:15" x14ac:dyDescent="0.2">
      <c r="E10" s="7"/>
      <c r="K10" t="s">
        <v>28</v>
      </c>
      <c r="L10" s="20">
        <v>3000</v>
      </c>
      <c r="M10">
        <v>-3000</v>
      </c>
      <c r="N10" t="s">
        <v>32</v>
      </c>
      <c r="O10" t="s">
        <v>31</v>
      </c>
    </row>
    <row r="11" spans="2:15" ht="51" x14ac:dyDescent="0.2">
      <c r="B11" s="21" t="s">
        <v>34</v>
      </c>
      <c r="C11" s="22" t="s">
        <v>35</v>
      </c>
      <c r="D11" s="22" t="s">
        <v>36</v>
      </c>
      <c r="E11" s="15" t="s">
        <v>103</v>
      </c>
      <c r="F11" s="73" t="s">
        <v>102</v>
      </c>
      <c r="G11" s="15"/>
      <c r="L11" s="20"/>
    </row>
    <row r="12" spans="2:15" x14ac:dyDescent="0.2">
      <c r="B12" t="s">
        <v>161</v>
      </c>
      <c r="C12" s="2">
        <v>1000000</v>
      </c>
      <c r="D12" s="2">
        <v>-200000</v>
      </c>
      <c r="E12" s="4">
        <f>-D12</f>
        <v>200000</v>
      </c>
      <c r="F12" s="69">
        <f>+C12-E12</f>
        <v>800000</v>
      </c>
      <c r="L12" s="20"/>
    </row>
    <row r="13" spans="2:15" x14ac:dyDescent="0.2">
      <c r="B13" t="s">
        <v>162</v>
      </c>
      <c r="C13" s="2"/>
      <c r="D13" s="2">
        <v>-200000</v>
      </c>
      <c r="E13" s="4">
        <f>+E12-D13</f>
        <v>400000</v>
      </c>
      <c r="F13" s="69">
        <f>+$C$12-E13</f>
        <v>600000</v>
      </c>
      <c r="L13" s="20"/>
    </row>
    <row r="14" spans="2:15" x14ac:dyDescent="0.2">
      <c r="B14" s="23" t="s">
        <v>163</v>
      </c>
      <c r="C14" s="108"/>
      <c r="D14" s="108">
        <v>-200000</v>
      </c>
      <c r="E14" s="109">
        <f>+E13-D14</f>
        <v>600000</v>
      </c>
      <c r="F14" s="9">
        <f t="shared" ref="F14:F16" si="0">+$C$12-E14</f>
        <v>400000</v>
      </c>
      <c r="L14" s="20"/>
    </row>
    <row r="15" spans="2:15" x14ac:dyDescent="0.2">
      <c r="B15" s="23" t="s">
        <v>164</v>
      </c>
      <c r="C15" s="108"/>
      <c r="D15" s="108">
        <v>-200000</v>
      </c>
      <c r="E15" s="109">
        <f>+E14-D15</f>
        <v>800000</v>
      </c>
      <c r="F15" s="9">
        <f t="shared" si="0"/>
        <v>200000</v>
      </c>
      <c r="L15" s="20"/>
    </row>
    <row r="16" spans="2:15" x14ac:dyDescent="0.2">
      <c r="B16" t="s">
        <v>165</v>
      </c>
      <c r="C16" s="2"/>
      <c r="D16" s="2">
        <v>-200000</v>
      </c>
      <c r="E16" s="4">
        <f>+E15-D16</f>
        <v>1000000</v>
      </c>
      <c r="F16" s="69">
        <f t="shared" si="0"/>
        <v>0</v>
      </c>
    </row>
    <row r="17" spans="1:7" x14ac:dyDescent="0.2">
      <c r="E17" s="7"/>
    </row>
    <row r="22" spans="1:7" x14ac:dyDescent="0.2">
      <c r="E22">
        <v>2019</v>
      </c>
      <c r="F22">
        <v>2020</v>
      </c>
      <c r="G22" t="s">
        <v>167</v>
      </c>
    </row>
    <row r="23" spans="1:7" x14ac:dyDescent="0.2">
      <c r="B23" s="7">
        <v>2019</v>
      </c>
      <c r="D23" t="s">
        <v>166</v>
      </c>
      <c r="E23">
        <v>400</v>
      </c>
      <c r="F23">
        <v>200</v>
      </c>
      <c r="G23">
        <v>0</v>
      </c>
    </row>
    <row r="24" spans="1:7" x14ac:dyDescent="0.2">
      <c r="A24" t="s">
        <v>144</v>
      </c>
      <c r="B24">
        <v>3000</v>
      </c>
    </row>
    <row r="25" spans="1:7" x14ac:dyDescent="0.2">
      <c r="A25" t="s">
        <v>140</v>
      </c>
      <c r="B25">
        <v>70</v>
      </c>
    </row>
    <row r="27" spans="1:7" x14ac:dyDescent="0.2">
      <c r="A27" t="s">
        <v>145</v>
      </c>
    </row>
    <row r="28" spans="1:7" x14ac:dyDescent="0.2">
      <c r="A28" t="s">
        <v>142</v>
      </c>
      <c r="B28">
        <v>900</v>
      </c>
    </row>
    <row r="29" spans="1:7" x14ac:dyDescent="0.2">
      <c r="A29" t="s">
        <v>143</v>
      </c>
      <c r="B29">
        <v>45</v>
      </c>
    </row>
    <row r="32" spans="1:7" x14ac:dyDescent="0.2">
      <c r="A32" t="s">
        <v>146</v>
      </c>
      <c r="B32">
        <v>3000</v>
      </c>
    </row>
    <row r="33" spans="1:2" x14ac:dyDescent="0.2">
      <c r="A33" t="s">
        <v>147</v>
      </c>
      <c r="B33">
        <v>900</v>
      </c>
    </row>
    <row r="34" spans="1:2" x14ac:dyDescent="0.2">
      <c r="A34" t="s">
        <v>148</v>
      </c>
      <c r="B34">
        <f>-(+B25+B29)</f>
        <v>-115</v>
      </c>
    </row>
    <row r="35" spans="1:2" x14ac:dyDescent="0.2">
      <c r="A35" t="s">
        <v>149</v>
      </c>
      <c r="B35">
        <f>+B32+B33+B34</f>
        <v>3785</v>
      </c>
    </row>
    <row r="37" spans="1:2" x14ac:dyDescent="0.2">
      <c r="A37" t="s">
        <v>150</v>
      </c>
      <c r="B37">
        <f>-(B35-B32)+B34</f>
        <v>-900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F2EE6-9693-DA43-B517-2CB2F332F673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E876E-B7A0-8E4A-8781-C17FB33B07A5}">
  <dimension ref="B1:J38"/>
  <sheetViews>
    <sheetView topLeftCell="B9" zoomScale="132" zoomScaleNormal="150" workbookViewId="0">
      <selection activeCell="J38" sqref="J38"/>
    </sheetView>
  </sheetViews>
  <sheetFormatPr baseColWidth="10" defaultRowHeight="16" x14ac:dyDescent="0.2"/>
  <cols>
    <col min="3" max="3" width="33" bestFit="1" customWidth="1"/>
    <col min="4" max="4" width="12" style="112" bestFit="1" customWidth="1"/>
    <col min="5" max="5" width="10.83203125" style="2"/>
    <col min="6" max="6" width="13.6640625" style="2" bestFit="1" customWidth="1"/>
    <col min="7" max="10" width="10.83203125" style="2"/>
  </cols>
  <sheetData>
    <row r="1" spans="3:8" x14ac:dyDescent="0.2">
      <c r="D1" s="111" t="s">
        <v>175</v>
      </c>
      <c r="E1" s="69" t="s">
        <v>177</v>
      </c>
      <c r="F1" s="108" t="s">
        <v>187</v>
      </c>
      <c r="G1" s="69" t="s">
        <v>192</v>
      </c>
      <c r="H1" s="69" t="s">
        <v>193</v>
      </c>
    </row>
    <row r="2" spans="3:8" x14ac:dyDescent="0.2">
      <c r="C2" s="7" t="s">
        <v>159</v>
      </c>
    </row>
    <row r="3" spans="3:8" x14ac:dyDescent="0.2">
      <c r="C3" t="s">
        <v>2</v>
      </c>
      <c r="D3" s="112">
        <v>10000</v>
      </c>
      <c r="E3" s="2">
        <v>11000</v>
      </c>
      <c r="F3" s="2">
        <v>7100</v>
      </c>
      <c r="G3" s="2">
        <v>16000</v>
      </c>
      <c r="H3" s="2">
        <v>13000</v>
      </c>
    </row>
    <row r="4" spans="3:8" x14ac:dyDescent="0.2">
      <c r="C4" t="s">
        <v>172</v>
      </c>
      <c r="D4" s="112">
        <v>-3500</v>
      </c>
      <c r="E4" s="2">
        <v>-5000</v>
      </c>
      <c r="F4" s="2">
        <v>-5000</v>
      </c>
      <c r="G4" s="2">
        <v>-7000</v>
      </c>
      <c r="H4" s="2">
        <v>-7600</v>
      </c>
    </row>
    <row r="5" spans="3:8" x14ac:dyDescent="0.2">
      <c r="C5" t="s">
        <v>173</v>
      </c>
      <c r="D5" s="112">
        <v>-3500</v>
      </c>
      <c r="E5" s="2">
        <v>-3500</v>
      </c>
      <c r="F5" s="2">
        <v>-4000</v>
      </c>
      <c r="G5" s="2">
        <v>-4500</v>
      </c>
      <c r="H5" s="2">
        <v>-4000</v>
      </c>
    </row>
    <row r="6" spans="3:8" x14ac:dyDescent="0.2">
      <c r="C6" s="7" t="s">
        <v>174</v>
      </c>
      <c r="D6" s="111">
        <f>SUM(D3:D5)</f>
        <v>3000</v>
      </c>
      <c r="E6" s="111">
        <f>SUM(E3:E5)</f>
        <v>2500</v>
      </c>
      <c r="F6" s="111">
        <f>SUM(F3:F5)</f>
        <v>-1900</v>
      </c>
      <c r="G6" s="111">
        <f>SUM(G3:G5)</f>
        <v>4500</v>
      </c>
      <c r="H6" s="111">
        <f>SUM(H3:H5)</f>
        <v>1400</v>
      </c>
    </row>
    <row r="9" spans="3:8" x14ac:dyDescent="0.2">
      <c r="D9" s="111" t="s">
        <v>175</v>
      </c>
      <c r="E9" s="2" t="s">
        <v>177</v>
      </c>
      <c r="F9" s="69" t="s">
        <v>188</v>
      </c>
      <c r="G9" s="69" t="s">
        <v>192</v>
      </c>
      <c r="H9" s="69" t="s">
        <v>193</v>
      </c>
    </row>
    <row r="10" spans="3:8" x14ac:dyDescent="0.2">
      <c r="C10" s="7" t="s">
        <v>124</v>
      </c>
    </row>
    <row r="11" spans="3:8" x14ac:dyDescent="0.2">
      <c r="C11" t="s">
        <v>168</v>
      </c>
      <c r="D11" s="112">
        <v>4000</v>
      </c>
      <c r="E11" s="2">
        <v>4000</v>
      </c>
      <c r="F11" s="2">
        <v>3500</v>
      </c>
      <c r="G11" s="2">
        <v>3000</v>
      </c>
      <c r="H11" s="2">
        <v>2500</v>
      </c>
    </row>
    <row r="12" spans="3:8" x14ac:dyDescent="0.2">
      <c r="C12" t="s">
        <v>169</v>
      </c>
      <c r="D12" s="112">
        <v>4700</v>
      </c>
      <c r="E12" s="2">
        <v>5200</v>
      </c>
      <c r="F12" s="2">
        <v>5000</v>
      </c>
      <c r="G12" s="2">
        <v>5000</v>
      </c>
      <c r="H12" s="2">
        <v>4300</v>
      </c>
    </row>
    <row r="13" spans="3:8" x14ac:dyDescent="0.2">
      <c r="C13" s="7" t="s">
        <v>170</v>
      </c>
      <c r="D13" s="111">
        <f>SUM(D11:D12)</f>
        <v>8700</v>
      </c>
      <c r="E13" s="111">
        <f>SUM(E11:E12)</f>
        <v>9200</v>
      </c>
      <c r="F13" s="111">
        <f>SUM(F11:F12)</f>
        <v>8500</v>
      </c>
      <c r="G13" s="111">
        <f>SUM(G11:G12)</f>
        <v>8000</v>
      </c>
      <c r="H13" s="111">
        <f>SUM(H11:H12)</f>
        <v>6800</v>
      </c>
    </row>
    <row r="15" spans="3:8" x14ac:dyDescent="0.2">
      <c r="C15" s="113" t="s">
        <v>178</v>
      </c>
      <c r="D15" s="114">
        <v>10</v>
      </c>
      <c r="E15" s="115"/>
      <c r="F15" s="115"/>
      <c r="G15" s="115"/>
    </row>
    <row r="16" spans="3:8" x14ac:dyDescent="0.2">
      <c r="C16" s="113" t="s">
        <v>179</v>
      </c>
      <c r="D16" s="114">
        <f>D6</f>
        <v>3000</v>
      </c>
      <c r="E16" s="115">
        <f>E6</f>
        <v>2500</v>
      </c>
      <c r="F16" s="115">
        <f>F6</f>
        <v>-1900</v>
      </c>
      <c r="G16" s="2">
        <f>G6</f>
        <v>4500</v>
      </c>
      <c r="H16" s="2">
        <f>H6</f>
        <v>1400</v>
      </c>
    </row>
    <row r="17" spans="3:8" x14ac:dyDescent="0.2">
      <c r="C17" s="7" t="s">
        <v>171</v>
      </c>
      <c r="D17" s="111">
        <f>10+D6</f>
        <v>3010</v>
      </c>
      <c r="E17" s="69">
        <f>+D17+E16</f>
        <v>5510</v>
      </c>
      <c r="F17" s="69">
        <f>+E17+F16</f>
        <v>3610</v>
      </c>
      <c r="G17" s="69">
        <f>+F17+G16</f>
        <v>8110</v>
      </c>
      <c r="H17" s="69">
        <v>11000</v>
      </c>
    </row>
    <row r="18" spans="3:8" hidden="1" x14ac:dyDescent="0.2">
      <c r="C18" s="117" t="s">
        <v>181</v>
      </c>
      <c r="D18" s="118"/>
      <c r="E18" s="119">
        <v>-1500</v>
      </c>
      <c r="F18" s="121"/>
    </row>
    <row r="19" spans="3:8" hidden="1" x14ac:dyDescent="0.2">
      <c r="C19" s="117" t="s">
        <v>182</v>
      </c>
      <c r="D19" s="118"/>
      <c r="E19" s="119"/>
      <c r="F19" s="121">
        <v>200</v>
      </c>
    </row>
    <row r="20" spans="3:8" hidden="1" x14ac:dyDescent="0.2">
      <c r="C20" s="117" t="s">
        <v>183</v>
      </c>
      <c r="D20" s="120">
        <f>+D13-D17</f>
        <v>5690</v>
      </c>
      <c r="E20" s="121">
        <v>5190</v>
      </c>
      <c r="F20" s="121">
        <f>+E20-500</f>
        <v>4690</v>
      </c>
    </row>
    <row r="21" spans="3:8" x14ac:dyDescent="0.2">
      <c r="C21" s="8" t="s">
        <v>189</v>
      </c>
      <c r="D21" s="116">
        <f>SUM(D18:D20)</f>
        <v>5690</v>
      </c>
      <c r="E21" s="116">
        <f t="shared" ref="E21:F21" si="0">SUM(E18:E20)</f>
        <v>3690</v>
      </c>
      <c r="F21" s="116">
        <f t="shared" si="0"/>
        <v>4890</v>
      </c>
      <c r="G21" s="9">
        <v>-110</v>
      </c>
      <c r="H21" s="9">
        <f>H13-H17</f>
        <v>-4200</v>
      </c>
    </row>
    <row r="22" spans="3:8" x14ac:dyDescent="0.2">
      <c r="C22" s="7" t="s">
        <v>176</v>
      </c>
      <c r="D22" s="111">
        <f>+D17+D21</f>
        <v>8700</v>
      </c>
      <c r="E22" s="111">
        <f t="shared" ref="E22:G22" si="1">+E17+E21</f>
        <v>9200</v>
      </c>
      <c r="F22" s="111">
        <f t="shared" si="1"/>
        <v>8500</v>
      </c>
      <c r="G22" s="111">
        <f>+G17+G21</f>
        <v>8000</v>
      </c>
      <c r="H22" s="111">
        <f>+H17+H21</f>
        <v>6800</v>
      </c>
    </row>
    <row r="24" spans="3:8" x14ac:dyDescent="0.2">
      <c r="C24" s="7" t="s">
        <v>180</v>
      </c>
      <c r="D24" s="111"/>
      <c r="E24" s="69"/>
      <c r="F24" s="69"/>
      <c r="G24" s="69"/>
      <c r="H24" s="69"/>
    </row>
    <row r="27" spans="3:8" x14ac:dyDescent="0.2">
      <c r="C27" t="s">
        <v>184</v>
      </c>
      <c r="D27" s="112">
        <f>+D20</f>
        <v>5690</v>
      </c>
      <c r="E27" s="2">
        <f>+E20+E18</f>
        <v>3690</v>
      </c>
      <c r="F27" s="69">
        <v>4890</v>
      </c>
      <c r="G27" s="2">
        <f>G21</f>
        <v>-110</v>
      </c>
      <c r="H27" s="2">
        <v>-4200</v>
      </c>
    </row>
    <row r="28" spans="3:8" x14ac:dyDescent="0.2">
      <c r="C28" s="7" t="s">
        <v>190</v>
      </c>
      <c r="D28" s="111"/>
      <c r="E28" s="69">
        <f>+D27-E27</f>
        <v>2000</v>
      </c>
      <c r="F28" s="69">
        <f>+E27-F27</f>
        <v>-1200</v>
      </c>
      <c r="G28" s="69">
        <f>+F27-G27</f>
        <v>5000</v>
      </c>
      <c r="H28" s="69">
        <f>+G27-H27</f>
        <v>4090</v>
      </c>
    </row>
    <row r="30" spans="3:8" x14ac:dyDescent="0.2">
      <c r="C30" t="s">
        <v>185</v>
      </c>
      <c r="D30" s="112">
        <v>2500</v>
      </c>
      <c r="H30" s="2">
        <f>H6</f>
        <v>1400</v>
      </c>
    </row>
    <row r="31" spans="3:8" x14ac:dyDescent="0.2">
      <c r="C31" s="7" t="s">
        <v>186</v>
      </c>
      <c r="D31" s="111">
        <v>500</v>
      </c>
      <c r="H31" s="2">
        <v>500</v>
      </c>
    </row>
    <row r="32" spans="3:8" x14ac:dyDescent="0.2">
      <c r="C32" s="7" t="s">
        <v>194</v>
      </c>
      <c r="D32" s="111"/>
      <c r="E32" s="69"/>
      <c r="F32" s="69"/>
      <c r="G32" s="69"/>
      <c r="H32" s="69">
        <f>SUM(H30:H31)</f>
        <v>1900</v>
      </c>
    </row>
    <row r="33" spans="2:10" ht="9" customHeight="1" x14ac:dyDescent="0.2"/>
    <row r="34" spans="2:10" x14ac:dyDescent="0.2">
      <c r="C34" t="s">
        <v>195</v>
      </c>
      <c r="H34" s="2">
        <f>-(H11-G11)-D31</f>
        <v>0</v>
      </c>
    </row>
    <row r="35" spans="2:10" x14ac:dyDescent="0.2">
      <c r="C35" t="s">
        <v>191</v>
      </c>
      <c r="H35" s="110">
        <f>-(H12-G12)</f>
        <v>700</v>
      </c>
    </row>
    <row r="36" spans="2:10" x14ac:dyDescent="0.2">
      <c r="C36" s="122" t="s">
        <v>196</v>
      </c>
      <c r="D36" s="123"/>
      <c r="E36" s="124"/>
      <c r="F36" s="124"/>
      <c r="G36" s="124"/>
      <c r="H36" s="125">
        <f>+H17-G17-H16</f>
        <v>1490</v>
      </c>
      <c r="I36" s="124"/>
      <c r="J36" s="124"/>
    </row>
    <row r="37" spans="2:10" x14ac:dyDescent="0.2">
      <c r="B37" s="7"/>
      <c r="C37" s="7" t="s">
        <v>198</v>
      </c>
      <c r="H37" s="69">
        <f>SUM(H35:H36)</f>
        <v>2190</v>
      </c>
    </row>
    <row r="38" spans="2:10" x14ac:dyDescent="0.2">
      <c r="C38" s="7" t="s">
        <v>197</v>
      </c>
      <c r="D38" s="111"/>
      <c r="E38" s="69"/>
      <c r="F38" s="69"/>
      <c r="G38" s="69"/>
      <c r="H38" s="69">
        <f>+H32+H37</f>
        <v>4090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C1FCB-1240-124A-A089-420DE53771C1}">
  <dimension ref="B7:H37"/>
  <sheetViews>
    <sheetView tabSelected="1" topLeftCell="A4" zoomScale="125" zoomScaleNormal="180" workbookViewId="0">
      <selection activeCell="B38" sqref="B38"/>
    </sheetView>
  </sheetViews>
  <sheetFormatPr baseColWidth="10" defaultRowHeight="16" x14ac:dyDescent="0.2"/>
  <cols>
    <col min="2" max="2" width="16.33203125" bestFit="1" customWidth="1"/>
    <col min="3" max="5" width="12" bestFit="1" customWidth="1"/>
  </cols>
  <sheetData>
    <row r="7" spans="2:8" x14ac:dyDescent="0.2">
      <c r="B7" s="7"/>
      <c r="C7" s="7">
        <v>2018</v>
      </c>
      <c r="D7" s="7">
        <v>2019</v>
      </c>
      <c r="E7" s="7">
        <v>2020</v>
      </c>
      <c r="F7" s="7"/>
      <c r="G7" s="7"/>
      <c r="H7" s="7"/>
    </row>
    <row r="8" spans="2:8" x14ac:dyDescent="0.2">
      <c r="B8" t="s">
        <v>2</v>
      </c>
      <c r="C8" s="2">
        <v>20000</v>
      </c>
      <c r="D8" s="2">
        <v>21000</v>
      </c>
      <c r="E8" s="2">
        <v>13000</v>
      </c>
      <c r="F8" s="2"/>
    </row>
    <row r="9" spans="2:8" x14ac:dyDescent="0.2">
      <c r="B9" t="s">
        <v>199</v>
      </c>
      <c r="C9" s="2">
        <v>9600</v>
      </c>
      <c r="D9" s="2">
        <v>10080</v>
      </c>
      <c r="E9" s="2"/>
      <c r="F9" s="2"/>
    </row>
    <row r="10" spans="2:8" x14ac:dyDescent="0.2">
      <c r="B10" t="s">
        <v>200</v>
      </c>
      <c r="C10" s="2">
        <v>1400</v>
      </c>
      <c r="D10" s="2">
        <v>1500</v>
      </c>
      <c r="E10" s="2"/>
      <c r="F10" s="2"/>
    </row>
    <row r="11" spans="2:8" x14ac:dyDescent="0.2">
      <c r="B11" t="s">
        <v>75</v>
      </c>
      <c r="C11" s="2">
        <v>2000</v>
      </c>
      <c r="D11" s="2">
        <v>2200</v>
      </c>
      <c r="E11" s="2"/>
      <c r="F11" s="2"/>
    </row>
    <row r="12" spans="2:8" x14ac:dyDescent="0.2">
      <c r="B12" t="s">
        <v>201</v>
      </c>
      <c r="C12" s="2">
        <v>500</v>
      </c>
      <c r="D12" s="2">
        <v>520</v>
      </c>
      <c r="E12" s="2"/>
      <c r="F12" s="2"/>
    </row>
    <row r="13" spans="2:8" x14ac:dyDescent="0.2">
      <c r="B13" t="s">
        <v>76</v>
      </c>
      <c r="C13" s="2">
        <v>700</v>
      </c>
      <c r="D13" s="2">
        <v>700</v>
      </c>
      <c r="E13" s="2"/>
      <c r="F13" s="2"/>
    </row>
    <row r="14" spans="2:8" x14ac:dyDescent="0.2">
      <c r="B14" t="s">
        <v>78</v>
      </c>
      <c r="C14" s="2">
        <v>1000</v>
      </c>
      <c r="D14" s="2">
        <v>1050</v>
      </c>
      <c r="E14" s="2"/>
      <c r="F14" s="2"/>
    </row>
    <row r="15" spans="2:8" x14ac:dyDescent="0.2">
      <c r="B15" t="s">
        <v>202</v>
      </c>
      <c r="C15" s="2">
        <v>3500</v>
      </c>
      <c r="D15" s="2">
        <v>3700</v>
      </c>
      <c r="E15" s="2"/>
      <c r="F15" s="2"/>
    </row>
    <row r="16" spans="2:8" x14ac:dyDescent="0.2">
      <c r="B16" t="s">
        <v>203</v>
      </c>
      <c r="C16" s="2">
        <v>300</v>
      </c>
      <c r="D16" s="2">
        <v>370</v>
      </c>
      <c r="E16" s="2"/>
      <c r="F16" s="2"/>
    </row>
    <row r="17" spans="2:6" x14ac:dyDescent="0.2">
      <c r="C17" s="2"/>
      <c r="D17" s="2"/>
      <c r="E17" s="2"/>
      <c r="F17" s="2"/>
    </row>
    <row r="18" spans="2:6" x14ac:dyDescent="0.2">
      <c r="C18" s="2"/>
      <c r="D18" s="2"/>
      <c r="E18" s="2"/>
      <c r="F18" s="2"/>
    </row>
    <row r="19" spans="2:6" x14ac:dyDescent="0.2">
      <c r="B19" t="s">
        <v>166</v>
      </c>
      <c r="C19" s="2">
        <v>4000</v>
      </c>
      <c r="D19" s="2">
        <v>4200</v>
      </c>
      <c r="E19" s="2"/>
      <c r="F19" s="2"/>
    </row>
    <row r="20" spans="2:6" ht="8" customHeight="1" x14ac:dyDescent="0.2">
      <c r="C20" s="2"/>
      <c r="D20" s="2"/>
      <c r="E20" s="2"/>
      <c r="F20" s="2"/>
    </row>
    <row r="21" spans="2:6" x14ac:dyDescent="0.2">
      <c r="B21" t="s">
        <v>204</v>
      </c>
      <c r="C21" s="2">
        <v>2300</v>
      </c>
      <c r="D21" s="2">
        <v>2700</v>
      </c>
      <c r="E21" s="2"/>
      <c r="F21" s="2"/>
    </row>
    <row r="22" spans="2:6" x14ac:dyDescent="0.2">
      <c r="B22" t="s">
        <v>154</v>
      </c>
      <c r="C22" s="2">
        <v>3800</v>
      </c>
      <c r="D22" s="2">
        <v>3900</v>
      </c>
      <c r="E22" s="2"/>
      <c r="F22" s="2"/>
    </row>
    <row r="23" spans="2:6" x14ac:dyDescent="0.2">
      <c r="B23" t="s">
        <v>155</v>
      </c>
      <c r="C23" s="2">
        <v>-4000</v>
      </c>
      <c r="D23" s="2">
        <v>-3700</v>
      </c>
      <c r="E23" s="2"/>
      <c r="F23" s="2"/>
    </row>
    <row r="24" spans="2:6" x14ac:dyDescent="0.2">
      <c r="B24" t="s">
        <v>205</v>
      </c>
      <c r="C24" s="2"/>
      <c r="D24" s="2"/>
      <c r="E24" s="2"/>
      <c r="F24" s="2"/>
    </row>
    <row r="25" spans="2:6" x14ac:dyDescent="0.2">
      <c r="B25" s="7" t="s">
        <v>206</v>
      </c>
      <c r="C25" s="69"/>
      <c r="D25" s="69"/>
      <c r="E25" s="69"/>
      <c r="F25" s="2"/>
    </row>
    <row r="26" spans="2:6" x14ac:dyDescent="0.2">
      <c r="C26" s="2"/>
      <c r="D26" s="2"/>
      <c r="E26" s="2"/>
      <c r="F26" s="2"/>
    </row>
    <row r="27" spans="2:6" x14ac:dyDescent="0.2">
      <c r="B27" t="s">
        <v>207</v>
      </c>
      <c r="C27" s="2">
        <v>2600</v>
      </c>
      <c r="D27" s="2"/>
      <c r="E27" s="2"/>
      <c r="F27" s="2"/>
    </row>
    <row r="28" spans="2:6" x14ac:dyDescent="0.2">
      <c r="B28" t="s">
        <v>208</v>
      </c>
    </row>
    <row r="29" spans="2:6" x14ac:dyDescent="0.2">
      <c r="B29" s="7" t="s">
        <v>209</v>
      </c>
      <c r="C29" s="7"/>
      <c r="D29" s="7"/>
      <c r="E29" s="7"/>
      <c r="F29" s="7"/>
    </row>
    <row r="33" spans="2:2" x14ac:dyDescent="0.2">
      <c r="B33" t="s">
        <v>210</v>
      </c>
    </row>
    <row r="34" spans="2:2" x14ac:dyDescent="0.2">
      <c r="B34" t="s">
        <v>15</v>
      </c>
    </row>
    <row r="35" spans="2:2" x14ac:dyDescent="0.2">
      <c r="B35" t="s">
        <v>13</v>
      </c>
    </row>
    <row r="36" spans="2:2" x14ac:dyDescent="0.2">
      <c r="B36" t="s">
        <v>211</v>
      </c>
    </row>
    <row r="37" spans="2:2" x14ac:dyDescent="0.2">
      <c r="B37" t="s"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6EA34-B28F-2142-B99D-ACC81DF9F350}">
  <dimension ref="B2:I16"/>
  <sheetViews>
    <sheetView zoomScaleNormal="180" workbookViewId="0">
      <selection activeCell="C4" sqref="C4:G15"/>
    </sheetView>
  </sheetViews>
  <sheetFormatPr baseColWidth="10" defaultColWidth="11" defaultRowHeight="16" x14ac:dyDescent="0.2"/>
  <cols>
    <col min="2" max="2" width="10.1640625" bestFit="1" customWidth="1"/>
    <col min="3" max="3" width="28.33203125" customWidth="1"/>
    <col min="4" max="4" width="9.83203125" customWidth="1"/>
    <col min="5" max="5" width="4.6640625" hidden="1" customWidth="1"/>
    <col min="6" max="6" width="9.83203125" customWidth="1"/>
    <col min="7" max="7" width="6.5" customWidth="1"/>
  </cols>
  <sheetData>
    <row r="2" spans="2:9" x14ac:dyDescent="0.2">
      <c r="C2" t="s">
        <v>42</v>
      </c>
    </row>
    <row r="3" spans="2:9" x14ac:dyDescent="0.2">
      <c r="C3" t="s">
        <v>41</v>
      </c>
      <c r="D3">
        <v>3300</v>
      </c>
    </row>
    <row r="4" spans="2:9" x14ac:dyDescent="0.2">
      <c r="C4" s="26"/>
      <c r="D4" s="59">
        <v>2019</v>
      </c>
      <c r="E4" s="59"/>
      <c r="F4" s="59">
        <v>2020</v>
      </c>
      <c r="G4" s="59" t="s">
        <v>89</v>
      </c>
    </row>
    <row r="5" spans="2:9" x14ac:dyDescent="0.2">
      <c r="C5" t="s">
        <v>81</v>
      </c>
      <c r="D5">
        <v>1300</v>
      </c>
      <c r="F5">
        <v>2000</v>
      </c>
      <c r="G5" s="48">
        <f>(F5-D5)/D5</f>
        <v>0.53846153846153844</v>
      </c>
      <c r="I5" s="3"/>
    </row>
    <row r="6" spans="2:9" x14ac:dyDescent="0.2">
      <c r="B6" s="26"/>
      <c r="C6" s="27" t="s">
        <v>82</v>
      </c>
      <c r="D6" s="30">
        <v>1200</v>
      </c>
      <c r="E6" s="26"/>
      <c r="F6" s="30">
        <f>+D6/D5*F5</f>
        <v>1846.1538461538462</v>
      </c>
      <c r="G6" s="50">
        <f>(F6-D6)/D6</f>
        <v>0.53846153846153844</v>
      </c>
    </row>
    <row r="7" spans="2:9" x14ac:dyDescent="0.2">
      <c r="B7" t="s">
        <v>43</v>
      </c>
      <c r="C7" s="51" t="s">
        <v>83</v>
      </c>
      <c r="D7" s="52">
        <f>+D6*-E7</f>
        <v>-456</v>
      </c>
      <c r="E7" s="53">
        <v>0.38</v>
      </c>
      <c r="F7" s="52">
        <f>+F6*-E7</f>
        <v>-701.53846153846155</v>
      </c>
      <c r="G7" s="54"/>
    </row>
    <row r="8" spans="2:9" x14ac:dyDescent="0.2">
      <c r="B8" t="s">
        <v>43</v>
      </c>
      <c r="C8" s="55" t="s">
        <v>84</v>
      </c>
      <c r="D8" s="56">
        <f>+D6*-E8</f>
        <v>-36</v>
      </c>
      <c r="E8" s="57">
        <v>0.03</v>
      </c>
      <c r="F8" s="56">
        <f>F6*-E8</f>
        <v>-55.384615384615387</v>
      </c>
      <c r="G8" s="58"/>
    </row>
    <row r="9" spans="2:9" hidden="1" x14ac:dyDescent="0.2">
      <c r="B9" s="26"/>
      <c r="C9" s="49" t="s">
        <v>60</v>
      </c>
      <c r="D9" s="30">
        <f>SUM(D6:D8)</f>
        <v>708</v>
      </c>
      <c r="E9" s="46"/>
      <c r="F9" s="30">
        <f>SUM(F6:F8)</f>
        <v>1089.2307692307693</v>
      </c>
      <c r="G9" s="47"/>
    </row>
    <row r="10" spans="2:9" x14ac:dyDescent="0.2">
      <c r="B10" t="s">
        <v>44</v>
      </c>
      <c r="C10" s="60" t="s">
        <v>86</v>
      </c>
      <c r="D10" s="61">
        <v>-10</v>
      </c>
      <c r="E10" s="62"/>
      <c r="F10" s="61">
        <v>-20</v>
      </c>
      <c r="G10" s="63"/>
    </row>
    <row r="11" spans="2:9" x14ac:dyDescent="0.2">
      <c r="B11" s="26"/>
      <c r="C11" s="64" t="s">
        <v>85</v>
      </c>
      <c r="D11" s="65">
        <f>SUM(D9:D10)</f>
        <v>698</v>
      </c>
      <c r="E11" s="62"/>
      <c r="F11" s="65">
        <f>SUM(F9:F10)</f>
        <v>1069.2307692307693</v>
      </c>
      <c r="G11" s="66">
        <f>(F11-D11)/D11</f>
        <v>0.53184923958562935</v>
      </c>
      <c r="H11" s="4"/>
      <c r="I11" s="3"/>
    </row>
    <row r="12" spans="2:9" x14ac:dyDescent="0.2">
      <c r="B12" t="s">
        <v>45</v>
      </c>
      <c r="C12" s="33" t="s">
        <v>87</v>
      </c>
      <c r="D12" s="2">
        <v>-150</v>
      </c>
      <c r="F12" s="2">
        <v>-150</v>
      </c>
      <c r="G12" s="47"/>
    </row>
    <row r="13" spans="2:9" x14ac:dyDescent="0.2">
      <c r="B13" s="26"/>
      <c r="C13" s="27" t="s">
        <v>39</v>
      </c>
      <c r="D13" s="30">
        <f>SUM(D11:D12)</f>
        <v>548</v>
      </c>
      <c r="F13" s="30">
        <f>SUM(F11:F12)</f>
        <v>919.23076923076928</v>
      </c>
      <c r="G13" s="50">
        <f>(F13-D13)/D13</f>
        <v>0.67742841100505347</v>
      </c>
      <c r="H13" s="4"/>
      <c r="I13" s="3"/>
    </row>
    <row r="14" spans="2:9" x14ac:dyDescent="0.2">
      <c r="B14" t="s">
        <v>45</v>
      </c>
      <c r="C14" s="33" t="s">
        <v>88</v>
      </c>
      <c r="D14" s="2">
        <v>-35</v>
      </c>
      <c r="F14" s="2">
        <v>-35</v>
      </c>
      <c r="G14" s="47"/>
    </row>
    <row r="15" spans="2:9" x14ac:dyDescent="0.2">
      <c r="B15" s="26"/>
      <c r="C15" s="27" t="s">
        <v>40</v>
      </c>
      <c r="D15" s="30">
        <f>SUM(D13:D14)</f>
        <v>513</v>
      </c>
      <c r="F15" s="30">
        <f>SUM(F13:F14)</f>
        <v>884.23076923076928</v>
      </c>
      <c r="G15" s="50">
        <f>(F15-D15)/D15</f>
        <v>0.72364672364672378</v>
      </c>
      <c r="H15" s="4"/>
      <c r="I15" s="3"/>
    </row>
    <row r="16" spans="2:9" x14ac:dyDescent="0.2">
      <c r="C16" s="33" t="s">
        <v>46</v>
      </c>
      <c r="D16" s="1">
        <f>D9/D15</f>
        <v>1.3801169590643274</v>
      </c>
      <c r="F16" s="1">
        <f>F9/F15</f>
        <v>1.2318399304045238</v>
      </c>
    </row>
  </sheetData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F9C64-DACB-5243-A98D-E9F635279EB1}">
  <dimension ref="D8:H13"/>
  <sheetViews>
    <sheetView topLeftCell="B3" zoomScale="150" workbookViewId="0">
      <selection activeCell="C19" sqref="C19"/>
    </sheetView>
  </sheetViews>
  <sheetFormatPr baseColWidth="10" defaultColWidth="11" defaultRowHeight="16" x14ac:dyDescent="0.2"/>
  <cols>
    <col min="4" max="4" width="19.6640625" bestFit="1" customWidth="1"/>
  </cols>
  <sheetData>
    <row r="8" spans="4:8" x14ac:dyDescent="0.2">
      <c r="F8" t="s">
        <v>48</v>
      </c>
      <c r="G8" t="s">
        <v>49</v>
      </c>
      <c r="H8" t="s">
        <v>6</v>
      </c>
    </row>
    <row r="9" spans="4:8" x14ac:dyDescent="0.2">
      <c r="D9" t="s">
        <v>47</v>
      </c>
      <c r="F9">
        <v>700</v>
      </c>
      <c r="G9">
        <v>300</v>
      </c>
      <c r="H9">
        <v>1000</v>
      </c>
    </row>
    <row r="10" spans="4:8" x14ac:dyDescent="0.2">
      <c r="D10" t="s">
        <v>50</v>
      </c>
      <c r="F10">
        <v>350</v>
      </c>
      <c r="G10">
        <v>150</v>
      </c>
      <c r="H10">
        <v>500</v>
      </c>
    </row>
    <row r="11" spans="4:8" x14ac:dyDescent="0.2">
      <c r="D11" t="s">
        <v>51</v>
      </c>
      <c r="F11">
        <v>350</v>
      </c>
      <c r="G11">
        <v>150</v>
      </c>
      <c r="H11">
        <v>500</v>
      </c>
    </row>
    <row r="12" spans="4:8" x14ac:dyDescent="0.2">
      <c r="D12" t="s">
        <v>53</v>
      </c>
      <c r="G12">
        <v>20</v>
      </c>
      <c r="H12">
        <v>20</v>
      </c>
    </row>
    <row r="13" spans="4:8" x14ac:dyDescent="0.2">
      <c r="D13" t="s">
        <v>52</v>
      </c>
      <c r="H13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65658-7DAE-A64C-AB6C-FF08F262A679}">
  <dimension ref="B4:R34"/>
  <sheetViews>
    <sheetView topLeftCell="C11" zoomScale="157" zoomScaleNormal="150" workbookViewId="0">
      <selection activeCell="O34" sqref="O34"/>
    </sheetView>
  </sheetViews>
  <sheetFormatPr baseColWidth="10" defaultColWidth="11" defaultRowHeight="16" x14ac:dyDescent="0.2"/>
  <cols>
    <col min="3" max="3" width="27" customWidth="1"/>
    <col min="4" max="4" width="17.5" customWidth="1"/>
    <col min="5" max="5" width="13.83203125" style="3" customWidth="1"/>
    <col min="7" max="7" width="15.1640625" bestFit="1" customWidth="1"/>
    <col min="11" max="11" width="14.5" customWidth="1"/>
    <col min="12" max="12" width="16.33203125" customWidth="1"/>
    <col min="13" max="13" width="6.6640625" customWidth="1"/>
    <col min="14" max="14" width="5.5" customWidth="1"/>
    <col min="15" max="15" width="14.5" customWidth="1"/>
    <col min="16" max="16" width="12.1640625" customWidth="1"/>
    <col min="17" max="17" width="13.1640625" customWidth="1"/>
  </cols>
  <sheetData>
    <row r="4" spans="2:18" x14ac:dyDescent="0.2">
      <c r="C4" t="s">
        <v>54</v>
      </c>
    </row>
    <row r="6" spans="2:18" x14ac:dyDescent="0.2">
      <c r="C6" s="107" t="s">
        <v>80</v>
      </c>
      <c r="D6" s="107"/>
      <c r="E6" s="107"/>
      <c r="G6" s="107" t="s">
        <v>79</v>
      </c>
      <c r="H6" s="107"/>
      <c r="I6" s="107"/>
      <c r="K6" s="15">
        <v>2020</v>
      </c>
      <c r="L6" s="15"/>
      <c r="O6" s="15">
        <v>2020</v>
      </c>
      <c r="P6" s="15"/>
    </row>
    <row r="7" spans="2:18" s="7" customFormat="1" x14ac:dyDescent="0.2">
      <c r="B7" s="7" t="s">
        <v>55</v>
      </c>
      <c r="D7" s="37">
        <v>2019</v>
      </c>
      <c r="E7" s="38" t="s">
        <v>5</v>
      </c>
      <c r="G7" s="39">
        <v>2020</v>
      </c>
      <c r="H7" s="39" t="s">
        <v>5</v>
      </c>
      <c r="I7" s="39" t="s">
        <v>59</v>
      </c>
      <c r="K7" s="7" t="s">
        <v>91</v>
      </c>
      <c r="L7" s="7" t="s">
        <v>92</v>
      </c>
      <c r="O7" s="7" t="s">
        <v>91</v>
      </c>
      <c r="P7" s="7" t="s">
        <v>92</v>
      </c>
      <c r="Q7" s="7" t="s">
        <v>94</v>
      </c>
    </row>
    <row r="8" spans="2:18" x14ac:dyDescent="0.2">
      <c r="C8" s="27" t="s">
        <v>62</v>
      </c>
      <c r="D8" s="45">
        <v>2500000</v>
      </c>
      <c r="E8" s="43">
        <f>D8/D$8</f>
        <v>1</v>
      </c>
      <c r="F8" s="27"/>
      <c r="G8" s="45">
        <v>3500000</v>
      </c>
      <c r="H8" s="43">
        <f>G8/G$8</f>
        <v>1</v>
      </c>
      <c r="I8" s="44">
        <f t="shared" ref="I8:I30" si="0">(G8/D8)-1</f>
        <v>0.39999999999999991</v>
      </c>
      <c r="K8" s="5">
        <v>0.78</v>
      </c>
      <c r="L8" s="5">
        <v>0.22</v>
      </c>
      <c r="O8" s="4">
        <f>G8*K8</f>
        <v>2730000</v>
      </c>
      <c r="P8" s="4">
        <f>G8*L8</f>
        <v>770000</v>
      </c>
      <c r="Q8" s="4">
        <f>SUM(O8:P8)</f>
        <v>3500000</v>
      </c>
    </row>
    <row r="9" spans="2:18" x14ac:dyDescent="0.2">
      <c r="B9" t="s">
        <v>43</v>
      </c>
      <c r="C9" s="33" t="s">
        <v>63</v>
      </c>
      <c r="D9" s="2">
        <v>-1450000</v>
      </c>
      <c r="E9" s="31">
        <f t="shared" ref="E9:E30" si="1">D9/D$8</f>
        <v>-0.57999999999999996</v>
      </c>
      <c r="G9" s="2">
        <f>G$8*E9</f>
        <v>-2029999.9999999998</v>
      </c>
      <c r="H9" s="31">
        <f t="shared" ref="H9:H30" si="2">G9/G$8</f>
        <v>-0.57999999999999996</v>
      </c>
      <c r="I9" s="40">
        <f t="shared" si="0"/>
        <v>0.39999999999999991</v>
      </c>
      <c r="K9" s="31"/>
    </row>
    <row r="10" spans="2:18" x14ac:dyDescent="0.2">
      <c r="B10" t="s">
        <v>43</v>
      </c>
      <c r="C10" s="33" t="s">
        <v>64</v>
      </c>
      <c r="D10" s="2">
        <v>-140000</v>
      </c>
      <c r="E10" s="31">
        <f t="shared" si="1"/>
        <v>-5.6000000000000001E-2</v>
      </c>
      <c r="G10" s="2">
        <f t="shared" ref="G10:G11" si="3">G$8*E10</f>
        <v>-196000</v>
      </c>
      <c r="H10" s="31">
        <f t="shared" si="2"/>
        <v>-5.6000000000000001E-2</v>
      </c>
      <c r="I10" s="40">
        <f t="shared" si="0"/>
        <v>0.39999999999999991</v>
      </c>
      <c r="K10" s="31"/>
    </row>
    <row r="11" spans="2:18" x14ac:dyDescent="0.2">
      <c r="B11" t="s">
        <v>43</v>
      </c>
      <c r="C11" s="33" t="s">
        <v>65</v>
      </c>
      <c r="D11" s="2">
        <v>-35000</v>
      </c>
      <c r="E11" s="31">
        <f t="shared" si="1"/>
        <v>-1.4E-2</v>
      </c>
      <c r="G11" s="2">
        <f t="shared" si="3"/>
        <v>-49000</v>
      </c>
      <c r="H11" s="31">
        <f t="shared" si="2"/>
        <v>-1.4E-2</v>
      </c>
      <c r="I11" s="40">
        <f t="shared" si="0"/>
        <v>0.39999999999999991</v>
      </c>
      <c r="K11" s="31"/>
    </row>
    <row r="12" spans="2:18" s="7" customFormat="1" x14ac:dyDescent="0.2">
      <c r="C12" s="27" t="s">
        <v>60</v>
      </c>
      <c r="D12" s="45">
        <f>SUM(D8:D11)</f>
        <v>875000</v>
      </c>
      <c r="E12" s="43">
        <f t="shared" si="1"/>
        <v>0.35</v>
      </c>
      <c r="F12" s="27"/>
      <c r="G12" s="45">
        <f>SUM(G8:G11)</f>
        <v>1225000.0000000002</v>
      </c>
      <c r="H12" s="43">
        <f t="shared" si="2"/>
        <v>0.35000000000000009</v>
      </c>
      <c r="I12" s="44">
        <f t="shared" si="0"/>
        <v>0.40000000000000036</v>
      </c>
      <c r="K12" s="32">
        <v>0.32</v>
      </c>
      <c r="L12" s="32">
        <v>0.45500000000000002</v>
      </c>
      <c r="M12" s="36"/>
      <c r="O12" s="69">
        <f>O8*K12</f>
        <v>873600</v>
      </c>
      <c r="P12" s="69">
        <f>+P8*L12</f>
        <v>350350</v>
      </c>
      <c r="Q12" s="70">
        <f>SUM(O12:P12)</f>
        <v>1223950</v>
      </c>
      <c r="R12" s="71">
        <f>+Q12/Q8</f>
        <v>0.34970000000000001</v>
      </c>
    </row>
    <row r="13" spans="2:18" x14ac:dyDescent="0.2">
      <c r="B13" t="s">
        <v>45</v>
      </c>
      <c r="C13" s="33" t="s">
        <v>66</v>
      </c>
      <c r="D13" s="2">
        <v>-80000</v>
      </c>
      <c r="E13" s="31">
        <f t="shared" si="1"/>
        <v>-3.2000000000000001E-2</v>
      </c>
      <c r="G13" s="2">
        <v>-80000</v>
      </c>
      <c r="H13" s="31">
        <f t="shared" si="2"/>
        <v>-2.2857142857142857E-2</v>
      </c>
      <c r="I13" s="40">
        <f t="shared" si="0"/>
        <v>0</v>
      </c>
      <c r="K13" s="31"/>
    </row>
    <row r="14" spans="2:18" x14ac:dyDescent="0.2">
      <c r="B14" t="s">
        <v>45</v>
      </c>
      <c r="C14" s="33" t="s">
        <v>67</v>
      </c>
      <c r="D14" s="2">
        <v>-45000</v>
      </c>
      <c r="E14" s="31">
        <f t="shared" si="1"/>
        <v>-1.7999999999999999E-2</v>
      </c>
      <c r="G14" s="34">
        <f>D14+D14*6%</f>
        <v>-47700</v>
      </c>
      <c r="H14" s="31">
        <f t="shared" si="2"/>
        <v>-1.3628571428571429E-2</v>
      </c>
      <c r="I14" s="41">
        <f t="shared" si="0"/>
        <v>6.0000000000000053E-2</v>
      </c>
      <c r="J14" s="35"/>
      <c r="K14" s="31"/>
    </row>
    <row r="15" spans="2:18" x14ac:dyDescent="0.2">
      <c r="B15" t="s">
        <v>45</v>
      </c>
      <c r="C15" s="33" t="s">
        <v>68</v>
      </c>
      <c r="D15" s="2">
        <v>-50000</v>
      </c>
      <c r="E15" s="31">
        <f t="shared" si="1"/>
        <v>-0.02</v>
      </c>
      <c r="G15" s="2">
        <v>-50000</v>
      </c>
      <c r="H15" s="31">
        <f t="shared" si="2"/>
        <v>-1.4285714285714285E-2</v>
      </c>
      <c r="I15" s="40">
        <f t="shared" si="0"/>
        <v>0</v>
      </c>
      <c r="K15" s="31"/>
    </row>
    <row r="16" spans="2:18" x14ac:dyDescent="0.2">
      <c r="B16" t="s">
        <v>45</v>
      </c>
      <c r="C16" s="33" t="s">
        <v>69</v>
      </c>
      <c r="D16" s="2">
        <v>-15000</v>
      </c>
      <c r="E16" s="31">
        <f t="shared" si="1"/>
        <v>-6.0000000000000001E-3</v>
      </c>
      <c r="G16" s="34">
        <f>D16+D16*3%</f>
        <v>-15450</v>
      </c>
      <c r="H16" s="31">
        <f t="shared" si="2"/>
        <v>-4.4142857142857143E-3</v>
      </c>
      <c r="I16" s="41">
        <f t="shared" si="0"/>
        <v>3.0000000000000027E-2</v>
      </c>
      <c r="J16" s="35"/>
      <c r="K16" s="31"/>
    </row>
    <row r="17" spans="2:15" x14ac:dyDescent="0.2">
      <c r="B17" t="s">
        <v>45</v>
      </c>
      <c r="C17" s="33" t="s">
        <v>70</v>
      </c>
      <c r="D17" s="2">
        <v>-4000</v>
      </c>
      <c r="E17" s="31">
        <f t="shared" si="1"/>
        <v>-1.6000000000000001E-3</v>
      </c>
      <c r="G17" s="2">
        <v>-4000</v>
      </c>
      <c r="H17" s="31">
        <f t="shared" si="2"/>
        <v>-1.1428571428571429E-3</v>
      </c>
      <c r="I17" s="40">
        <f t="shared" si="0"/>
        <v>0</v>
      </c>
      <c r="K17" s="32" t="s">
        <v>93</v>
      </c>
    </row>
    <row r="18" spans="2:15" x14ac:dyDescent="0.2">
      <c r="B18" t="s">
        <v>45</v>
      </c>
      <c r="C18" s="33" t="s">
        <v>71</v>
      </c>
      <c r="D18" s="2">
        <v>-15000</v>
      </c>
      <c r="E18" s="31">
        <f t="shared" si="1"/>
        <v>-6.0000000000000001E-3</v>
      </c>
      <c r="G18" s="2">
        <v>-15000</v>
      </c>
      <c r="H18" s="31">
        <f t="shared" si="2"/>
        <v>-4.2857142857142859E-3</v>
      </c>
      <c r="I18" s="40">
        <f t="shared" si="0"/>
        <v>0</v>
      </c>
      <c r="K18" s="31"/>
    </row>
    <row r="19" spans="2:15" x14ac:dyDescent="0.2">
      <c r="B19" t="s">
        <v>45</v>
      </c>
      <c r="C19" s="33" t="s">
        <v>72</v>
      </c>
      <c r="D19" s="2">
        <v>-30000</v>
      </c>
      <c r="E19" s="31">
        <f t="shared" si="1"/>
        <v>-1.2E-2</v>
      </c>
      <c r="G19" s="2">
        <v>-30000</v>
      </c>
      <c r="H19" s="31">
        <f t="shared" si="2"/>
        <v>-8.5714285714285719E-3</v>
      </c>
      <c r="I19" s="40">
        <f t="shared" si="0"/>
        <v>0</v>
      </c>
      <c r="K19" s="31"/>
    </row>
    <row r="20" spans="2:15" x14ac:dyDescent="0.2">
      <c r="B20" t="s">
        <v>45</v>
      </c>
      <c r="C20" s="33" t="s">
        <v>73</v>
      </c>
      <c r="D20" s="2">
        <v>-14000</v>
      </c>
      <c r="E20" s="31">
        <f t="shared" si="1"/>
        <v>-5.5999999999999999E-3</v>
      </c>
      <c r="G20" s="2">
        <v>-14000</v>
      </c>
      <c r="H20" s="31">
        <f t="shared" si="2"/>
        <v>-4.0000000000000001E-3</v>
      </c>
      <c r="I20" s="40">
        <f t="shared" si="0"/>
        <v>0</v>
      </c>
      <c r="K20" s="31"/>
    </row>
    <row r="21" spans="2:15" s="7" customFormat="1" x14ac:dyDescent="0.2">
      <c r="C21" s="27" t="s">
        <v>58</v>
      </c>
      <c r="D21" s="45">
        <f>SUM(D12:D20)</f>
        <v>622000</v>
      </c>
      <c r="E21" s="43">
        <f t="shared" si="1"/>
        <v>0.24879999999999999</v>
      </c>
      <c r="F21" s="27"/>
      <c r="G21" s="45">
        <f>SUM(G12:G20)</f>
        <v>968850.00000000023</v>
      </c>
      <c r="H21" s="43">
        <f t="shared" si="2"/>
        <v>0.27681428571428579</v>
      </c>
      <c r="I21" s="44">
        <f t="shared" si="0"/>
        <v>0.55763665594855349</v>
      </c>
      <c r="K21" s="32" t="s">
        <v>96</v>
      </c>
      <c r="L21" s="70">
        <f>+G13+G14+G15+G16+G17+G18+G19+G20+G22+G23+G25+G27+G29</f>
        <v>-1422750</v>
      </c>
    </row>
    <row r="22" spans="2:15" x14ac:dyDescent="0.2">
      <c r="B22" t="s">
        <v>45</v>
      </c>
      <c r="C22" s="33" t="s">
        <v>74</v>
      </c>
      <c r="D22" s="2">
        <v>-30000</v>
      </c>
      <c r="E22" s="31">
        <f>D22/D$8</f>
        <v>-1.2E-2</v>
      </c>
      <c r="G22" s="2">
        <v>-30000</v>
      </c>
      <c r="H22" s="31">
        <f>G22/G$8</f>
        <v>-8.5714285714285719E-3</v>
      </c>
      <c r="I22" s="40">
        <f>(G22/D22)-1</f>
        <v>0</v>
      </c>
      <c r="K22" s="31"/>
    </row>
    <row r="23" spans="2:15" x14ac:dyDescent="0.2">
      <c r="B23" t="s">
        <v>45</v>
      </c>
      <c r="C23" s="33" t="s">
        <v>75</v>
      </c>
      <c r="D23" s="2">
        <v>-3000</v>
      </c>
      <c r="E23" s="31">
        <f t="shared" si="1"/>
        <v>-1.1999999999999999E-3</v>
      </c>
      <c r="G23" s="67">
        <v>-800000</v>
      </c>
      <c r="H23" s="31">
        <f t="shared" si="2"/>
        <v>-0.22857142857142856</v>
      </c>
      <c r="I23" s="41">
        <f>(G23/D23)-1</f>
        <v>265.66666666666669</v>
      </c>
      <c r="J23" s="35"/>
      <c r="K23" s="32" t="s">
        <v>95</v>
      </c>
      <c r="L23" s="69">
        <f>-L21/R12</f>
        <v>4068487.2748069772</v>
      </c>
    </row>
    <row r="24" spans="2:15" s="7" customFormat="1" x14ac:dyDescent="0.2">
      <c r="C24" s="27" t="s">
        <v>57</v>
      </c>
      <c r="D24" s="45">
        <f>SUM(D21:D23)</f>
        <v>589000</v>
      </c>
      <c r="E24" s="43">
        <f t="shared" si="1"/>
        <v>0.2356</v>
      </c>
      <c r="F24" s="27"/>
      <c r="G24" s="45">
        <f>SUM(G21:G23)</f>
        <v>138850.00000000023</v>
      </c>
      <c r="H24" s="43">
        <f t="shared" si="2"/>
        <v>3.9671428571428635E-2</v>
      </c>
      <c r="I24" s="44">
        <f t="shared" si="0"/>
        <v>-0.76426146010186713</v>
      </c>
      <c r="K24" s="32"/>
    </row>
    <row r="25" spans="2:15" x14ac:dyDescent="0.2">
      <c r="B25" t="s">
        <v>45</v>
      </c>
      <c r="C25" s="33" t="s">
        <v>76</v>
      </c>
      <c r="D25" s="2">
        <v>-300000</v>
      </c>
      <c r="E25" s="31">
        <f t="shared" si="1"/>
        <v>-0.12</v>
      </c>
      <c r="G25" s="34">
        <f>D25+D25*10%</f>
        <v>-330000</v>
      </c>
      <c r="H25" s="31">
        <f t="shared" si="2"/>
        <v>-9.4285714285714292E-2</v>
      </c>
      <c r="I25" s="41">
        <f t="shared" si="0"/>
        <v>0.10000000000000009</v>
      </c>
      <c r="J25" s="35"/>
      <c r="K25" s="32" t="s">
        <v>97</v>
      </c>
      <c r="L25" s="69">
        <f>+L23*K8</f>
        <v>3173420.0743494425</v>
      </c>
    </row>
    <row r="26" spans="2:15" s="7" customFormat="1" x14ac:dyDescent="0.2">
      <c r="C26" s="27" t="s">
        <v>90</v>
      </c>
      <c r="D26" s="45">
        <f>SUM(D24:D25)</f>
        <v>289000</v>
      </c>
      <c r="E26" s="43">
        <f t="shared" si="1"/>
        <v>0.11559999999999999</v>
      </c>
      <c r="F26" s="27"/>
      <c r="G26" s="45">
        <f>SUM(G24:G25)</f>
        <v>-191149.99999999977</v>
      </c>
      <c r="H26" s="43">
        <f t="shared" si="2"/>
        <v>-5.461428571428565E-2</v>
      </c>
      <c r="I26" s="44">
        <f t="shared" si="0"/>
        <v>-1.6614186851211064</v>
      </c>
      <c r="K26" s="32" t="s">
        <v>98</v>
      </c>
      <c r="L26" s="70">
        <f>L23*L8</f>
        <v>895067.20045753499</v>
      </c>
    </row>
    <row r="27" spans="2:15" x14ac:dyDescent="0.2">
      <c r="B27" t="s">
        <v>45</v>
      </c>
      <c r="C27" s="33" t="s">
        <v>77</v>
      </c>
      <c r="D27" s="2">
        <v>-4000</v>
      </c>
      <c r="E27" s="31">
        <f t="shared" si="1"/>
        <v>-1.6000000000000001E-3</v>
      </c>
      <c r="G27" s="2">
        <v>-4000</v>
      </c>
      <c r="H27" s="31">
        <f t="shared" si="2"/>
        <v>-1.1428571428571429E-3</v>
      </c>
      <c r="I27" s="40">
        <f t="shared" si="0"/>
        <v>0</v>
      </c>
      <c r="K27" s="31"/>
      <c r="L27" s="70">
        <f>SUM(L25:L26)</f>
        <v>4068487.2748069772</v>
      </c>
    </row>
    <row r="28" spans="2:15" s="7" customFormat="1" x14ac:dyDescent="0.2">
      <c r="C28" s="27" t="s">
        <v>56</v>
      </c>
      <c r="D28" s="45">
        <f>SUM(D26:D27)</f>
        <v>285000</v>
      </c>
      <c r="E28" s="43">
        <f t="shared" si="1"/>
        <v>0.114</v>
      </c>
      <c r="F28" s="27"/>
      <c r="G28" s="45">
        <f>SUM(G26:G27)</f>
        <v>-195149.99999999977</v>
      </c>
      <c r="H28" s="43">
        <f t="shared" si="2"/>
        <v>-5.575714285714279E-2</v>
      </c>
      <c r="I28" s="44">
        <f t="shared" si="0"/>
        <v>-1.6847368421052624</v>
      </c>
      <c r="K28" s="32"/>
    </row>
    <row r="29" spans="2:15" x14ac:dyDescent="0.2">
      <c r="B29" t="s">
        <v>45</v>
      </c>
      <c r="C29" s="33" t="s">
        <v>78</v>
      </c>
      <c r="D29" s="2">
        <v>-2600</v>
      </c>
      <c r="E29" s="31">
        <f t="shared" si="1"/>
        <v>-1.0399999999999999E-3</v>
      </c>
      <c r="G29" s="2">
        <v>-2600</v>
      </c>
      <c r="H29" s="31">
        <f t="shared" si="2"/>
        <v>-7.4285714285714287E-4</v>
      </c>
      <c r="I29" s="40">
        <f t="shared" si="0"/>
        <v>0</v>
      </c>
      <c r="K29" s="31"/>
    </row>
    <row r="30" spans="2:15" s="7" customFormat="1" x14ac:dyDescent="0.2">
      <c r="C30" s="27" t="s">
        <v>61</v>
      </c>
      <c r="D30" s="42">
        <f>SUM(D28:D29)</f>
        <v>282400</v>
      </c>
      <c r="E30" s="43">
        <f t="shared" si="1"/>
        <v>0.11296</v>
      </c>
      <c r="F30" s="27"/>
      <c r="G30" s="68">
        <f>SUM(G28:G29)</f>
        <v>-197749.99999999977</v>
      </c>
      <c r="H30" s="43">
        <f t="shared" si="2"/>
        <v>-5.6499999999999932E-2</v>
      </c>
      <c r="I30" s="44">
        <f t="shared" si="0"/>
        <v>-1.7002478753541068</v>
      </c>
      <c r="K30" s="32"/>
    </row>
    <row r="31" spans="2:15" x14ac:dyDescent="0.2">
      <c r="K31" s="36" t="s">
        <v>99</v>
      </c>
      <c r="O31" s="2">
        <f>G30-G25</f>
        <v>132250.00000000023</v>
      </c>
    </row>
    <row r="32" spans="2:15" x14ac:dyDescent="0.2">
      <c r="K32" s="72" t="s">
        <v>100</v>
      </c>
    </row>
    <row r="34" spans="11:15" x14ac:dyDescent="0.2">
      <c r="K34" t="s">
        <v>101</v>
      </c>
      <c r="O34" s="2">
        <v>330000</v>
      </c>
    </row>
  </sheetData>
  <mergeCells count="2">
    <mergeCell ref="C6:E6"/>
    <mergeCell ref="G6:I6"/>
  </mergeCells>
  <pageMargins left="0.7" right="0.7" top="0.75" bottom="0.75" header="0.3" footer="0.3"/>
  <pageSetup paperSize="9" orientation="portrait" verticalDpi="0" r:id="rId1"/>
  <ignoredErrors>
    <ignoredError sqref="G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BEP MIX PRODOTTO</vt:lpstr>
      <vt:lpstr>conto econOmico</vt:lpstr>
      <vt:lpstr>piano ammortamenti</vt:lpstr>
      <vt:lpstr>Foglio2</vt:lpstr>
      <vt:lpstr>bplan e cash flow</vt:lpstr>
      <vt:lpstr>esercizio 7.5</vt:lpstr>
      <vt:lpstr>VALORE AGGIUNTO</vt:lpstr>
      <vt:lpstr>ce pe canale</vt:lpstr>
      <vt:lpstr>budget </vt:lpstr>
      <vt:lpstr>RIMANZE DI MAGAZZINO</vt:lpstr>
      <vt:lpstr>ESERCIZIO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cp:lastPrinted>2020-04-27T00:07:15Z</cp:lastPrinted>
  <dcterms:created xsi:type="dcterms:W3CDTF">2020-04-23T13:18:05Z</dcterms:created>
  <dcterms:modified xsi:type="dcterms:W3CDTF">2020-05-07T15:41:06Z</dcterms:modified>
</cp:coreProperties>
</file>