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Library/Mobile Documents/com~apple~CloudDocs/iCloud Drive (Archivio)/Documents/Dati_condivisi/Hidra Corsi_Convegni_Libri/UNIV_TRIESTE_Ingegneria_Economia per Ingegneria/2020_ECONOMIA APPLICATA ALL'INGEGNERIA_CORSO/"/>
    </mc:Choice>
  </mc:AlternateContent>
  <xr:revisionPtr revIDLastSave="0" documentId="13_ncr:1_{1CFAD51E-73B0-0B41-A5F8-EB94EAAC446D}" xr6:coauthVersionLast="36" xr6:coauthVersionMax="45" xr10:uidLastSave="{00000000-0000-0000-0000-000000000000}"/>
  <bookViews>
    <workbookView xWindow="400" yWindow="620" windowWidth="33200" windowHeight="17520" activeTab="5" xr2:uid="{8C2486DF-D71C-D142-A7A3-3687A6643616}"/>
  </bookViews>
  <sheets>
    <sheet name="Conto economico" sheetId="1" r:id="rId1"/>
    <sheet name="Cash flow es anni vecchi" sheetId="7" r:id="rId2"/>
    <sheet name="Piano ammortamenti" sheetId="2" r:id="rId3"/>
    <sheet name="Flusso di cassa totale" sheetId="3" r:id="rId4"/>
    <sheet name="Bplan e cash flow 1405" sheetId="6" r:id="rId5"/>
    <sheet name="esercizio 1405" sheetId="8" r:id="rId6"/>
    <sheet name="Rimanenze in magazzino" sheetId="4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8" l="1"/>
  <c r="F34" i="8" s="1"/>
  <c r="D31" i="8"/>
  <c r="D32" i="8" s="1"/>
  <c r="D36" i="8" s="1"/>
  <c r="D35" i="8" s="1"/>
  <c r="B31" i="8"/>
  <c r="B32" i="8" s="1"/>
  <c r="B36" i="8" s="1"/>
  <c r="B35" i="8" s="1"/>
  <c r="F30" i="8"/>
  <c r="F29" i="8"/>
  <c r="F28" i="8"/>
  <c r="E20" i="8"/>
  <c r="C20" i="8"/>
  <c r="E18" i="8"/>
  <c r="C18" i="8"/>
  <c r="D17" i="8"/>
  <c r="D19" i="8" s="1"/>
  <c r="E16" i="8"/>
  <c r="C16" i="8"/>
  <c r="D15" i="8"/>
  <c r="E15" i="8" s="1"/>
  <c r="E14" i="8"/>
  <c r="C14" i="8"/>
  <c r="E13" i="8"/>
  <c r="D13" i="8"/>
  <c r="B13" i="8"/>
  <c r="B15" i="8" s="1"/>
  <c r="E12" i="8"/>
  <c r="F12" i="8" s="1"/>
  <c r="C12" i="8"/>
  <c r="E11" i="8"/>
  <c r="F11" i="8" s="1"/>
  <c r="C11" i="8"/>
  <c r="E10" i="8"/>
  <c r="F10" i="8" s="1"/>
  <c r="C10" i="8"/>
  <c r="F9" i="8"/>
  <c r="E9" i="8"/>
  <c r="C9" i="8"/>
  <c r="F31" i="8" l="1"/>
  <c r="D21" i="8"/>
  <c r="E21" i="8" s="1"/>
  <c r="E19" i="8"/>
  <c r="B17" i="8"/>
  <c r="C15" i="8"/>
  <c r="F13" i="8"/>
  <c r="C13" i="8"/>
  <c r="E17" i="8"/>
  <c r="E68" i="6"/>
  <c r="E70" i="6"/>
  <c r="E71" i="6" s="1"/>
  <c r="K72" i="6" s="1"/>
  <c r="M71" i="6"/>
  <c r="N71" i="6"/>
  <c r="I56" i="6"/>
  <c r="I54" i="6"/>
  <c r="I52" i="6"/>
  <c r="I50" i="6"/>
  <c r="I48" i="6"/>
  <c r="I47" i="6"/>
  <c r="I46" i="6"/>
  <c r="I45" i="6"/>
  <c r="I44" i="6"/>
  <c r="K69" i="6"/>
  <c r="D70" i="6"/>
  <c r="N70" i="6"/>
  <c r="D68" i="6"/>
  <c r="N68" i="6"/>
  <c r="D69" i="6"/>
  <c r="N69" i="6"/>
  <c r="F15" i="8" l="1"/>
  <c r="F17" i="8" s="1"/>
  <c r="F19" i="8" s="1"/>
  <c r="F21" i="8" s="1"/>
  <c r="F26" i="8"/>
  <c r="F32" i="8"/>
  <c r="F36" i="8" s="1"/>
  <c r="F35" i="8" s="1"/>
  <c r="C17" i="8"/>
  <c r="B19" i="8"/>
  <c r="B32" i="6"/>
  <c r="C32" i="6"/>
  <c r="D32" i="6"/>
  <c r="E32" i="6"/>
  <c r="F32" i="6"/>
  <c r="C19" i="8" l="1"/>
  <c r="B21" i="8"/>
  <c r="C21" i="8" s="1"/>
  <c r="D76" i="7"/>
  <c r="C76" i="7"/>
  <c r="D72" i="7"/>
  <c r="C72" i="7"/>
  <c r="E70" i="7"/>
  <c r="E69" i="7"/>
  <c r="E68" i="7"/>
  <c r="E66" i="7"/>
  <c r="D60" i="7" l="1"/>
  <c r="D57" i="7"/>
  <c r="E54" i="7"/>
  <c r="E51" i="7"/>
  <c r="D51" i="7"/>
  <c r="E52" i="7"/>
  <c r="D52" i="7"/>
  <c r="E50" i="7"/>
  <c r="D48" i="7"/>
  <c r="D47" i="7"/>
  <c r="F42" i="7"/>
  <c r="F41" i="7"/>
  <c r="F40" i="7"/>
  <c r="E44" i="7"/>
  <c r="D44" i="7"/>
  <c r="D34" i="7"/>
  <c r="G9" i="7"/>
  <c r="G7" i="7"/>
  <c r="G6" i="7"/>
  <c r="D30" i="7"/>
  <c r="D27" i="7"/>
  <c r="D23" i="7"/>
  <c r="D19" i="7"/>
  <c r="D13" i="7"/>
  <c r="D12" i="7"/>
  <c r="D14" i="7" l="1"/>
  <c r="G55" i="6"/>
  <c r="G53" i="6"/>
  <c r="G52" i="6"/>
  <c r="G51" i="6"/>
  <c r="G50" i="6"/>
  <c r="G49" i="6"/>
  <c r="E56" i="6"/>
  <c r="E55" i="6"/>
  <c r="E54" i="6"/>
  <c r="E53" i="6"/>
  <c r="E52" i="6"/>
  <c r="E51" i="6"/>
  <c r="E50" i="6"/>
  <c r="E49" i="6"/>
  <c r="C56" i="6"/>
  <c r="C55" i="6"/>
  <c r="C54" i="6"/>
  <c r="C53" i="6"/>
  <c r="C52" i="6"/>
  <c r="C51" i="6"/>
  <c r="C50" i="6"/>
  <c r="C49" i="6"/>
  <c r="C81" i="6"/>
  <c r="D81" i="6"/>
  <c r="B85" i="6"/>
  <c r="B83" i="6"/>
  <c r="F70" i="6"/>
  <c r="F69" i="6"/>
  <c r="F68" i="6"/>
  <c r="D80" i="6"/>
  <c r="C80" i="6"/>
  <c r="C78" i="6"/>
  <c r="D71" i="6"/>
  <c r="D72" i="6" s="1"/>
  <c r="D76" i="6" s="1"/>
  <c r="D75" i="6" s="1"/>
  <c r="D78" i="6" s="1"/>
  <c r="D74" i="6"/>
  <c r="C75" i="6"/>
  <c r="C74" i="6"/>
  <c r="B75" i="6"/>
  <c r="C76" i="6"/>
  <c r="B76" i="6"/>
  <c r="C72" i="6"/>
  <c r="C71" i="6"/>
  <c r="B72" i="6"/>
  <c r="B71" i="6"/>
  <c r="D66" i="6"/>
  <c r="B61" i="6"/>
  <c r="B60" i="6"/>
  <c r="B59" i="6"/>
  <c r="G48" i="6"/>
  <c r="E48" i="6"/>
  <c r="F54" i="6"/>
  <c r="F52" i="6"/>
  <c r="F50" i="6"/>
  <c r="F48" i="6"/>
  <c r="D56" i="6"/>
  <c r="F56" i="6"/>
  <c r="F47" i="6"/>
  <c r="F44" i="6"/>
  <c r="F45" i="6"/>
  <c r="F46" i="6"/>
  <c r="E47" i="6"/>
  <c r="E46" i="6"/>
  <c r="E45" i="6"/>
  <c r="E44" i="6"/>
  <c r="C48" i="6"/>
  <c r="C47" i="6"/>
  <c r="C46" i="6"/>
  <c r="C45" i="6"/>
  <c r="C44" i="6"/>
  <c r="B56" i="6"/>
  <c r="D54" i="6"/>
  <c r="B54" i="6"/>
  <c r="D52" i="6"/>
  <c r="B52" i="6"/>
  <c r="D50" i="6"/>
  <c r="B50" i="6"/>
  <c r="D48" i="6"/>
  <c r="B48" i="6"/>
  <c r="F71" i="6" l="1"/>
  <c r="B84" i="6" s="1"/>
  <c r="B87" i="6" s="1"/>
  <c r="B89" i="6" s="1"/>
  <c r="D20" i="7"/>
  <c r="C53" i="3"/>
  <c r="D24" i="7" l="1"/>
  <c r="B33" i="6"/>
  <c r="C33" i="6"/>
  <c r="D33" i="6"/>
  <c r="E33" i="6"/>
  <c r="D31" i="6"/>
  <c r="E31" i="6"/>
  <c r="F33" i="6"/>
  <c r="F31" i="6"/>
  <c r="C30" i="6"/>
  <c r="D30" i="6"/>
  <c r="E30" i="6"/>
  <c r="F30" i="6"/>
  <c r="C29" i="6"/>
  <c r="D29" i="6"/>
  <c r="E29" i="6"/>
  <c r="F29" i="6"/>
  <c r="B27" i="6"/>
  <c r="C27" i="6"/>
  <c r="D27" i="6"/>
  <c r="E27" i="6"/>
  <c r="B25" i="6"/>
  <c r="C25" i="6"/>
  <c r="D25" i="6"/>
  <c r="E25" i="6"/>
  <c r="F27" i="6"/>
  <c r="F25" i="6"/>
  <c r="D23" i="6"/>
  <c r="E23" i="6"/>
  <c r="F23" i="6"/>
  <c r="C23" i="6"/>
  <c r="C22" i="6"/>
  <c r="D22" i="6"/>
  <c r="E22" i="6"/>
  <c r="F22" i="6"/>
  <c r="B22" i="6"/>
  <c r="C14" i="6"/>
  <c r="C20" i="6" s="1"/>
  <c r="D14" i="6"/>
  <c r="D20" i="6" s="1"/>
  <c r="E14" i="6"/>
  <c r="E20" i="6" s="1"/>
  <c r="F14" i="6"/>
  <c r="F20" i="6" s="1"/>
  <c r="F19" i="6" s="1"/>
  <c r="B14" i="6"/>
  <c r="B20" i="6" s="1"/>
  <c r="C7" i="6"/>
  <c r="C17" i="6" s="1"/>
  <c r="D7" i="6"/>
  <c r="D17" i="6" s="1"/>
  <c r="E7" i="6"/>
  <c r="E17" i="6" s="1"/>
  <c r="F7" i="6"/>
  <c r="F17" i="6" s="1"/>
  <c r="B7" i="6"/>
  <c r="B17" i="6" s="1"/>
  <c r="B18" i="6" s="1"/>
  <c r="C18" i="6" s="1"/>
  <c r="O29" i="3"/>
  <c r="P25" i="3"/>
  <c r="P26" i="3" s="1"/>
  <c r="P24" i="3"/>
  <c r="P23" i="3"/>
  <c r="N16" i="3"/>
  <c r="N10" i="3"/>
  <c r="N12" i="3" s="1"/>
  <c r="O8" i="3"/>
  <c r="N8" i="3"/>
  <c r="D31" i="7" l="1"/>
  <c r="D28" i="7"/>
  <c r="D18" i="6"/>
  <c r="E18" i="6"/>
  <c r="E19" i="6" s="1"/>
  <c r="B19" i="6"/>
  <c r="C19" i="6"/>
  <c r="D19" i="6"/>
  <c r="N14" i="3"/>
  <c r="N17" i="3"/>
  <c r="N31" i="3" s="1"/>
  <c r="F55" i="4" l="1"/>
  <c r="E55" i="4"/>
  <c r="E41" i="4"/>
  <c r="D41" i="4"/>
  <c r="D39" i="4"/>
  <c r="D43" i="4" s="1"/>
  <c r="F38" i="4"/>
  <c r="F39" i="4" s="1"/>
  <c r="E38" i="4"/>
  <c r="E39" i="4" s="1"/>
  <c r="E43" i="4" s="1"/>
  <c r="D38" i="4"/>
  <c r="D27" i="4"/>
  <c r="F19" i="4"/>
  <c r="F15" i="4"/>
  <c r="C51" i="3"/>
  <c r="C50" i="3"/>
  <c r="E31" i="3"/>
  <c r="E30" i="3"/>
  <c r="E29" i="3"/>
  <c r="E28" i="3"/>
  <c r="D18" i="3"/>
  <c r="D16" i="3"/>
  <c r="D13" i="3"/>
  <c r="D11" i="3"/>
  <c r="D9" i="3"/>
  <c r="C21" i="3"/>
  <c r="C20" i="3"/>
  <c r="C18" i="3"/>
  <c r="C16" i="3"/>
  <c r="C14" i="3"/>
  <c r="C13" i="3"/>
  <c r="C11" i="3"/>
  <c r="C9" i="3"/>
  <c r="F41" i="4" l="1"/>
  <c r="F43" i="4" s="1"/>
  <c r="C13" i="2"/>
  <c r="E13" i="2" s="1"/>
  <c r="C14" i="2" s="1"/>
  <c r="E14" i="2" s="1"/>
  <c r="C15" i="2" s="1"/>
  <c r="E15" i="2" s="1"/>
  <c r="C16" i="2" s="1"/>
  <c r="E16" i="2" s="1"/>
  <c r="E12" i="2"/>
  <c r="D6" i="2"/>
  <c r="C60" i="1" l="1"/>
  <c r="F59" i="1"/>
  <c r="F61" i="1" s="1"/>
  <c r="C59" i="1"/>
  <c r="C61" i="1" s="1"/>
  <c r="F57" i="1"/>
  <c r="F60" i="1" s="1"/>
  <c r="H55" i="1"/>
  <c r="I55" i="1" s="1"/>
  <c r="F64" i="1" l="1"/>
  <c r="C64" i="1"/>
  <c r="C66" i="1" s="1"/>
  <c r="C68" i="1" s="1"/>
  <c r="C70" i="1" s="1"/>
  <c r="F66" i="1" l="1"/>
  <c r="H64" i="1"/>
  <c r="I64" i="1" s="1"/>
  <c r="F68" i="1" l="1"/>
  <c r="H66" i="1"/>
  <c r="I66" i="1" s="1"/>
  <c r="H68" i="1" l="1"/>
  <c r="I68" i="1" s="1"/>
  <c r="F70" i="1"/>
  <c r="J36" i="1" l="1"/>
  <c r="H31" i="1"/>
  <c r="J31" i="1" s="1"/>
  <c r="K31" i="1" s="1"/>
  <c r="G31" i="1"/>
  <c r="G34" i="1" s="1"/>
  <c r="L22" i="1"/>
  <c r="L18" i="1"/>
  <c r="L14" i="1"/>
  <c r="L12" i="1"/>
  <c r="L10" i="1"/>
  <c r="K24" i="1"/>
  <c r="L24" i="1" s="1"/>
  <c r="K22" i="1"/>
  <c r="K18" i="1"/>
  <c r="K17" i="1"/>
  <c r="L17" i="1" s="1"/>
  <c r="K15" i="1"/>
  <c r="L15" i="1" s="1"/>
  <c r="K14" i="1"/>
  <c r="K13" i="1"/>
  <c r="L13" i="1" s="1"/>
  <c r="K12" i="1"/>
  <c r="K11" i="1"/>
  <c r="L11" i="1" s="1"/>
  <c r="K10" i="1"/>
  <c r="K9" i="1"/>
  <c r="M9" i="1" s="1"/>
  <c r="K8" i="1"/>
  <c r="L8" i="1" s="1"/>
  <c r="K6" i="1"/>
  <c r="L6" i="1" s="1"/>
  <c r="K5" i="1"/>
  <c r="L5" i="1" s="1"/>
  <c r="K4" i="1"/>
  <c r="L4" i="1" s="1"/>
  <c r="L3" i="1"/>
  <c r="I24" i="1"/>
  <c r="I22" i="1"/>
  <c r="I20" i="1"/>
  <c r="I18" i="1"/>
  <c r="I17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7" i="1"/>
  <c r="H16" i="1" s="1"/>
  <c r="K20" i="1"/>
  <c r="M20" i="1" s="1"/>
  <c r="M11" i="1"/>
  <c r="D7" i="1"/>
  <c r="C7" i="1"/>
  <c r="C11" i="1" s="1"/>
  <c r="C15" i="1" l="1"/>
  <c r="C19" i="1" s="1"/>
  <c r="D11" i="1"/>
  <c r="D19" i="1" s="1"/>
  <c r="I16" i="1"/>
  <c r="H19" i="1"/>
  <c r="K7" i="1"/>
  <c r="L20" i="1"/>
  <c r="L9" i="1"/>
  <c r="H34" i="1"/>
  <c r="J34" i="1" s="1"/>
  <c r="K34" i="1" s="1"/>
  <c r="G39" i="1" s="1"/>
  <c r="G46" i="1"/>
  <c r="G41" i="1" l="1"/>
  <c r="G42" i="1"/>
  <c r="H21" i="1"/>
  <c r="I19" i="1"/>
  <c r="K16" i="1"/>
  <c r="L7" i="1"/>
  <c r="H23" i="1" l="1"/>
  <c r="I21" i="1"/>
  <c r="K19" i="1"/>
  <c r="L16" i="1"/>
  <c r="L19" i="1" l="1"/>
  <c r="K21" i="1"/>
  <c r="I23" i="1"/>
  <c r="H25" i="1"/>
  <c r="I25" i="1" s="1"/>
  <c r="L21" i="1" l="1"/>
  <c r="K23" i="1"/>
  <c r="L23" i="1" l="1"/>
  <c r="K25" i="1"/>
  <c r="G44" i="1" l="1"/>
  <c r="L25" i="1"/>
</calcChain>
</file>

<file path=xl/sharedStrings.xml><?xml version="1.0" encoding="utf-8"?>
<sst xmlns="http://schemas.openxmlformats.org/spreadsheetml/2006/main" count="472" uniqueCount="336">
  <si>
    <t>anno 5</t>
  </si>
  <si>
    <t xml:space="preserve"> anno 6</t>
  </si>
  <si>
    <t>ricavi</t>
  </si>
  <si>
    <t>costi variabili monetari</t>
  </si>
  <si>
    <t>Margine di contribuzione</t>
  </si>
  <si>
    <t>costi fissi monetari</t>
  </si>
  <si>
    <t>ebitda</t>
  </si>
  <si>
    <t>costi fissi NON monetari</t>
  </si>
  <si>
    <t>ebit</t>
  </si>
  <si>
    <t>tasse</t>
  </si>
  <si>
    <t>Risultato netto</t>
  </si>
  <si>
    <t>20.000 $</t>
  </si>
  <si>
    <t>8.900 $</t>
  </si>
  <si>
    <t>5.000 $</t>
  </si>
  <si>
    <t>3.000 $</t>
  </si>
  <si>
    <t>ECONOMICO</t>
  </si>
  <si>
    <t>FINANZIARIO</t>
  </si>
  <si>
    <t>Conto economico</t>
  </si>
  <si>
    <t>Budget</t>
  </si>
  <si>
    <t>%</t>
  </si>
  <si>
    <t>delta%</t>
  </si>
  <si>
    <t>Ricavi totali</t>
  </si>
  <si>
    <t>materiali</t>
  </si>
  <si>
    <t>energia</t>
  </si>
  <si>
    <t>trasporti</t>
  </si>
  <si>
    <t>consulenze</t>
  </si>
  <si>
    <t>manutenzioni</t>
  </si>
  <si>
    <t>utenze uffici</t>
  </si>
  <si>
    <t>commercialista</t>
  </si>
  <si>
    <t>legali</t>
  </si>
  <si>
    <t>assicurazioni</t>
  </si>
  <si>
    <t>affitto capannone</t>
  </si>
  <si>
    <t>autovetture</t>
  </si>
  <si>
    <t>Valore aggiunto</t>
  </si>
  <si>
    <t>amministratori</t>
  </si>
  <si>
    <t>personale</t>
  </si>
  <si>
    <t>Ebitda</t>
  </si>
  <si>
    <t>ammortamenti</t>
  </si>
  <si>
    <t>Ebit - RISULTATO OPERATIVO</t>
  </si>
  <si>
    <t>interessi bancari</t>
  </si>
  <si>
    <t>Ebt</t>
  </si>
  <si>
    <t>Bilancio d'esercizio</t>
  </si>
  <si>
    <t>tipo</t>
  </si>
  <si>
    <t>var</t>
  </si>
  <si>
    <t>fix</t>
  </si>
  <si>
    <t>Prod A</t>
  </si>
  <si>
    <t>Prod B</t>
  </si>
  <si>
    <t>Ricavi</t>
  </si>
  <si>
    <t>MDC</t>
  </si>
  <si>
    <t>TOT</t>
  </si>
  <si>
    <t>Costi fissi conto economico considerando i costi del personale pari a 800.00</t>
  </si>
  <si>
    <t>BEP azineda</t>
  </si>
  <si>
    <t>BEP prod A</t>
  </si>
  <si>
    <t>BEP prd B</t>
  </si>
  <si>
    <t>Cash flow Economico</t>
  </si>
  <si>
    <t>Cash Flow di BEP</t>
  </si>
  <si>
    <t>Perché il risulato ottenuto con il BEP è sempre 0</t>
  </si>
  <si>
    <t>Risultato ottenuto + ammortamenti</t>
  </si>
  <si>
    <t>Es 78% e 22% di 3.500.000</t>
  </si>
  <si>
    <t>manutenzione cst 10 ogni 1000</t>
  </si>
  <si>
    <t>ore disponibili</t>
  </si>
  <si>
    <t>recupero eff</t>
  </si>
  <si>
    <t>ore effettive</t>
  </si>
  <si>
    <t>RICAVO</t>
  </si>
  <si>
    <t>CONSUMI MAT</t>
  </si>
  <si>
    <t>ENERGIA</t>
  </si>
  <si>
    <t>Margine di Contribuzione</t>
  </si>
  <si>
    <t>var a scatti</t>
  </si>
  <si>
    <t>MANUT</t>
  </si>
  <si>
    <t>VALORE AGGIUNTO</t>
  </si>
  <si>
    <t>CST PERSONALE</t>
  </si>
  <si>
    <t>EBITDA</t>
  </si>
  <si>
    <t>AMMORTAMENTO</t>
  </si>
  <si>
    <t>EBIT</t>
  </si>
  <si>
    <t>leva operativa</t>
  </si>
  <si>
    <t>Aumento le ore</t>
  </si>
  <si>
    <t>Differenze tra i due in base alle ore di lavorazione</t>
  </si>
  <si>
    <t>acquisto macchinario</t>
  </si>
  <si>
    <t>movimento monetario, patrimoniale</t>
  </si>
  <si>
    <t>vita economica 5 anni</t>
  </si>
  <si>
    <t>vita economica</t>
  </si>
  <si>
    <t>periodo di tempo entro il quale il macchinario svolge con efficienza la sua operatività.</t>
  </si>
  <si>
    <t>quota ammortamento</t>
  </si>
  <si>
    <t>costo NON MONETARIO ECONOMICO</t>
  </si>
  <si>
    <t>PIANO DI AMMORTAMENTO</t>
  </si>
  <si>
    <t>ACQUISTO</t>
  </si>
  <si>
    <t>VALORE BENE</t>
  </si>
  <si>
    <t>Q.TA AMM.TO</t>
  </si>
  <si>
    <t>VALORE RESIDUO</t>
  </si>
  <si>
    <t>ANNO1</t>
  </si>
  <si>
    <t>ANNO2</t>
  </si>
  <si>
    <t>ANNO3</t>
  </si>
  <si>
    <t>ANNO4</t>
  </si>
  <si>
    <t>ANNO5</t>
  </si>
  <si>
    <t>cli 1- privati</t>
  </si>
  <si>
    <t>cli2- scuole</t>
  </si>
  <si>
    <t>tot</t>
  </si>
  <si>
    <t xml:space="preserve">ricavi </t>
  </si>
  <si>
    <t>cst frutta ( var)</t>
  </si>
  <si>
    <t>margine contribuzione</t>
  </si>
  <si>
    <t xml:space="preserve">interessi passivi </t>
  </si>
  <si>
    <t>cst fix dipendenti</t>
  </si>
  <si>
    <t>COSTO SPECIFICO O COMUNE</t>
  </si>
  <si>
    <t>Flusso di cassa totale</t>
  </si>
  <si>
    <t>1)</t>
  </si>
  <si>
    <t>CONTO ECONOMICO</t>
  </si>
  <si>
    <t>consumi</t>
  </si>
  <si>
    <t>costi</t>
  </si>
  <si>
    <t>costo del personale</t>
  </si>
  <si>
    <t>proventi ed oneri finanziari</t>
  </si>
  <si>
    <t>proventi ed oneri straordinari</t>
  </si>
  <si>
    <t>imposte</t>
  </si>
  <si>
    <t>Ebit</t>
  </si>
  <si>
    <t>Flusso di cassa (CE)</t>
  </si>
  <si>
    <t>Risultato netto + ammortamenti</t>
  </si>
  <si>
    <t>Ebit - proventi e oneri finanziari - proventi e oneri straordinari - imposte + ammortamenti</t>
  </si>
  <si>
    <t>Flusso di cassa 2019 (CE)=</t>
  </si>
  <si>
    <t>2)</t>
  </si>
  <si>
    <t>STATO PATRIMONIALE</t>
  </si>
  <si>
    <t>Immobilizzazioni</t>
  </si>
  <si>
    <t>Totale immobilizzazioni</t>
  </si>
  <si>
    <t>rimanenze di magazzino</t>
  </si>
  <si>
    <t>crediti commerciali</t>
  </si>
  <si>
    <t>debiti commerciali</t>
  </si>
  <si>
    <t>Capitale circolante netto</t>
  </si>
  <si>
    <t>SCENDE quindi CREO CASSA</t>
  </si>
  <si>
    <t>SCENDE quindi DISTRUGGO CASSA</t>
  </si>
  <si>
    <t>CASH FLOW</t>
  </si>
  <si>
    <t>VARIAZIONE CAPITALE CIRCOLARE NETTO</t>
  </si>
  <si>
    <t xml:space="preserve">CASH FLOW= </t>
  </si>
  <si>
    <t>FLUSSO DI CASSA DEGLI INVESTIMENTI=</t>
  </si>
  <si>
    <t>DIFFERENZA TOT. IMMOBILIZZAZIONI - AMMORTAMENTI</t>
  </si>
  <si>
    <t>IMMOBILIZZAZIONI INIZ</t>
  </si>
  <si>
    <t>AMM.TI 2019</t>
  </si>
  <si>
    <t>ACQUISTO MACCHINA</t>
  </si>
  <si>
    <t>AMM.TI AGGIUNTIVI</t>
  </si>
  <si>
    <t>IMMOBILIZZAZIONI INIZ ( 1.1.20)</t>
  </si>
  <si>
    <t>AMMORTAMENTI  2020</t>
  </si>
  <si>
    <t>IMMOBILIZZAZIONI FINALI 2020</t>
  </si>
  <si>
    <t>FLUSSO DI CASSA INVESTIM</t>
  </si>
  <si>
    <t>ESEMPIO IMMOBILIZZAZIONI</t>
  </si>
  <si>
    <t>ACQUISTI (2020)</t>
  </si>
  <si>
    <t>RIMANZE DI MAGAZZINO</t>
  </si>
  <si>
    <t>MATERIE PRIME NON UTILIZZATE</t>
  </si>
  <si>
    <t>PRODOTTI IN CORSO DI LAVORAZIONE / SEMILAVORATI / WIP</t>
  </si>
  <si>
    <t>PRODOTTI FINITI NON VENDUTI</t>
  </si>
  <si>
    <t xml:space="preserve"> ( ACQUISTATE IN ECCESSO RISPETTO ALLA NECESSITA')</t>
  </si>
  <si>
    <t>OVVERO LAVORAZIONI NON COMPLETATE</t>
  </si>
  <si>
    <t>OVVERO PRODOTTI IN ECCESSO RISPETTO ALLA DOMANDA CLIENTE</t>
  </si>
  <si>
    <t>SCHEDA DI MAGAZZINO</t>
  </si>
  <si>
    <t>BISCOTTI NUTELLA</t>
  </si>
  <si>
    <t>RIMANENZA INIZIALE</t>
  </si>
  <si>
    <t>ACQUISTI</t>
  </si>
  <si>
    <t>PRELIEVI</t>
  </si>
  <si>
    <t>RIMANENZA FINALE</t>
  </si>
  <si>
    <t>consumo</t>
  </si>
  <si>
    <t>rim. Iniziali</t>
  </si>
  <si>
    <t>Acquisti</t>
  </si>
  <si>
    <t>Rim. Finali</t>
  </si>
  <si>
    <t>consumi?</t>
  </si>
  <si>
    <t>differenza magazzino + acquisti</t>
  </si>
  <si>
    <t>diff. Magazzino (R.F-R.I)</t>
  </si>
  <si>
    <t xml:space="preserve">ACQUISTI </t>
  </si>
  <si>
    <t>RIM. INIZIALI</t>
  </si>
  <si>
    <t>R.FINALI</t>
  </si>
  <si>
    <t>DIFF. MAGAZZINO</t>
  </si>
  <si>
    <t>CE</t>
  </si>
  <si>
    <t>CONSUMI</t>
  </si>
  <si>
    <t>SP</t>
  </si>
  <si>
    <t>FLUSSO CASSA MAGAZZINO</t>
  </si>
  <si>
    <t>TOT ( SP+CE)</t>
  </si>
  <si>
    <t>FLUSSO DI CASSA MATERIALI</t>
  </si>
  <si>
    <t>MAGAZZINO FINALE</t>
  </si>
  <si>
    <t>FLUSSO DI CASSA MAGAZZINO</t>
  </si>
  <si>
    <t>ESERCIZIO FLUSSO DI CASSA TOTALE</t>
  </si>
  <si>
    <t>costi variabili</t>
  </si>
  <si>
    <t>costi fissi</t>
  </si>
  <si>
    <t>ammortmaneti</t>
  </si>
  <si>
    <t>BEP=</t>
  </si>
  <si>
    <t>Megazzino</t>
  </si>
  <si>
    <t>Crediti</t>
  </si>
  <si>
    <t>Debiti</t>
  </si>
  <si>
    <t>DIFFERENZA CAPIALE CIRCOLARE NETTO</t>
  </si>
  <si>
    <t>Flusso di cassa investimenti</t>
  </si>
  <si>
    <t>CASH FLOW TOTALE</t>
  </si>
  <si>
    <t>COSTO SPECIFICO - CLI2 MI PAGA IN RITARDO RISPETTO ALLA CONSEGNA</t>
  </si>
  <si>
    <t>COSTO COMUNE - LAVORANO SIA PER IL CLI1 CHE PER IL CLI2</t>
  </si>
  <si>
    <t>utile/perdita</t>
  </si>
  <si>
    <t>immobizzazioni</t>
  </si>
  <si>
    <t>Utili</t>
  </si>
  <si>
    <t>patrimonio netto</t>
  </si>
  <si>
    <t>Posizione Finanziaria Netta</t>
  </si>
  <si>
    <t>FLUSSO DI CASSA</t>
  </si>
  <si>
    <t>posizione finanziaria netta</t>
  </si>
  <si>
    <t>utile</t>
  </si>
  <si>
    <t>Cassa generata nel C/E</t>
  </si>
  <si>
    <t>variazione immobilizzazioni</t>
  </si>
  <si>
    <t>nessuna variazione ccn</t>
  </si>
  <si>
    <t>Cassa generata da SP</t>
  </si>
  <si>
    <t>flusso di cassa totale</t>
  </si>
  <si>
    <t>anno 1</t>
  </si>
  <si>
    <t>anno2</t>
  </si>
  <si>
    <t>anno3 budget</t>
  </si>
  <si>
    <t>anno4 bdg</t>
  </si>
  <si>
    <t>anno5 bdg</t>
  </si>
  <si>
    <t>capitale circolante operativo</t>
  </si>
  <si>
    <t>capitale investito netto</t>
  </si>
  <si>
    <t>(rimanenze, crediti, debiti)</t>
  </si>
  <si>
    <t>Cap sociale (iniziale)</t>
  </si>
  <si>
    <t>(11.000 l'ho deciso io)</t>
  </si>
  <si>
    <t>totale fonti = capitale investito netto</t>
  </si>
  <si>
    <t>DIFFERENZA TRA TOT FONTI E PATRIMONIO NETTO</t>
  </si>
  <si>
    <t>ammortamenti (li definisco io)</t>
  </si>
  <si>
    <t>Variazione Patrimonio netto</t>
  </si>
  <si>
    <t>(perché ho impostatio io 11.000)</t>
  </si>
  <si>
    <t>sarà uguale all'iniziale del. 2021</t>
  </si>
  <si>
    <t>è uguale a (- differenza magazzino)</t>
  </si>
  <si>
    <t xml:space="preserve">è uguale a consumi + flusso cassa magazzino </t>
  </si>
  <si>
    <t>è uguale a R. finali + R. iniziali</t>
  </si>
  <si>
    <t>è uguale a diff. Magazzino + acquaisti</t>
  </si>
  <si>
    <t xml:space="preserve"> debiti nei confronti delle banche</t>
  </si>
  <si>
    <t>il flusso di cassa è POSITIVO  se diminuiscono i debiti verso le banche e NEGATIVO  se aumento i debiti verso le banche</t>
  </si>
  <si>
    <t>ESERCIZIO</t>
  </si>
  <si>
    <t>buget 2020</t>
  </si>
  <si>
    <t>acqusiti</t>
  </si>
  <si>
    <t>energia elettrica</t>
  </si>
  <si>
    <t>imballaggi</t>
  </si>
  <si>
    <t>lavorazioni di terzi</t>
  </si>
  <si>
    <t>servizi</t>
  </si>
  <si>
    <t>costo personale</t>
  </si>
  <si>
    <t>Ebit = Ebt</t>
  </si>
  <si>
    <t>BEP 2020</t>
  </si>
  <si>
    <t xml:space="preserve">COSTI FISSI </t>
  </si>
  <si>
    <t>immobilizzazioni</t>
  </si>
  <si>
    <t>magazzino</t>
  </si>
  <si>
    <t>crediti</t>
  </si>
  <si>
    <t>debiti</t>
  </si>
  <si>
    <t>CCNetto</t>
  </si>
  <si>
    <t>Patrimonio netto</t>
  </si>
  <si>
    <t>Patrimonio finanziario netto</t>
  </si>
  <si>
    <t>Totale fonti</t>
  </si>
  <si>
    <t>Capitale investito netto</t>
  </si>
  <si>
    <t>(nel 2020 non ho fatto investimenti quindi devo togliere solo gli ammortamenti)</t>
  </si>
  <si>
    <t>(somma di immobilizzazioni e CCNetto)</t>
  </si>
  <si>
    <t>FLUSSO DI CASSA (PFN)</t>
  </si>
  <si>
    <t>FLUSSO DI CASSA INVESTIMENTI</t>
  </si>
  <si>
    <t>SALE  quindi DISTRUGGO CASSA</t>
  </si>
  <si>
    <t>SALE quindi  DISTRUGGO CASSA</t>
  </si>
  <si>
    <t>CASH FLOW (CE) 2020</t>
  </si>
  <si>
    <t>DIFFERENZA CAPITALE CIRCOLANTE NETTO 2020</t>
  </si>
  <si>
    <t>△CCNetto 2020</t>
  </si>
  <si>
    <t>Flusso cassa inv. 2020</t>
  </si>
  <si>
    <t>Variazione patrimonio netto</t>
  </si>
  <si>
    <t>Variazione patrimonio netto 2020</t>
  </si>
  <si>
    <t>CASH FLOW (SP) 2020</t>
  </si>
  <si>
    <t>AZIENDA VINICOLA "COLLIO"</t>
  </si>
  <si>
    <t xml:space="preserve">DATI CONTABILI </t>
  </si>
  <si>
    <t>ricavi vendita</t>
  </si>
  <si>
    <t>acquisti uva</t>
  </si>
  <si>
    <t>acq bottiglie</t>
  </si>
  <si>
    <t>acq prodotti x vinificazione</t>
  </si>
  <si>
    <t>tappi ed etichette</t>
  </si>
  <si>
    <t>provvigioni</t>
  </si>
  <si>
    <t>tot cst variabili</t>
  </si>
  <si>
    <t>MARGINE DI CONTRIBUZIONE</t>
  </si>
  <si>
    <t>Mdc</t>
  </si>
  <si>
    <t>gestione autocarri</t>
  </si>
  <si>
    <t>spese comm.li</t>
  </si>
  <si>
    <t>cons.tecniche</t>
  </si>
  <si>
    <t>Va %</t>
  </si>
  <si>
    <t>personale diretto</t>
  </si>
  <si>
    <t>personale impiegati</t>
  </si>
  <si>
    <t>Ebitda%</t>
  </si>
  <si>
    <t>amm.ti imp. vinificazione</t>
  </si>
  <si>
    <t>amm.ti imp. imbottigliamento</t>
  </si>
  <si>
    <t>EBIT - RISULTATO OPERATIVO</t>
  </si>
  <si>
    <t>Ebit %</t>
  </si>
  <si>
    <t>interessi passivi</t>
  </si>
  <si>
    <t>EBT</t>
  </si>
  <si>
    <t>ebt %</t>
  </si>
  <si>
    <t>Costi fissi</t>
  </si>
  <si>
    <t>Bep 2017</t>
  </si>
  <si>
    <t>Leva operativa</t>
  </si>
  <si>
    <t>(margine di contribuzione / risultato operativo = EBIT)</t>
  </si>
  <si>
    <t>CASH FLOW (CE)</t>
  </si>
  <si>
    <t>IMMOBILIZZAZIONI</t>
  </si>
  <si>
    <t>MAGAZZINO</t>
  </si>
  <si>
    <t>CREDITI</t>
  </si>
  <si>
    <t>FORNITORI</t>
  </si>
  <si>
    <t>F.DI</t>
  </si>
  <si>
    <t>CAP INVESTITO</t>
  </si>
  <si>
    <t>SALE quindi DISTRUGGO CASSA</t>
  </si>
  <si>
    <t xml:space="preserve">△CCNETTO </t>
  </si>
  <si>
    <t>FLUSSO INVE.</t>
  </si>
  <si>
    <t>PAT. NETTO (PN)</t>
  </si>
  <si>
    <t>PFN</t>
  </si>
  <si>
    <t>TOTALE FONTI</t>
  </si>
  <si>
    <t>(TOT. FONTI = CAP. INVESTITO)</t>
  </si>
  <si>
    <t>FLUSSO DI CASSA PFN</t>
  </si>
  <si>
    <t>SALE quindi DISTUGGO CASSA</t>
  </si>
  <si>
    <t>CASH FLOW (SP)</t>
  </si>
  <si>
    <t>CASH FLOW TOTALE (SP + CE)</t>
  </si>
  <si>
    <t>(cash flow totale = flusso di cassa (PFN)</t>
  </si>
  <si>
    <t>CASH FLOW TOTALE (SP + CE) 2020</t>
  </si>
  <si>
    <t>Magazzino</t>
  </si>
  <si>
    <t>Variazione +/-</t>
  </si>
  <si>
    <t>SALE quindi CREO CASSA</t>
  </si>
  <si>
    <t>CAP. CIRC</t>
  </si>
  <si>
    <t>Fondi</t>
  </si>
  <si>
    <t>CAP. INV</t>
  </si>
  <si>
    <t>E' SEMPRE UGUALE AGLI ACQUISTI</t>
  </si>
  <si>
    <t xml:space="preserve"> </t>
  </si>
  <si>
    <r>
      <t xml:space="preserve">NUMERO </t>
    </r>
    <r>
      <rPr>
        <sz val="12"/>
        <color rgb="FFFF0000"/>
        <rFont val="Calibri (Corpo)"/>
      </rPr>
      <t>MEDIO</t>
    </r>
    <r>
      <rPr>
        <sz val="12"/>
        <color theme="1"/>
        <rFont val="Calibri"/>
        <family val="2"/>
        <scheme val="minor"/>
      </rPr>
      <t xml:space="preserve"> DI GIORNI DI DILAZIONE CONCESSA</t>
    </r>
  </si>
  <si>
    <r>
      <t xml:space="preserve">NUMERO </t>
    </r>
    <r>
      <rPr>
        <sz val="12"/>
        <color rgb="FFFF0000"/>
        <rFont val="Calibri (Corpo)"/>
      </rPr>
      <t xml:space="preserve">MEDIO </t>
    </r>
    <r>
      <rPr>
        <sz val="12"/>
        <color theme="1"/>
        <rFont val="Calibri"/>
        <family val="2"/>
        <scheme val="minor"/>
      </rPr>
      <t>DI GIORNI DI COPERTURA SCORTE</t>
    </r>
  </si>
  <si>
    <r>
      <t xml:space="preserve">NUMERO </t>
    </r>
    <r>
      <rPr>
        <sz val="12"/>
        <color rgb="FFFF0000"/>
        <rFont val="Calibri (Corpo)"/>
      </rPr>
      <t>MEDIO</t>
    </r>
    <r>
      <rPr>
        <sz val="12"/>
        <color theme="1"/>
        <rFont val="Calibri"/>
        <family val="2"/>
        <scheme val="minor"/>
      </rPr>
      <t xml:space="preserve"> DI GIORNI DI DILAZIONE DEBITI</t>
    </r>
  </si>
  <si>
    <t>Debiti vs fornitori = ( Acquisti di merci e di servizi) / 365 ) * giorni dilazione concessi dai fornitori</t>
  </si>
  <si>
    <t xml:space="preserve">Crediti vs clienti = (Fatturato / 365) * giorni dilazione concessa ai clienti </t>
  </si>
  <si>
    <t>Scorte di magazzino = ( Fatturato / 365) * giorni scorte</t>
  </si>
  <si>
    <t>2020 rev.</t>
  </si>
  <si>
    <t>CICLO MONETARIO = GIORNI MAGAZZINO + GIORNI CREDITI - GIORNI FORNITORE</t>
  </si>
  <si>
    <t>determinare il bdg 2020 secondo le ipotesi seguenti:</t>
  </si>
  <si>
    <t xml:space="preserve">1) nuovi clienti </t>
  </si>
  <si>
    <t>pag 100gg</t>
  </si>
  <si>
    <t>2) fornitori acquisti ( riga9)</t>
  </si>
  <si>
    <t>3) nuovi investimenti per 900</t>
  </si>
  <si>
    <t>4) distribuzione dividendi ai soci per 1500</t>
  </si>
  <si>
    <t xml:space="preserve">calcolare </t>
  </si>
  <si>
    <t>mdc</t>
  </si>
  <si>
    <t>Valore Aggiunto</t>
  </si>
  <si>
    <t>Risultato di periodo</t>
  </si>
  <si>
    <t>risultato di periodo</t>
  </si>
  <si>
    <t>Bep per avere utile 3700</t>
  </si>
  <si>
    <t>cash flow</t>
  </si>
  <si>
    <t>incremento rischio clienti</t>
  </si>
  <si>
    <t>0) incremento 20% clienti esistenti con peggioramento gg dilazione pagamento 13gg</t>
  </si>
  <si>
    <t>aumento 7% listini e riduzione 15 gg dilaz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</si>
</sst>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\+0%;\-0%;0%;"/>
    <numFmt numFmtId="168" formatCode="0_ ;\-0\ "/>
    <numFmt numFmtId="169" formatCode="_-* #,##0.0\ _€_-;\-* #,##0.0\ _€_-;_-* &quot;-&quot;?\ _€_-;_-@_-"/>
    <numFmt numFmtId="170" formatCode="#,##0_ ;[Red]\-#,##0\ 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20"/>
      <color theme="1"/>
      <name val="Calibri (Corpo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FF0000"/>
      <name val="Calibri (Corpo)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165" fontId="2" fillId="4" borderId="1" xfId="1" applyNumberFormat="1" applyFont="1" applyFill="1" applyBorder="1"/>
    <xf numFmtId="166" fontId="2" fillId="4" borderId="1" xfId="2" applyNumberFormat="1" applyFont="1" applyFill="1" applyBorder="1"/>
    <xf numFmtId="167" fontId="2" fillId="4" borderId="1" xfId="2" applyNumberFormat="1" applyFont="1" applyFill="1" applyBorder="1"/>
    <xf numFmtId="165" fontId="0" fillId="0" borderId="1" xfId="1" applyNumberFormat="1" applyFont="1" applyBorder="1"/>
    <xf numFmtId="166" fontId="0" fillId="0" borderId="1" xfId="2" applyNumberFormat="1" applyFont="1" applyBorder="1"/>
    <xf numFmtId="167" fontId="0" fillId="0" borderId="1" xfId="2" applyNumberFormat="1" applyFont="1" applyBorder="1"/>
    <xf numFmtId="165" fontId="0" fillId="5" borderId="1" xfId="1" applyNumberFormat="1" applyFont="1" applyFill="1" applyBorder="1"/>
    <xf numFmtId="167" fontId="0" fillId="5" borderId="1" xfId="2" applyNumberFormat="1" applyFont="1" applyFill="1" applyBorder="1"/>
    <xf numFmtId="165" fontId="2" fillId="4" borderId="1" xfId="0" applyNumberFormat="1" applyFont="1" applyFill="1" applyBorder="1"/>
    <xf numFmtId="165" fontId="2" fillId="6" borderId="1" xfId="0" applyNumberFormat="1" applyFont="1" applyFill="1" applyBorder="1"/>
    <xf numFmtId="165" fontId="2" fillId="5" borderId="1" xfId="1" applyNumberFormat="1" applyFont="1" applyFill="1" applyBorder="1"/>
    <xf numFmtId="0" fontId="2" fillId="7" borderId="1" xfId="0" applyFont="1" applyFill="1" applyBorder="1"/>
    <xf numFmtId="0" fontId="0" fillId="7" borderId="1" xfId="0" applyFill="1" applyBorder="1"/>
    <xf numFmtId="166" fontId="0" fillId="2" borderId="1" xfId="2" applyNumberFormat="1" applyFont="1" applyFill="1" applyBorder="1"/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9" fontId="0" fillId="2" borderId="1" xfId="2" applyFont="1" applyFill="1" applyBorder="1"/>
    <xf numFmtId="9" fontId="0" fillId="3" borderId="1" xfId="2" applyFont="1" applyFill="1" applyBorder="1"/>
    <xf numFmtId="1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0" fillId="8" borderId="1" xfId="0" applyNumberFormat="1" applyFill="1" applyBorder="1"/>
    <xf numFmtId="0" fontId="0" fillId="8" borderId="1" xfId="0" applyFill="1" applyBorder="1"/>
    <xf numFmtId="165" fontId="0" fillId="4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3" borderId="1" xfId="0" applyFill="1" applyBorder="1"/>
    <xf numFmtId="0" fontId="0" fillId="6" borderId="1" xfId="0" applyFill="1" applyBorder="1"/>
    <xf numFmtId="9" fontId="0" fillId="7" borderId="1" xfId="2" applyFont="1" applyFill="1" applyBorder="1"/>
    <xf numFmtId="0" fontId="2" fillId="0" borderId="0" xfId="0" applyFont="1"/>
    <xf numFmtId="0" fontId="0" fillId="2" borderId="2" xfId="0" applyFill="1" applyBorder="1"/>
    <xf numFmtId="9" fontId="0" fillId="0" borderId="0" xfId="0" applyNumberFormat="1"/>
    <xf numFmtId="0" fontId="0" fillId="4" borderId="2" xfId="0" applyFill="1" applyBorder="1"/>
    <xf numFmtId="165" fontId="0" fillId="4" borderId="1" xfId="1" applyNumberFormat="1" applyFont="1" applyFill="1" applyBorder="1"/>
    <xf numFmtId="0" fontId="2" fillId="3" borderId="1" xfId="0" applyFont="1" applyFill="1" applyBorder="1"/>
    <xf numFmtId="165" fontId="0" fillId="3" borderId="1" xfId="1" applyNumberFormat="1" applyFont="1" applyFill="1" applyBorder="1"/>
    <xf numFmtId="0" fontId="0" fillId="0" borderId="2" xfId="0" applyBorder="1"/>
    <xf numFmtId="164" fontId="0" fillId="0" borderId="1" xfId="1" applyFont="1" applyBorder="1"/>
    <xf numFmtId="165" fontId="0" fillId="10" borderId="1" xfId="0" applyNumberFormat="1" applyFill="1" applyBorder="1"/>
    <xf numFmtId="9" fontId="0" fillId="10" borderId="1" xfId="2" applyFont="1" applyFill="1" applyBorder="1"/>
    <xf numFmtId="165" fontId="0" fillId="10" borderId="3" xfId="0" applyNumberFormat="1" applyFill="1" applyBorder="1"/>
    <xf numFmtId="9" fontId="0" fillId="10" borderId="3" xfId="2" applyFont="1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4" borderId="1" xfId="0" applyNumberFormat="1" applyFill="1" applyBorder="1"/>
    <xf numFmtId="3" fontId="0" fillId="0" borderId="1" xfId="0" applyNumberFormat="1" applyBorder="1"/>
    <xf numFmtId="3" fontId="0" fillId="7" borderId="1" xfId="0" applyNumberFormat="1" applyFill="1" applyBorder="1"/>
    <xf numFmtId="0" fontId="0" fillId="7" borderId="1" xfId="0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0" fillId="3" borderId="2" xfId="0" applyFill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1" xfId="0" applyFill="1" applyBorder="1"/>
    <xf numFmtId="0" fontId="0" fillId="7" borderId="4" xfId="0" applyFill="1" applyBorder="1"/>
    <xf numFmtId="0" fontId="4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6" borderId="1" xfId="0" applyFont="1" applyFill="1" applyBorder="1"/>
    <xf numFmtId="0" fontId="6" fillId="0" borderId="1" xfId="0" applyFont="1" applyBorder="1"/>
    <xf numFmtId="0" fontId="6" fillId="11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/>
    <xf numFmtId="0" fontId="6" fillId="3" borderId="1" xfId="0" applyFont="1" applyFill="1" applyBorder="1"/>
    <xf numFmtId="0" fontId="6" fillId="12" borderId="1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/>
    <xf numFmtId="0" fontId="0" fillId="11" borderId="1" xfId="0" applyFont="1" applyFill="1" applyBorder="1"/>
    <xf numFmtId="0" fontId="0" fillId="12" borderId="1" xfId="0" applyFont="1" applyFill="1" applyBorder="1"/>
    <xf numFmtId="0" fontId="0" fillId="0" borderId="4" xfId="0" applyFont="1" applyBorder="1"/>
    <xf numFmtId="0" fontId="0" fillId="2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0" fillId="0" borderId="4" xfId="0" applyNumberFormat="1" applyBorder="1"/>
    <xf numFmtId="3" fontId="0" fillId="4" borderId="1" xfId="0" applyNumberFormat="1" applyFill="1" applyBorder="1" applyAlignment="1">
      <alignment horizontal="center"/>
    </xf>
    <xf numFmtId="0" fontId="0" fillId="15" borderId="1" xfId="0" applyFill="1" applyBorder="1"/>
    <xf numFmtId="3" fontId="0" fillId="3" borderId="1" xfId="0" applyNumberFormat="1" applyFill="1" applyBorder="1"/>
    <xf numFmtId="0" fontId="0" fillId="0" borderId="0" xfId="0" applyFill="1" applyBorder="1" applyAlignment="1">
      <alignment horizontal="right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/>
    <xf numFmtId="0" fontId="10" fillId="0" borderId="1" xfId="0" applyFont="1" applyBorder="1"/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/>
    <xf numFmtId="165" fontId="2" fillId="0" borderId="1" xfId="1" applyNumberFormat="1" applyFont="1" applyFill="1" applyBorder="1"/>
    <xf numFmtId="0" fontId="0" fillId="0" borderId="4" xfId="0" applyBorder="1" applyAlignment="1">
      <alignment horizontal="center"/>
    </xf>
    <xf numFmtId="165" fontId="0" fillId="3" borderId="1" xfId="0" applyNumberFormat="1" applyFill="1" applyBorder="1"/>
    <xf numFmtId="165" fontId="0" fillId="7" borderId="1" xfId="0" applyNumberFormat="1" applyFill="1" applyBorder="1"/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/>
    <xf numFmtId="0" fontId="2" fillId="9" borderId="1" xfId="0" applyFont="1" applyFill="1" applyBorder="1"/>
    <xf numFmtId="0" fontId="0" fillId="9" borderId="1" xfId="0" applyFill="1" applyBorder="1"/>
    <xf numFmtId="165" fontId="0" fillId="9" borderId="1" xfId="0" applyNumberFormat="1" applyFill="1" applyBorder="1"/>
    <xf numFmtId="0" fontId="0" fillId="6" borderId="1" xfId="0" applyFont="1" applyFill="1" applyBorder="1" applyAlignment="1">
      <alignment horizontal="center"/>
    </xf>
    <xf numFmtId="9" fontId="0" fillId="3" borderId="1" xfId="0" applyNumberFormat="1" applyFill="1" applyBorder="1"/>
    <xf numFmtId="9" fontId="0" fillId="0" borderId="1" xfId="2" applyFont="1" applyBorder="1"/>
    <xf numFmtId="165" fontId="1" fillId="0" borderId="1" xfId="1" applyNumberFormat="1" applyFont="1" applyBorder="1"/>
    <xf numFmtId="1" fontId="0" fillId="4" borderId="1" xfId="0" applyNumberFormat="1" applyFill="1" applyBorder="1"/>
    <xf numFmtId="3" fontId="0" fillId="2" borderId="1" xfId="0" applyNumberFormat="1" applyFill="1" applyBorder="1"/>
    <xf numFmtId="0" fontId="0" fillId="0" borderId="0" xfId="0" applyFill="1" applyBorder="1"/>
    <xf numFmtId="0" fontId="0" fillId="0" borderId="3" xfId="0" applyBorder="1"/>
    <xf numFmtId="165" fontId="0" fillId="2" borderId="1" xfId="0" applyNumberFormat="1" applyFill="1" applyBorder="1"/>
    <xf numFmtId="0" fontId="0" fillId="13" borderId="1" xfId="0" applyFill="1" applyBorder="1"/>
    <xf numFmtId="0" fontId="0" fillId="13" borderId="4" xfId="0" applyFill="1" applyBorder="1"/>
    <xf numFmtId="3" fontId="0" fillId="0" borderId="1" xfId="0" applyNumberFormat="1" applyBorder="1" applyAlignment="1"/>
    <xf numFmtId="165" fontId="0" fillId="0" borderId="1" xfId="0" applyNumberFormat="1" applyBorder="1" applyAlignment="1"/>
    <xf numFmtId="0" fontId="0" fillId="2" borderId="1" xfId="0" applyFill="1" applyBorder="1" applyAlignment="1">
      <alignment horizontal="left"/>
    </xf>
    <xf numFmtId="0" fontId="0" fillId="12" borderId="1" xfId="0" applyFill="1" applyBorder="1"/>
    <xf numFmtId="3" fontId="0" fillId="12" borderId="1" xfId="0" applyNumberFormat="1" applyFill="1" applyBorder="1"/>
    <xf numFmtId="165" fontId="0" fillId="0" borderId="0" xfId="1" applyNumberFormat="1" applyFont="1"/>
    <xf numFmtId="165" fontId="0" fillId="0" borderId="0" xfId="0" applyNumberFormat="1"/>
    <xf numFmtId="169" fontId="0" fillId="0" borderId="1" xfId="0" applyNumberFormat="1" applyBorder="1"/>
    <xf numFmtId="168" fontId="2" fillId="0" borderId="1" xfId="1" applyNumberFormat="1" applyFont="1" applyBorder="1" applyAlignment="1">
      <alignment horizontal="center" vertical="center"/>
    </xf>
    <xf numFmtId="0" fontId="2" fillId="16" borderId="1" xfId="0" applyFont="1" applyFill="1" applyBorder="1"/>
    <xf numFmtId="165" fontId="2" fillId="16" borderId="1" xfId="1" applyNumberFormat="1" applyFont="1" applyFill="1" applyBorder="1"/>
    <xf numFmtId="0" fontId="11" fillId="16" borderId="1" xfId="0" applyFont="1" applyFill="1" applyBorder="1"/>
    <xf numFmtId="166" fontId="11" fillId="16" borderId="1" xfId="2" applyNumberFormat="1" applyFont="1" applyFill="1" applyBorder="1"/>
    <xf numFmtId="165" fontId="2" fillId="3" borderId="1" xfId="1" applyNumberFormat="1" applyFont="1" applyFill="1" applyBorder="1"/>
    <xf numFmtId="165" fontId="0" fillId="0" borderId="1" xfId="1" applyNumberFormat="1" applyFont="1" applyFill="1" applyBorder="1"/>
    <xf numFmtId="0" fontId="2" fillId="0" borderId="1" xfId="0" applyFont="1" applyFill="1" applyBorder="1"/>
    <xf numFmtId="0" fontId="0" fillId="4" borderId="1" xfId="0" applyFont="1" applyFill="1" applyBorder="1"/>
    <xf numFmtId="3" fontId="0" fillId="0" borderId="0" xfId="0" applyNumberFormat="1"/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170" fontId="2" fillId="0" borderId="1" xfId="0" applyNumberFormat="1" applyFont="1" applyBorder="1"/>
    <xf numFmtId="170" fontId="0" fillId="0" borderId="1" xfId="0" applyNumberFormat="1" applyBorder="1"/>
    <xf numFmtId="0" fontId="0" fillId="0" borderId="6" xfId="0" applyFill="1" applyBorder="1" applyAlignment="1">
      <alignment horizontal="center"/>
    </xf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7" Type="http://schemas.openxmlformats.org/officeDocument/2006/relationships/customXml" Target="../ink/ink3.xml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2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1245620</xdr:colOff>
      <xdr:row>21</xdr:row>
      <xdr:rowOff>67920</xdr:rowOff>
    </xdr:from>
    <xdr:to>
      <xdr:col>10</xdr:col>
      <xdr:colOff>839300</xdr:colOff>
      <xdr:row>49</xdr:row>
      <xdr:rowOff>197360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put penna 4">
              <a:extLst>
                <a:ext uri="{FF2B5EF4-FFF2-40B4-BE49-F238E27FC236}">
                  <a16:creationId xmlns:a16="http://schemas.microsoft.com/office/drawing/2014/main" id="{CA7FCE18-B69E-7847-88DF-84BD903401D3}"/>
                </a:ext>
              </a:extLst>
            </xdr14:cNvPr>
            <xdr14:cNvContentPartPr/>
          </xdr14:nvContentPartPr>
          <xdr14:nvPr macro=""/>
          <xdr14:xfrm>
            <a:off x="4077720" y="4335120"/>
            <a:ext cx="11328480" cy="5819040"/>
          </xdr14:xfrm>
        </xdr:contentPart>
      </mc:Choice>
      <mc:Fallback xmlns="">
        <xdr:pic>
          <xdr:nvPicPr>
            <xdr:cNvPr id="5" name="Input penna 4">
              <a:extLst>
                <a:ext uri="{FF2B5EF4-FFF2-40B4-BE49-F238E27FC236}">
                  <a16:creationId xmlns:a16="http://schemas.microsoft.com/office/drawing/2014/main" id="{CA7FCE18-B69E-7847-88DF-84BD903401D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069090" y="4326003"/>
              <a:ext cx="11346100" cy="583690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859460</xdr:colOff>
      <xdr:row>33</xdr:row>
      <xdr:rowOff>175080</xdr:rowOff>
    </xdr:from>
    <xdr:to>
      <xdr:col>13</xdr:col>
      <xdr:colOff>505660</xdr:colOff>
      <xdr:row>48</xdr:row>
      <xdr:rowOff>199320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put penna 5">
              <a:extLst>
                <a:ext uri="{FF2B5EF4-FFF2-40B4-BE49-F238E27FC236}">
                  <a16:creationId xmlns:a16="http://schemas.microsoft.com/office/drawing/2014/main" id="{7E825490-5CDE-934C-8E5A-7B5832B0BD21}"/>
                </a:ext>
              </a:extLst>
            </xdr14:cNvPr>
            <xdr14:cNvContentPartPr/>
          </xdr14:nvContentPartPr>
          <xdr14:nvPr macro=""/>
          <xdr14:xfrm>
            <a:off x="15426360" y="6880680"/>
            <a:ext cx="2745000" cy="3072240"/>
          </xdr14:xfrm>
        </xdr:contentPart>
      </mc:Choice>
      <mc:Fallback xmlns="">
        <xdr:pic>
          <xdr:nvPicPr>
            <xdr:cNvPr id="6" name="Input penna 5">
              <a:extLst>
                <a:ext uri="{FF2B5EF4-FFF2-40B4-BE49-F238E27FC236}">
                  <a16:creationId xmlns:a16="http://schemas.microsoft.com/office/drawing/2014/main" id="{7E825490-5CDE-934C-8E5A-7B5832B0BD2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417336" y="6871561"/>
              <a:ext cx="2762686" cy="309011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509980</xdr:colOff>
      <xdr:row>0</xdr:row>
      <xdr:rowOff>90720</xdr:rowOff>
    </xdr:from>
    <xdr:to>
      <xdr:col>14</xdr:col>
      <xdr:colOff>162200</xdr:colOff>
      <xdr:row>34</xdr:row>
      <xdr:rowOff>3560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put penna 6">
              <a:extLst>
                <a:ext uri="{FF2B5EF4-FFF2-40B4-BE49-F238E27FC236}">
                  <a16:creationId xmlns:a16="http://schemas.microsoft.com/office/drawing/2014/main" id="{6B2E9A0A-3EA3-544A-A175-EF2490F2A462}"/>
                </a:ext>
              </a:extLst>
            </xdr14:cNvPr>
            <xdr14:cNvContentPartPr/>
          </xdr14:nvContentPartPr>
          <xdr14:nvPr macro=""/>
          <xdr14:xfrm>
            <a:off x="18175680" y="90720"/>
            <a:ext cx="477720" cy="6821640"/>
          </xdr14:xfrm>
        </xdr:contentPart>
      </mc:Choice>
      <mc:Fallback xmlns="">
        <xdr:pic>
          <xdr:nvPicPr>
            <xdr:cNvPr id="7" name="Input penna 6">
              <a:extLst>
                <a:ext uri="{FF2B5EF4-FFF2-40B4-BE49-F238E27FC236}">
                  <a16:creationId xmlns:a16="http://schemas.microsoft.com/office/drawing/2014/main" id="{6B2E9A0A-3EA3-544A-A175-EF2490F2A462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166921" y="81964"/>
              <a:ext cx="495603" cy="683951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-9218</xdr:colOff>
      <xdr:row>47</xdr:row>
      <xdr:rowOff>145120</xdr:rowOff>
    </xdr:from>
    <xdr:to>
      <xdr:col>10</xdr:col>
      <xdr:colOff>302540</xdr:colOff>
      <xdr:row>73</xdr:row>
      <xdr:rowOff>192800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0" name="Input penna 9">
              <a:extLst>
                <a:ext uri="{FF2B5EF4-FFF2-40B4-BE49-F238E27FC236}">
                  <a16:creationId xmlns:a16="http://schemas.microsoft.com/office/drawing/2014/main" id="{60765A8F-A60F-3147-B1FC-51E8A6F417F1}"/>
                </a:ext>
              </a:extLst>
            </xdr14:cNvPr>
            <xdr14:cNvContentPartPr/>
          </xdr14:nvContentPartPr>
          <xdr14:nvPr macro=""/>
          <xdr14:xfrm>
            <a:off x="-9218" y="9695520"/>
            <a:ext cx="14878658" cy="5330880"/>
          </xdr14:xfrm>
        </xdr:contentPart>
      </mc:Choice>
      <mc:Fallback xmlns="">
        <xdr:pic>
          <xdr:nvPicPr>
            <xdr:cNvPr id="10" name="Input penna 9">
              <a:extLst>
                <a:ext uri="{FF2B5EF4-FFF2-40B4-BE49-F238E27FC236}">
                  <a16:creationId xmlns:a16="http://schemas.microsoft.com/office/drawing/2014/main" id="{60765A8F-A60F-3147-B1FC-51E8A6F417F1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-17855" y="9686766"/>
              <a:ext cx="14896292" cy="5348753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388776</xdr:colOff>
      <xdr:row>0</xdr:row>
      <xdr:rowOff>51837</xdr:rowOff>
    </xdr:from>
    <xdr:to>
      <xdr:col>4</xdr:col>
      <xdr:colOff>427653</xdr:colOff>
      <xdr:row>20</xdr:row>
      <xdr:rowOff>25918</xdr:rowOff>
    </xdr:to>
    <xdr:cxnSp macro="">
      <xdr:nvCxnSpPr>
        <xdr:cNvPr id="3" name="Connettore 1 2">
          <a:extLst>
            <a:ext uri="{FF2B5EF4-FFF2-40B4-BE49-F238E27FC236}">
              <a16:creationId xmlns:a16="http://schemas.microsoft.com/office/drawing/2014/main" id="{E3B9B5DB-3582-E242-AF03-51EDE3A5A6EE}"/>
            </a:ext>
          </a:extLst>
        </xdr:cNvPr>
        <xdr:cNvCxnSpPr/>
      </xdr:nvCxnSpPr>
      <xdr:spPr>
        <a:xfrm flipH="1">
          <a:off x="7036837" y="51837"/>
          <a:ext cx="38877" cy="412102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12959</xdr:rowOff>
    </xdr:from>
    <xdr:to>
      <xdr:col>4</xdr:col>
      <xdr:colOff>362857</xdr:colOff>
      <xdr:row>20</xdr:row>
      <xdr:rowOff>25918</xdr:rowOff>
    </xdr:to>
    <xdr:cxnSp macro="">
      <xdr:nvCxnSpPr>
        <xdr:cNvPr id="9" name="Connettore 1 8">
          <a:extLst>
            <a:ext uri="{FF2B5EF4-FFF2-40B4-BE49-F238E27FC236}">
              <a16:creationId xmlns:a16="http://schemas.microsoft.com/office/drawing/2014/main" id="{983C6AB6-C8D3-964A-997D-625675464B6B}"/>
            </a:ext>
          </a:extLst>
        </xdr:cNvPr>
        <xdr:cNvCxnSpPr/>
      </xdr:nvCxnSpPr>
      <xdr:spPr>
        <a:xfrm flipH="1" flipV="1">
          <a:off x="0" y="4159898"/>
          <a:ext cx="7010918" cy="1295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54</xdr:row>
      <xdr:rowOff>152400</xdr:rowOff>
    </xdr:from>
    <xdr:to>
      <xdr:col>6</xdr:col>
      <xdr:colOff>254000</xdr:colOff>
      <xdr:row>59</xdr:row>
      <xdr:rowOff>63500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D7345AEE-6779-0046-AD83-4689C0B145E2}"/>
            </a:ext>
          </a:extLst>
        </xdr:cNvPr>
        <xdr:cNvCxnSpPr/>
      </xdr:nvCxnSpPr>
      <xdr:spPr>
        <a:xfrm flipV="1">
          <a:off x="4127500" y="11125200"/>
          <a:ext cx="1638300" cy="927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0</xdr:row>
      <xdr:rowOff>127000</xdr:rowOff>
    </xdr:from>
    <xdr:to>
      <xdr:col>9</xdr:col>
      <xdr:colOff>635000</xdr:colOff>
      <xdr:row>61</xdr:row>
      <xdr:rowOff>190500</xdr:rowOff>
    </xdr:to>
    <xdr:cxnSp macro="">
      <xdr:nvCxnSpPr>
        <xdr:cNvPr id="5" name="Connettore 1 4">
          <a:extLst>
            <a:ext uri="{FF2B5EF4-FFF2-40B4-BE49-F238E27FC236}">
              <a16:creationId xmlns:a16="http://schemas.microsoft.com/office/drawing/2014/main" id="{816B065F-77FE-1C46-B788-85562C013A8B}"/>
            </a:ext>
          </a:extLst>
        </xdr:cNvPr>
        <xdr:cNvCxnSpPr/>
      </xdr:nvCxnSpPr>
      <xdr:spPr>
        <a:xfrm>
          <a:off x="8521700" y="127000"/>
          <a:ext cx="101600" cy="124587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61</xdr:row>
      <xdr:rowOff>101600</xdr:rowOff>
    </xdr:from>
    <xdr:to>
      <xdr:col>9</xdr:col>
      <xdr:colOff>584200</xdr:colOff>
      <xdr:row>61</xdr:row>
      <xdr:rowOff>190500</xdr:rowOff>
    </xdr:to>
    <xdr:cxnSp macro="">
      <xdr:nvCxnSpPr>
        <xdr:cNvPr id="8" name="Connettore 1 7">
          <a:extLst>
            <a:ext uri="{FF2B5EF4-FFF2-40B4-BE49-F238E27FC236}">
              <a16:creationId xmlns:a16="http://schemas.microsoft.com/office/drawing/2014/main" id="{B32FDE21-65F4-634D-A3ED-AA5052550F6B}"/>
            </a:ext>
          </a:extLst>
        </xdr:cNvPr>
        <xdr:cNvCxnSpPr/>
      </xdr:nvCxnSpPr>
      <xdr:spPr>
        <a:xfrm flipH="1" flipV="1">
          <a:off x="0" y="12496800"/>
          <a:ext cx="8572500" cy="889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77</xdr:row>
      <xdr:rowOff>50800</xdr:rowOff>
    </xdr:from>
    <xdr:to>
      <xdr:col>10</xdr:col>
      <xdr:colOff>114300</xdr:colOff>
      <xdr:row>77</xdr:row>
      <xdr:rowOff>177800</xdr:rowOff>
    </xdr:to>
    <xdr:cxnSp macro="">
      <xdr:nvCxnSpPr>
        <xdr:cNvPr id="11" name="Connettore 1 10">
          <a:extLst>
            <a:ext uri="{FF2B5EF4-FFF2-40B4-BE49-F238E27FC236}">
              <a16:creationId xmlns:a16="http://schemas.microsoft.com/office/drawing/2014/main" id="{DB1681BD-442E-9E42-A2E9-94CC1746C59C}"/>
            </a:ext>
          </a:extLst>
        </xdr:cNvPr>
        <xdr:cNvCxnSpPr/>
      </xdr:nvCxnSpPr>
      <xdr:spPr>
        <a:xfrm flipV="1">
          <a:off x="152400" y="15925800"/>
          <a:ext cx="8775700" cy="1270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1016000</xdr:colOff>
      <xdr:row>78</xdr:row>
      <xdr:rowOff>12700</xdr:rowOff>
    </xdr:from>
    <xdr:to>
      <xdr:col>5</xdr:col>
      <xdr:colOff>25400</xdr:colOff>
      <xdr:row>82</xdr:row>
      <xdr:rowOff>25400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325A4FC1-E9D7-7F4D-BBFE-A059D595CD1F}"/>
            </a:ext>
          </a:extLst>
        </xdr:cNvPr>
        <xdr:cNvCxnSpPr/>
      </xdr:nvCxnSpPr>
      <xdr:spPr>
        <a:xfrm>
          <a:off x="5194300" y="15862300"/>
          <a:ext cx="1066800" cy="8255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736600</xdr:colOff>
      <xdr:row>82</xdr:row>
      <xdr:rowOff>63500</xdr:rowOff>
    </xdr:from>
    <xdr:to>
      <xdr:col>5</xdr:col>
      <xdr:colOff>12700</xdr:colOff>
      <xdr:row>87</xdr:row>
      <xdr:rowOff>190500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6B5DF7C9-8544-ED46-A77F-538E9147F92D}"/>
            </a:ext>
          </a:extLst>
        </xdr:cNvPr>
        <xdr:cNvCxnSpPr/>
      </xdr:nvCxnSpPr>
      <xdr:spPr>
        <a:xfrm flipH="1">
          <a:off x="3263900" y="16725900"/>
          <a:ext cx="2984500" cy="1143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5-01T14:13:33.81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585 0 24575,'-5'11'0,"0"6"0,0 5 0,-2 8 0,1-6 0,0 5 0,0-1 0,2 4 0,0 1 0,2 4 0,1 2 0,1 0 0,0 5 0,0-6 0,0 6 0,0-2 0,-1 9 0,0 4 0,0-1 0,1 2 0,0-1 0,0-10 0,0 3 0,0-9 0,0 5 0,-1-1 0,-1 3 0,0-4 0,-1 1 0,2 1 0,-2-4 0,1 2 0,0 1 0,0 2 0,-1 6 0,-1 1 0,0 6 0,0 7 0,-2 5 0,2 0 0,-3 7 0,5-1 0,-4 12 0,2 0 0,-2-2 0,1-5 0,0-2 0,1 3 0,-2-8 0,-1 8 0,-2-1 0,-3 10 0,0 5 0,-6 0 0,1 0 0,-3-2 0,2-1 0,1-6 0,-4 4 0,1 1 0,7-40 0,-1 0 0,0 3 0,0-2 0,1 0 0,0 1 0,0-1 0,0 0 0,0 1 0,1 0 0,0 2 0,1-2 0,0-4 0,1 2 0,0 0 0,1 1 0,-5 48 0,8-50 0,0 3 0,-1-3 0,1 0 0,-3 40 0,0-4 0,2-3 0,2-4 0,1 9 0,2-6 0,1 0 0,1-3 0,0-2 0,0 1 0,3-2 0,0 0 0,2-9 0,2-1 0,-4-7 0,2 2 0,-2-2 0,2 0 0,1 0 0,1 0 0,-1-3 0,-2-8 0,1 1 0,-1-5 0,4 5 0,-2-1 0,1-6 0,-1 1 0,-1-5 0,-3 2 0,1 0 0,0 0 0,0-2 0,2 0 0,0 1 0,-1-3 0,1 2 0,-2 1 0,3 4 0,-2-4 0,2 4 0,0-1 0,0 0 0,-2 3 0,1-2 0,-1 2 0,0-1 0,2-1 0,0-5 0,0-2 0,-1-5 0,-1 1 0,0-3 0,0 1 0,-1-2 0,0-3 0,4 3 0,-3-6 0,6 5 0,-2-8 0,3 4 0,3-3 0,-2 1 0,3-2 0,2-1 0,2 1 0,10 1 0,-7-4 0,13 2 0,0 1 0,13 0 0,4 3 0,10 0 0,6 3 0,5-1 0,19 7 0,-1 0 0,-38-15 0,1 1 0,1 1 0,0-1 0,-2-3 0,-1 1 0,3 0 0,0-2 0,-3 0 0,0-2 0,1 1 0,0 0 0,-2-2 0,0 0 0,5 3 0,2-1 0,1-2 0,1-2 0,3 4 0,0-3 0,2-2 0,1-2 0,-3 0 0,0-1 0,2-2 0,1-1-377,4 1 1,1-2 376,10 2 0,1-1 0,-5 0 0,1 0 0,17-1 0,2 0-771,-4 2 0,1 0 771,-23-2 0,1-1 0,-1 0 0,29 3 0,-4 1-313,-5-3 0,-3-1 313,-17 1 0,-3 0 0,-8-1 0,-3 0 0,33-2 670,-23 1-670,-7-6 1546,-12-1-1546,-2 0 705,-14-1-705,-5 3 0,-5 0 0,-1-1 0,3 1 0,-6 1 0,5-1 0,-5 2 0,-1 1 0,1 2 0,4 1 0,8 1 0,6 2 0,-1 1 0,-2 0 0,0 3 0,-5-3 0,-5 1 0,-9-1 0,-8-2 0,-5 1 0,-1 0 0,0 1 0,0 1 0,1 4 0,0 1 0,0 5 0,0-1 0,-1 2 0,1 4 0,-1 6 0,1 5 0,-1 8 0,3 7 0,-1 2 0,1 3 0,0 2 0,-2-4 0,2 5 0,-1 0 0,1 5 0,0 0 0,0-3 0,-1 3 0,1 6 0,-3 6 0,2-6 0,-2 6 0,0-6 0,0 2 0,1 2 0,0-2 0,0 0 0,-1 1 0,0-4 0,0-5 0,-1 1 0,-1-8 0,0 6 0,-1-1 0,0 1 0,-1-1 0,1 5 0,0 1 0,1-6 0,1 9 0,-4-7 0,3 13 0,-4-1 0,2 4 0,-1 0 0,1 0 0,0 0 0,0-9 0,-4 11 0,2-8 0,-3 16 0,4-8 0,0 8 0,0-13 0,1 4 0,-2-3 0,2-7 0,-2 7 0,2-7 0,-1 7 0,0 2 0,3 1 0,-3-6 0,5-2 0,-3-11 0,3 7 0,-2-8 0,2 8 0,0-4 0,0 2 0,2-3 0,-2-2 0,1 1 0,-1-9 0,0 8 0,0-5 0,2 0 0,-1 5 0,4-3 0,0 5 0,1-4 0,0 0 0,0-8 0,3 6 0,0-9 0,5 11 0,-1-5 0,-1 2 0,-1-2 0,-1-2 0,-2 0 0,-1-6 0,-2 4 0,-2-1 0,1 8 0,1-1 0,0 2 0,1 5 0,-3 0 0,3 6 0,-2-4 0,2 13 0,1-3 0,0 12 0,3-3 0,3-1 0,-1-7 0,2-5 0,-4-7 0,0-9 0,-2 2 0,3-6 0,-2 6 0,5-1 0,-5-5 0,6 2 0,-3-5 0,2-4 0,1 1 0,1-2 0,1 0 0,2-1 0,1-3 0,-1 2 0,5 1 0,2-3 0,0-2 0,4 0 0,0 2 0,8 4 0,7 4 0,1 1 0,6-4 0,2-2 0,-1-3 0,-2-5 0,1 0 0,3-2 0,14 5 0,11 3 0,6-3 0,-39-18 0,1 1 0,46 7 0,-44-10 0,0 1 0,42 6 0,-41-8 0,0-1 0,46 8 0,-43-9 0,1 0 0,0-1 0,-1-1 0,6 0 0,0-1 0,0-2 0,2 1 0,7-2 0,2 0-325,3-1 0,2 0 325,-2 0 0,1 1 0,9-1 0,-1 0 0,-3-1 0,2-1 0,0 1 0,2 0 0,4-1 0,0 0-563,-4-1 0,1 0 563,6 1 0,2 0 0,-4-1 0,-1 0 0,2 0 0,-3 0-296,-14-1 0,-1 0 296,6 1 0,-1 0 0,-12 0 0,2 0 0,11 1 0,1 0 0,-4 2 0,0 0 0,0-1 0,0 1 0,-2 1 0,0 0 0,-3 0 0,-3-1-88,-7 0 0,0 0 88,6 2 0,-1-1 0,-5 0 0,0 0 0,11 2 0,2 1 0,0-5 0,2 1 1,1 0 0,-1 1-1,1-3 0,0 0 0,0 0 0,0 0 0,2 1 0,-1 0 0,-7-2 0,0 1 0,5 2 0,-1 1 0,-7-3 0,1 1 0,4 2 0,0 1 0,2-4 0,-2 0 0,-1 0 0,-2 0 0,4 0 0,0 0 0,-4 0 0,0 0 0,2 0 0,-2 0 0,-8 1 0,-2 0 0,9-2 0,0 0 0,-7 1 0,0 0 0,8-2 0,2 0 0,3 0 0,-1-1 0,2 1 0,0-2 0,7 0 0,2 0 0,1 0 0,1-2 0,2 1 0,-1-1 0,-7 2 0,-2 0 0,6-2 0,-1 1 0,-6 3 0,0 0 0,3-2 0,2 0 0,6 2 0,0 2 0,-6-2 0,-1 0 0,9-1 0,1 1 0,-7 0 0,0 1 0,5 1 0,0 0 0,-12 1 0,-1 0 0,9 1 0,-1 0 0,-8-1 0,0 0 0,9 0 0,1 0 0,-2 0 0,0-1 0,-4 0 0,0-1 0,-4 1 0,-1-2 0,-4 1 0,-2-1 0,0 1 0,-2-1 450,-6-1 1,0 1-451,2 0 0,1 1 0,-4-1 0,2 1 0,4 0 0,-1 1 0,2-1 0,-1 1 0,1 0 0,1 1 0,0-1 0,1 1 0,3-1 0,1 0 0,3 1 0,0-1 0,-6 0 0,2-1-164,13 1 0,1 0 164,-6-3 0,1 0 0,18 0 0,2 1 0,-9-4 0,1-1-371,-27 2 0,2 1 1,-1-3 370,27-2 0,0-1 0,3 2 0,0 0 0,-11-2 0,-1 2 0,8 2 0,2 1 0,-9-2 0,1-1 0,-21 3 0,1 0 0,0-1 0,2 1 0,0 1 0,1-2 0,1 0 0,1-1 0,1-1 189,5 0 1,1 0 0,-1 0-190,-1 0 0,-1-1 0,0-1-440,0 1 0,-1-1 0,-2 2 440,22-1 0,-2 0 0,1 2 0,-2-1 36,-12 2 0,0 0-36,4-1 0,-1 1 0,-3-1 0,-2 2 0,-1-1 0,-2 0 0,-5 2 0,-1 0 497,0-1 0,-1 0-497,-6 1 0,-2 0 0,-7-2 0,-1 2 0,4-1 0,-1 0 1586,39-5-1586,-39 5 0,0 0 0,-4-1 0,-1 0 897,40 2-897,-16-2 283,-13 3-283,-6 0 0,-8 1 0,5 1 0,-10 0 0,4 0 0,-2 0 0,0-2 0,0 2 0,-1-3 0,6 3 0,-7-2 0,6 1 0,-5 0 0,6 1 0,10 1 0,6 1 0,7 0 0,3 1 0,-4-3 0,-3 2 0,-2-2 0,-9 0 0,2 0 0,-8 0 0,-5 0 0,4 0 0,-4 0 0,1 1 0,-1-1 0,4 3 0,-5-1 0,5-1 0,-5 2 0,0-3 0,-2-3 0,2 3 0,-7-1 0,10 1 0,-1 0 0,10 0 0,3 0 0,4 0 0,6-2 0,7 2 0,-1-2 0,-7 2 0,-1 0 0,-3 0 0,7 0 0,-4 0 0,-2 0 0,-5 0 0,1 0 0,5 2 0,-4-2 0,2 3 0,-11-3 0,-1 3 0,-10-2 0,-1-1 0,-3 1 0,2-1 0,2 0 0,-5 0 0,3-1 0,-4 1 0,4-2 0,1 0 0,0 2 0,4-2 0,1 2 0,9-1 0,-2 1 0,13-2 0,0 2 0,14 0 0,-3 0 0,11-5 0,-5 1 0,-33-1 0,0 1 0,43-2 0,-39 1 0,0 2 0,1 1 0,1-1 0,3 0 0,2-1 0,8 2 0,0-1-211,-2-1 1,-1-1 210,3 2 0,-1 1 0,1-3 0,-1 1 0,0 1 0,-2 0 0,-4 2 0,0-1 0,2-1 0,0 1 0,-9 1 0,-1 1 0,6-1 0,0-1 0,-5 1 0,-1 1 0,3-1 0,-1 1 0,-4 0 0,0 0 0,0-2 0,-1 0 0,41 0 0,-4-5 0,-4-1 421,1-1-421,6 0 0,-7 0 0,4 2 0,-9 0 0,2 3 0,-7-1 0,-14 4 0,1-5 0,-14 3 0,11-3 0,-6 5 0,6-5 0,-11 4 0,-5-2 0,-8 1 0,-8 2 0,-1-1 0,-2 2 0,-2-1 0,-4 1 0,-7-1 0,-9 2 0,-9 3 0,3-1 0,-4 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5-01T14:13:39.5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8706 24575,'40'-3'0,"1"0"0,-1 0 0,7 0 0,-3 0 0,6-2 0,-4 3 0,-3-4 0,-1 4 0,12-2 0,10 1 0,8 1 0,26-1 0,-2 0 0,-37 1 0,2-1 0,-3 1 0,0 1 0,2-2 0,0-2 0,-3 4 0,-2-1 0,-1-2 0,-3 0 0,44-2 0,-15-3 0,5 4 0,0-2 0,9 2 0,-42 2 0,1 0 0,-1-1 0,-1 0 0,3 0 0,1 0 0,-2 0 0,-1-2 0,0 2 0,-1-1 0,36-7 0,10-1 0,-10-6 0,10-5 0,-48 9 0,0 0 0,-2-2 0,0-1 0,2-4 0,0 0 0,38-24 0,-5-9 0,-14 5 0,5-9 0,1-5 0,-31 26 0,2-1 0,3-7 0,0 0 0,2-2 0,-1-3 0,3-2 0,-1 0 0,-1 0 0,-1 0 0,-5 5 0,1 1 0,0-3 0,0 3 0,-2 0 0,0 2 0,8-3 0,0-2-256,-1 1 0,0 1 256,3-3 0,0 2 0,-4 3 0,-3-1 0,1-1 0,-2-1 0,-2 3 0,-2 1 0,-7 5 0,-1 0 0,1-2 0,0 2 0,24-34 0,-23 33 0,1 2 0,0 1 0,0-1 0,1 1 0,0 1 0,36-31 512,-10 3-512,-1 6 0,-12 6 0,-2-4 0,-3 4 0,0-5 0,-1 3 0,-8 2 0,-4 1 0,-8-1 0,-1 0 0,-5 0 0,6-11 0,2-14 0,11-14 0,-17 39 0,0-1 0,0 1 0,-1-1 0,-1 2 0,-2 0 0,7-47 0,-9 5 0,-4 16 0,-5-3 0,5 10 0,0-9 0,0 4 0,5-2 0,-2 6 0,5 2 0,3 8 0,5-1 0,9-2 0,8-10 0,6-5 0,4-5 0,-25 41 0,0 1 0,1-1 0,0 0 0,3 2 0,-1 0 0,23-33 0,6-5 0,-4 6 0,-25 31 0,1-3 0,2 2 0,0 1 0,-2-3 0,0-1 0,0 3 0,0 1 0,-3-1 0,0 0 0,-1 2 0,-1-1 0,23-40 0,-22 39 0,-2-3 0,21-42 0,-22 38 0,0 0 0,0 2 0,-1-1 0,16-41 0,-7 9 0,-15 16 0,-9 4 0,-6 15 0,-1 2 0,-2 9 0,0-1 0,0 3 0,-2 1 0,2 2 0,-2-3 0,1 0 0,0 1 0,1-9 0,0-2 0,1-8 0,0-3 0,2-1 0,-3 2 0,3-1 0,-2 0 0,3 11 0,1-5 0,1 6 0,1-5 0,1 4 0,0-4 0,3 5 0,-2-4 0,2 5 0,0-9 0,0 13 0,1-13 0,4 6 0,2-5 0,4-6 0,3-1 0,0-1 0,0 6 0,0-3 0,-3 7 0,0-7 0,-6 7 0,-7 2 0,-7 5 0,-9 8 0,-5 9 0,-6 12 0,-14 11 0,16 0 0,-6 5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5-01T14:13:43.8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19341 24575,'1'-11'0,"-1"-2"0,2-1 0,-1-2 0,1-4 0,0-3 0,0-2 0,-2-7 0,3-7 0,-2-10 0,4-12 0,-1-8 0,3-9 0,2-6 0,8-15 0,-9 47 0,1-1 0,-1 0 0,1-4 0,0-4 0,1-4 0,-1 0 0,0-1-310,2-9 0,-1-2 310,-2 1 0,-1-2 0,0 0 0,-1-1 0,-3 0 0,-1 0 0,4 0 0,-1-1 0,0-4 0,0-2 0,3 10 0,2 0 0,2-9 0,2 0-615,0 0 0,0-2 615,0-7 0,-1-4 0,-3 30 0,1 0 0,-2 0 0,3-34 0,-1 3 0,-1-1 0,0 1 0,-2 5 0,-1-1 0,0 9 0,0 1 0,-1-7 0,-1 2 0,0 8 0,1-2 0,0-7 0,-1-1 0,0 4 0,-1 3-329,2 3 1,-1 2 328,-1 1 0,0 4 0,1 5 0,0 3-9,0 0 0,0 3 9,0 10 0,0 0 280,0-3 1,0 0-281,0-42 0,-1 44 0,-1 0 0,0 1 0,0-3 0,2 2 0,0-2 0,0-2 0,0-2 0,1-3 0,2 2 0,0-5 0,1 1 0,0 6 0,0 0 0,1-9 0,-1-1 324,-3 2 1,-2 0-325,6-8 0,-2-2 0,-1-5 0,0 0 0,5 0 0,2 1 0,-2-3 0,0-1-192,2-3 0,1 0 192,-2-1 0,-2 1 0,2 9 0,-1-3 0,-1-5 0,1 0 0,1 6 0,-1 1 0,1-6 0,1-1 0,-2-1 0,0 0 0,1 3 0,-1-1 0,1 1 0,-1 0 0,2-2 0,-1 2 0,-3 11 0,-1 1 0,3-8 0,0 2 0,-2 6 0,-2 2 0,3-10 0,-1 1 0,-1 0 0,0 1 0,-3-2 0,-1 1 0,2 2 0,0 0 0,-1 1 0,0-2 0,1 0 0,-2 0-278,0 9 0,1-2 278,-2-7 0,0-2 0,1 9 0,0-2 0,0-7 0,1-1 0,3 0 0,-1 0 0,-2 1 0,1-1 0,0 2 0,0 1 0,0 0 0,-2 3 0,1 2 0,-1 2 0,-2 7 0,0 3 0,0-6 0,0 2 0,-1 4 0,0 1 0,-1-6 0,1 0 0,1 0 0,0 2 0,-1 2 0,0 0-21,1 3 0,-2-1 21,0 4 0,0 2 272,0-1 0,0 2-272,-1-40 540,2 44 1,-1 0-541,0-38 312,0 38 1,-1 0-313,1-1 0,0 0 23,-1 1 1,0-1-24,2-5 0,0 0 0,-2 1 0,0-3 0,1-3 0,0 0 0,-1 4 0,0 1 0,1-7 0,0 1 0,-1 2 0,0 0 0,1-6 0,0 1 0,-1-3 0,0 0 0,0 1 0,0 1 0,0 0 0,0-1 0,0 2 0,0-1 0,1 3 0,0-1 0,0 8 0,0 2 0,-1-6 0,2 4 0,0 3 0,1 2 0,-2-2 0,0-3 0,1 5 0,1 0 0,2-48 0,0 3 0,-1 8 0,-3 5 0,0 0 0,-1 9 0,0-6 0,2 2 0,0 0 0,1-1 0,-1-1 0,1 1 0,-3 7 0,3-8 0,-3 7 0,3-10 0,-1 2 0,1-1 0,1 4 0,-1 0 0,-1 3 0,-1 7 0,1-1 0,-2 4 0,2-6 0,-2 2 0,0 2 0,0 0 0,0 2 0,0 1 0,-2 7 0,0-3 0,-2-1 0,0-7 0,-1-6 0,2 0 0,-2-4 0,0 5 0,-3 4 0,-3 5 0,0 7 0,0 0 0,0 2 0,0 4 0,4 1 0,-3 5 0,2-1 0,-1 7 0,0 1 0,4 7 0,-2 1 0,3 4 0,0 6 0,0 1 0,3 3 0,-2 3 0,2 4 0,-2-1 0,3 4 0,-2 0 0,1 2 0,-2-1 0,2 0 0,-1-6 0,1 0 0,-1-7 0,1 1 0,0-8 0,-1-3 0,0-1 0,0 3 0,0 8 0,2 7 0,-1 8 0,1 2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5-01T14:13:54.3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413 14310 24575,'20'0'0,"3"0"0,15 1 0,10 2 0,14 3 0,0-1 0,17 2 0,1-2 0,14 4 0,-44-5 0,0 0 0,0 1 0,1 0 0,4-3 0,4 0 0,8 1 0,3 1-453,12-3 1,2 1 452,-1 1 0,1 2 0,8 1 0,1 2 0,-1-1 0,0 2-712,3 2 0,2 3 712,-29-7 0,2 1 0,-1 0 0,2 0 0,0 1 0,3-2-652,2 1 0,2-1 0,2 0 652,5 1 0,2-1 0,0-1 0,2-1 0,1-1 0,-2 0 0,-5 0 0,0 2 0,2-3 0,10-1 0,1 0 0,-2 0-719,-6 1 0,-1 1 0,1 0 719,-13-1 0,1-1 0,1 1 0,-1 2 0,2 1 0,0 0 0,1 0 0,-1 0 0,-3-1 0,1 0 0,-1 0 0,3 1-492,8 1 1,2 0 0,1 0 0,0 0 491,0 0 0,1-1 0,-1-1 0,3 1 0,4 0 0,1 0 0,1 0 0,-3 1 0,-7-2 0,-3 0 0,0 0 0,1 0 0,4-1 0,1 1 0,0 1 0,-1-2 0,-9 0 0,-1 0 0,0 0 0,2-1 0,8 1 0,2 0 0,0-1 0,0 1 0,-5 2 0,-1-1 0,1 0 0,1 0 0,0-1 0,2 0 0,-1 1 0,0-1 0,-4 2 0,-1-1 0,0 0 0,2 0 0,4-1 0,2-1 0,0 1 0,0-1 0,-4 1 0,0 0 0,-2 0 0,0-1-155,-9 0 0,-1 0 0,-1-1 0,0 1 155,22 0 0,-1-1 0,-2 2 0,-13-3 0,-3 1 0,1-1 0,6 1 0,0 0 0,2-1 0,-1-1 0,1 0 0,0 0 0,-3 1 0,-1 1 0,0-1 0,0-1 0,1 1 0,0 0 0,1-1 0,0 0 0,-1 0 22,-6 1 0,-2 0 1,2-1-23,9 1 0,1 0 0,0 0 0,-7-1 0,0 0 0,2 0 0,6 0 0,1 0 0,0 0 0,-1-1 0,-1 0 0,2 0 9,1 0 0,1 0 1,1 0-10,3 0 0,2-2 0,0 2 13,-21 0 0,1 1 0,1 0 0,1 0-13,9-1 0,1 1 0,1-1 0,-1 1 0,-6-1 0,0 1 0,-1 0 0,5 1 0,9-1 0,4 0 0,0 1 0,-2 0 0,-9 0 0,-4 2 0,2-2 0,1 1 0,7 0 0,0-1 0,2 1 0,-2 0 0,-4 0 0,0 1 0,-1 0 0,0-1 0,-3 0 0,1 0 0,-2-1 0,1 1 0,-1 0 0,1 1 0,-1-1 0,-1 1 0,-4 1 0,0-1 0,-1-1 0,0 1-62,3 0 0,1 0 1,-1 0-1,-3 0 62,16 0 0,-2 1 0,2-1 0,-17 0 0,0-2 0,2 2 0,-3-1 0,21 1 0,-3 0 0,2-1 0,-21 0 0,0-1 0,0 0 0,-1 1 0,0-1 0,0 0 0,-1 1 0,-1-1 0,22 2 0,-2 1 0,0-2 0,-2 0 0,-1-1 0,0 0-64,-3 4 1,-1-1-1,-1 0 64,4 0 0,-1-1 0,-3 0 191,-12 1 0,-3-3 0,2 1-191,7 2 0,0-1 0,-1-1 0,-9-1 0,-2-1 0,2 0 0,4 0 0,1 1 0,2 1 0,2-1 0,2-1 0,-1 1 0,-1 0 0,-1 0 0,2 0 234,6 0 1,1 0-1,1 0-234,5 0 0,1 1 0,0-1 0,-10 0 0,0-2 0,1 2 0,11 0 0,1 1 0,-1 0 0,-12-2 0,-1 0 0,1 0 0,9 1 0,2 0 0,0-1 0,-4 0 0,-1 0 0,0 0 0,0 1 0,0 0 0,0 0 0,-3-1 0,1 0 0,-2 0 0,-3 1 0,-1 0 0,2-1 0,2 1 0,1 0 0,-3 0 168,-9-1 0,-3 0 1,3 0-169,13 2 0,2-1 0,-2 1 0,-8-2 0,-2 0 0,2 0 0,9 1 0,2 0 0,-1 0 0,-2-1 0,0 0 0,1 0-62,2 0 0,0 2 0,1-1 62,2 0 0,1 0 0,1 0 0,-20 0 0,0 1 0,0-1 0,2 0 0,2 0 0,1 0 0,0-1 0,0 1 0,-6 0 0,-2-1 0,1 1 0,2 0-333,14-1 0,2 0 0,0 0 0,-1 0 333,-6 0 0,-1 0 0,0 0 0,1 0 0,9-1 0,1 1 0,1 0 0,-2 1 0,-3-1 0,-3 1 0,0 0 0,-2-1-35,-6 0 1,-2-1 0,-1 1 0,-2-1 34,23 2 0,-1 0 0,-2-1 0,-4-2 0,0 0 0,-2-1 0,0 2 0,-1 1 0,-2-2 82,-11-2 0,-1-1 0,0 0-82,2 0 0,0 1 0,-3-2 0,25-3 0,-1-4 483,0 1 0,-1-3-483,-7 0 0,-3 0 0,-9 0 0,-2-2 0,3-1 0,0-1 0,6 1 0,1-2 0,9 1 0,2 1 0,-9 3 0,0 1 0,7 2 0,0 0 0,-13 2 0,-1 0 0,8 1 0,0 0 0,-3-1 0,-1-3 0,-3 1 0,0 0 0,-1-2 0,-1 0 0,2-3 0,0 0 0,-8 2 0,1-2 0,20-1 0,3-2 0,-29 6 0,1-1 0,2 1 326,11-2 1,3 0-1,2 0-326,3-3 0,1 1 0,-1-2 0,-2 3 0,0-1 0,-1 1 0,-4 1 0,-1-2 0,1 1 0,0 0 0,0 0 0,0-2 0,-3 2 0,0-2 0,-1 2 207,-4 3 1,-2-1 0,2 1-208,5-3 0,1 1 0,-1-2 0,-2 3 0,0 2 0,0-2-193,9-1 1,-1 0 0,1-2 192,4 1 0,1-2 0,0-1 0,-6 1 0,0 0 0,-1-1 0,-2 2 0,0-3 0,-2 2-62,-6-2 0,-1-1 1,-3 2 61,22-7 0,-4 0 678,-13 1 0,-4 0-678,-6 2 0,-3 1 0,-12 1 0,0 0 0,7-3 0,2 3 0,-3-1 0,1 1 0,6-2 0,3-1 0,-8 6 0,-1-1 773,-2-3 0,-2-2-773,34-13 2260,-15-2-2260,4 2 0,9-6 0,-35 22 0,4 1 0,5-3 0,2 0 0,-1 1 0,0-1 0,-2 3 0,-1-1 0,-6-1 0,-2 2 701,-2-1 0,-1 2-701,27-19 576,1-5-576,-11 4 0,0-8 0,-3 3 0,0-2 0,-1-4 0,1-5 0,-4 2 0,4-11 0,5 2 0,-1-10 0,-31 35 0,0-1 0,24-40 0,-28 36 0,-1 1 0,-2-1 0,1 0 0,0-2 0,0 2 0,24-38 0,0-5 0,-3 6 0,-23 37 0,-1-3 0,0 1 0,-1-1 0,3-1 0,-1 0 0,-1-2 0,0-1 0,1 2 0,-1 0 0,-1-4 0,-1 2 0,17-37 0,-18 38 0,-1 2 0,17-39 0,-18 37 0,1 0 0,-1-1 0,1 2 0,-1-3 0,0 1 0,0 0 0,2-1 0,-1 0 0,-1 1 0,0-2 0,-1 0 0,15-38 0,-18 40 0,-1 3 0,13-45 0,0 0 0,-14 42 0,0 2 0,17-40 0,-1-2 0,2 2 0,-4 14 0,-1-9 0,-3 15 0,-1-9 0,-3 9 0,1-3 0,-1 6 0,1 0 0,-3 8 0,-4 6 0,-1-1 0,-3 6 0,-4 0 0,0-2 0,-3 4 0,0-2 0,-3 1 0,2-4 0,-3 6 0,2-5 0,-2 1 0,0-3 0,1-5 0,-1 2 0,2 0 0,-2-4 0,0 0 0,-2 3 0,2-5 0,-1 3 0,-1-2 0,2-2 0,-3 7 0,3-2 0,-3 2 0,3 1 0,-2 5 0,1-2 0,1 4 0,-2-4 0,1 1 0,0 1 0,-1 1 0,1 0 0,-1 6 0,0-3 0,1 5 0,-2-6 0,1 0 0,-1-6 0,-1 1 0,0-7 0,-2 0 0,2-3 0,-6-6 0,2 2 0,-10-8 0,4 1 0,-4-2 0,-2-4 0,-1 0 0,-8-2 0,1 7 0,-9-5 0,2 6 0,-5-3 0,6 4 0,-4 2 0,5 6 0,-3 2 0,1 3 0,-2 6 0,-9-3 0,-1 2 0,-7 1 0,4-1 0,0 0 0,2 2 0,3-2 0,0 0 0,11 11 0,-1-5 0,6 3 0,-1-3 0,0-3 0,2 4 0,1-1 0,3 2 0,2 6 0,1-8 0,2 10 0,-4-9 0,1 1 0,0 1 0,-1-5 0,1 3 0,0 0 0,2 2 0,-1 2 0,0-3 0,-1-3 0,-3-4 0,2 4 0,-2-1 0,-1 1 0,-1-2 0,-1 2 0,-2-3 0,0 5 0,-7-8 0,-1 2 0,-1-4 0,0 0 0,2-1 0,-2 2 0,4 2 0,-7-1 0,4 4 0,-10-7 0,2 4 0,-6 1 0,0-1 0,5 6 0,1 3 0,7-2 0,-5 3 0,1-3 0,-2 0 0,0 0 0,1 0 0,-4-1 0,-4-1 0,0 3 0,-4-3 0,-3 1 0,-1-4 0,-2 2 0,3-2 0,2-1 0,-3 0 0,-4-2 0,7 6 0,-7 1 0,9 3 0,-7-2 0,-2-1 0,-2-2 0,2 5 0,2 3 0,11 6 0,9 7 0,9 2 0,5 6 0,-4-1 0,5 4 0,-2 2 0,8 6 0,2 0 0,4 6 0,-6-2 0,-2 1 0,-13 0 0,-4-2 0,-11-1 0,-1 2 0,-9-8 0,2 3 0,3-4 0,0-1 0,-6-5 0,-10-5 0,-14-5 0,4-3 0,5 5 0,14 4 0,12 7 0,17 4 0,6 5 0,15 3 0,0 0 0,2 2 0,0 0 0,-1 0 0,0 1 0,1-1 0,2 1 0,1 0 0,0 0 0,-1-1 0,-6-1 0,-4 0 0,-6-1 0,-3-2 0,-4 1 0,-1-1 0,-9 2 0,-10-3 0,-17-1 0,-11-4 0,-1 1 0,5 0 0,11 5 0,12-2 0,0 3 0,6 0 0,1-2 0,-3 4 0,3-2 0,1 3 0,9-2 0,3 0 0,6-2 0,-9 1 0,-3-5 0,-12 0 0,-3 0 0,-2-2 0,0 2 0,1-7 0,-3 1 0,1-4 0,-2-3 0,0-1 0,-2 0 0,-1 1 0,-3 1 0,1 5 0,2-1 0,2 5 0,15 2 0,5 4 0,11 2 0,1 0 0,0 1 0,-7 1 0,0-1 0,-5-1 0,-1 2 0,4-3 0,-9 2 0,4 2 0,-1-1 0,2 1 0,6 1 0,5-2 0,5 2 0,9 0 0,6 0 0,5 0 0,2 0 0,1 0 0,-1 0 0,1 0 0,-1 0 0,1 1 0,-1-1 0,-2 3 0,1-1 0,0 1 0,0 0 0,-1-1 0,-7 2 0,-2-2 0,4 2 0,1-3 0</inkml:trace>
  <inkml:trace contextRef="#ctx0" brushRef="#br0" timeOffset="2655">17077 779 24575,'-91'-3'0,"3"-3"0,27 3 0,-2 0 0,2-1 0,-1 0 0,-7-3 0,-1 1 0,6 2 0,0-2 0,4-2 0,3-1 0,-39-5 0,1 3 0,5-1 0,0 6 0,36 2 0,-2 1 0,3 1 0,-1 2 0,-15-2 0,-3 0-642,-6 1 1,-4-1 641,-15 0 0,-5 0-797,25 0 0,-3 1 0,-2-1 797,-8-1 0,-5-1 0,1 1 0,1 0 0,0 1 0,-3-1 0,8-1 0,-1-2 0,-2 0 0,1 1 0,2 0 0,2 0 0,-3 0 0,-2 0-1027,4 0 0,-3 0 1,-2 0-1,0-1 1,-2 1 1026,-1-2 0,-1 1 0,0-1 0,-2 1 0,1 0 0,12 2 0,0 0 0,-1 0 0,0 1 0,-1-1 0,2 0-509,-2-1 1,1-1 0,1 0 0,-1 0 0,1-1 0,0 1 508,1 2 0,0 0 0,0 0 0,0 0 0,0 0 0,0 0 0,-16-3 0,0 1 0,0 0 0,2 0 0,1 1 0,7 0 0,3 1 0,0-2 0,-1 2 0,0 0 0,5 0 0,-1 0 0,-3 1 0,2-1 0,0 0 0,1-1 0,-12 0 0,1 2 0,1-1 0,-1 0 0,-1-1 0,13 1 0,-2-1 0,0 0 0,-1 0 0,1-1 0,1 2 0,-16 0 0,1 0 0,0 1 0,1 0 0,2-1-288,7 0 0,0-1 1,3 0-1,-1 1 0,0 0 288,2 1 0,0 0 0,1 0 0,0 0 0,-1 0 0,2 0 0,-1-1 0,1 0 0,-1-1 0,0 2 0,-3 0 0,-1 0 0,1 1 0,1-1 0,1 0 0,-11-1 0,2-2 0,0 1 0,-2-1 0,11 3 0,-3 1 0,0 0 0,1-1 0,0 0 0,-11-1 0,0 0 0,1-1 0,-2 1 0,11 0 0,-2 1 0,0-1 0,-1 1 0,1 0 0,2-2 0,-1 0 0,1 0 0,1 1 0,-1-1 0,0 2 0,0-1 0,0 1 0,1-1 0,1 0 0,-15-2 0,2-2 0,0 1 0,-1-1-88,18 3 1,0 0-1,2 0 1,-1-1-1,3 1 88,-9-1 0,3-1 0,1 2 0,1-1 433,4 1 1,2 0 0,0 0 0,0 1-434,-19-2 0,1 1 0,3 2 711,14 1 1,2 0 0,1 1-712,2-1 0,0 0 0,4 1 1488,-10 1 1,7 0-1489,-24 0 2942,43 1-2942,24 0 2403,13 3-2403,4-1 1541,-6 5-1541,-7 1 0,-7 5 0,-8-2 0,-4 5 0,-7 0 0,-8 1 0,3-3 0,-12 4 0,9-3 0,-7 1 0,9-3 0,5-3 0,4 1 0,5-3 0,-2 1 0,7-4 0,-7 1 0,4-2 0,1-1 0,1-3 0,2 3 0,3-4 0,6 1 0,4-1 0,6 0 0,-3 1 0,-1-1 0,-4 2 0,-7-1 0,-11 1 0,-7 1 0,-8-2 0,8 2 0,5-3 0,1 3 0,4-2 0,28 0 0</inkml:trace>
</inkml: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4CE5-98D1-4245-85B3-0108AB3CA8A2}">
  <dimension ref="A1:M70"/>
  <sheetViews>
    <sheetView topLeftCell="A28" zoomScale="98" zoomScaleNormal="98" workbookViewId="0">
      <selection activeCell="D22" sqref="D22"/>
    </sheetView>
  </sheetViews>
  <sheetFormatPr baseColWidth="10" defaultRowHeight="16"/>
  <cols>
    <col min="2" max="2" width="26.33203125" customWidth="1"/>
    <col min="3" max="4" width="25" customWidth="1"/>
    <col min="6" max="6" width="20.33203125" customWidth="1"/>
    <col min="7" max="7" width="28" customWidth="1"/>
    <col min="8" max="8" width="14.5" customWidth="1"/>
    <col min="9" max="9" width="14.1640625" customWidth="1"/>
    <col min="10" max="10" width="16.1640625" customWidth="1"/>
    <col min="11" max="11" width="15.5" customWidth="1"/>
    <col min="12" max="12" width="14.33203125" customWidth="1"/>
  </cols>
  <sheetData>
    <row r="1" spans="2:13">
      <c r="C1" s="1" t="s">
        <v>15</v>
      </c>
      <c r="D1" s="1" t="s">
        <v>16</v>
      </c>
      <c r="F1" s="5"/>
      <c r="G1" s="162" t="s">
        <v>17</v>
      </c>
      <c r="H1" s="162"/>
      <c r="I1" s="162"/>
      <c r="J1" s="5"/>
      <c r="K1" s="162" t="s">
        <v>18</v>
      </c>
      <c r="L1" s="162"/>
      <c r="M1" s="162"/>
    </row>
    <row r="2" spans="2:13">
      <c r="B2" s="1"/>
      <c r="C2" s="1" t="s">
        <v>0</v>
      </c>
      <c r="D2" s="1" t="s">
        <v>1</v>
      </c>
      <c r="F2" s="22" t="s">
        <v>42</v>
      </c>
      <c r="G2" s="6"/>
      <c r="H2" s="7">
        <v>2019</v>
      </c>
      <c r="I2" s="8" t="s">
        <v>19</v>
      </c>
      <c r="J2" s="6"/>
      <c r="K2" s="9">
        <v>2020</v>
      </c>
      <c r="L2" s="9" t="s">
        <v>19</v>
      </c>
      <c r="M2" s="9" t="s">
        <v>20</v>
      </c>
    </row>
    <row r="3" spans="2:13">
      <c r="B3" s="1"/>
      <c r="C3" s="1"/>
      <c r="D3" s="1"/>
      <c r="F3" s="5"/>
      <c r="G3" s="10" t="s">
        <v>21</v>
      </c>
      <c r="H3" s="11">
        <v>2500000</v>
      </c>
      <c r="I3" s="12">
        <f>H3/H3</f>
        <v>1</v>
      </c>
      <c r="J3" s="10"/>
      <c r="K3" s="11">
        <v>3500000</v>
      </c>
      <c r="L3" s="12">
        <f>K3/K3</f>
        <v>1</v>
      </c>
      <c r="M3" s="13"/>
    </row>
    <row r="4" spans="2:13">
      <c r="B4" s="1" t="s">
        <v>2</v>
      </c>
      <c r="C4" s="2">
        <v>20000</v>
      </c>
      <c r="D4" s="1" t="s">
        <v>11</v>
      </c>
      <c r="F4" s="23" t="s">
        <v>43</v>
      </c>
      <c r="G4" s="5" t="s">
        <v>22</v>
      </c>
      <c r="H4" s="14">
        <v>1450000</v>
      </c>
      <c r="I4" s="24">
        <f>H4/H3</f>
        <v>0.57999999999999996</v>
      </c>
      <c r="J4" s="5"/>
      <c r="K4" s="14">
        <f>K3*0.58</f>
        <v>2029999.9999999998</v>
      </c>
      <c r="L4" s="24">
        <f>K4/K3</f>
        <v>0.57999999999999996</v>
      </c>
      <c r="M4" s="16"/>
    </row>
    <row r="5" spans="2:13">
      <c r="B5" s="1" t="s">
        <v>3</v>
      </c>
      <c r="C5" s="2">
        <v>8900</v>
      </c>
      <c r="D5" s="1" t="s">
        <v>12</v>
      </c>
      <c r="F5" s="23" t="s">
        <v>43</v>
      </c>
      <c r="G5" s="5" t="s">
        <v>23</v>
      </c>
      <c r="H5" s="14">
        <v>140000</v>
      </c>
      <c r="I5" s="24">
        <f>H5/H3</f>
        <v>5.6000000000000001E-2</v>
      </c>
      <c r="J5" s="5"/>
      <c r="K5" s="14">
        <f>K3*0.056</f>
        <v>196000</v>
      </c>
      <c r="L5" s="24">
        <f>K5/K3</f>
        <v>5.6000000000000001E-2</v>
      </c>
      <c r="M5" s="16"/>
    </row>
    <row r="6" spans="2:13">
      <c r="B6" s="1"/>
      <c r="C6" s="1"/>
      <c r="D6" s="1"/>
      <c r="F6" s="23" t="s">
        <v>43</v>
      </c>
      <c r="G6" s="5" t="s">
        <v>24</v>
      </c>
      <c r="H6" s="14">
        <v>35000</v>
      </c>
      <c r="I6" s="24">
        <f>H6/H3</f>
        <v>1.4E-2</v>
      </c>
      <c r="J6" s="5"/>
      <c r="K6" s="14">
        <f>K3*0.014</f>
        <v>49000</v>
      </c>
      <c r="L6" s="24">
        <f>K6/K3</f>
        <v>1.4E-2</v>
      </c>
      <c r="M6" s="16"/>
    </row>
    <row r="7" spans="2:13">
      <c r="B7" s="3" t="s">
        <v>4</v>
      </c>
      <c r="C7" s="4">
        <f>C4-C5</f>
        <v>11100</v>
      </c>
      <c r="D7" s="4">
        <f>C4-C5</f>
        <v>11100</v>
      </c>
      <c r="F7" s="6"/>
      <c r="G7" s="10" t="s">
        <v>4</v>
      </c>
      <c r="H7" s="11">
        <f>H3-(H4+H5+H6)</f>
        <v>875000</v>
      </c>
      <c r="I7" s="12">
        <f>H7/H3</f>
        <v>0.35</v>
      </c>
      <c r="J7" s="10"/>
      <c r="K7" s="11">
        <f>K3-(K4+K5+K6)</f>
        <v>1225000</v>
      </c>
      <c r="L7" s="12">
        <f>K7/K3</f>
        <v>0.35</v>
      </c>
      <c r="M7" s="13"/>
    </row>
    <row r="8" spans="2:13">
      <c r="B8" s="1"/>
      <c r="C8" s="1"/>
      <c r="D8" s="1"/>
      <c r="F8" s="23" t="s">
        <v>44</v>
      </c>
      <c r="G8" s="5" t="s">
        <v>25</v>
      </c>
      <c r="H8" s="14">
        <v>80000</v>
      </c>
      <c r="I8" s="15">
        <f>H8/H3</f>
        <v>3.2000000000000001E-2</v>
      </c>
      <c r="J8" s="5"/>
      <c r="K8" s="14">
        <f>H8</f>
        <v>80000</v>
      </c>
      <c r="L8" s="15">
        <f>K8/K3</f>
        <v>2.2857142857142857E-2</v>
      </c>
      <c r="M8" s="16"/>
    </row>
    <row r="9" spans="2:13">
      <c r="B9" s="1" t="s">
        <v>5</v>
      </c>
      <c r="C9" s="2">
        <v>5000</v>
      </c>
      <c r="D9" s="1" t="s">
        <v>13</v>
      </c>
      <c r="F9" s="23" t="s">
        <v>44</v>
      </c>
      <c r="G9" s="5" t="s">
        <v>26</v>
      </c>
      <c r="H9" s="14">
        <v>45000</v>
      </c>
      <c r="I9" s="15">
        <f>H9/H3</f>
        <v>1.7999999999999999E-2</v>
      </c>
      <c r="J9" s="5"/>
      <c r="K9" s="17">
        <f>H9+H9*0.06</f>
        <v>47700</v>
      </c>
      <c r="L9" s="15">
        <f>K9/K3</f>
        <v>1.3628571428571429E-2</v>
      </c>
      <c r="M9" s="18">
        <f t="shared" ref="M9:M20" si="0">(K9/H9)-1</f>
        <v>6.0000000000000053E-2</v>
      </c>
    </row>
    <row r="10" spans="2:13">
      <c r="B10" s="1"/>
      <c r="C10" s="1"/>
      <c r="D10" s="1"/>
      <c r="F10" s="23" t="s">
        <v>44</v>
      </c>
      <c r="G10" s="5" t="s">
        <v>27</v>
      </c>
      <c r="H10" s="14">
        <v>50000</v>
      </c>
      <c r="I10" s="15">
        <f>H10/H3</f>
        <v>0.02</v>
      </c>
      <c r="J10" s="5"/>
      <c r="K10" s="14">
        <f>H10</f>
        <v>50000</v>
      </c>
      <c r="L10" s="15">
        <f>K10/K3</f>
        <v>1.4285714285714285E-2</v>
      </c>
      <c r="M10" s="16"/>
    </row>
    <row r="11" spans="2:13">
      <c r="B11" s="3" t="s">
        <v>6</v>
      </c>
      <c r="C11" s="4">
        <f>C7-C9</f>
        <v>6100</v>
      </c>
      <c r="D11" s="4">
        <f>C11</f>
        <v>6100</v>
      </c>
      <c r="F11" s="23" t="s">
        <v>44</v>
      </c>
      <c r="G11" s="5" t="s">
        <v>28</v>
      </c>
      <c r="H11" s="14">
        <v>15000</v>
      </c>
      <c r="I11" s="15">
        <f>H11/H3</f>
        <v>6.0000000000000001E-3</v>
      </c>
      <c r="J11" s="5"/>
      <c r="K11" s="17">
        <f>H11+H11*0.03</f>
        <v>15450</v>
      </c>
      <c r="L11" s="15">
        <f>K11/K3</f>
        <v>4.4142857142857143E-3</v>
      </c>
      <c r="M11" s="18">
        <f t="shared" si="0"/>
        <v>3.0000000000000027E-2</v>
      </c>
    </row>
    <row r="12" spans="2:13">
      <c r="B12" s="1"/>
      <c r="C12" s="1"/>
      <c r="D12" s="1"/>
      <c r="F12" s="23" t="s">
        <v>44</v>
      </c>
      <c r="G12" s="5" t="s">
        <v>29</v>
      </c>
      <c r="H12" s="14">
        <v>4000</v>
      </c>
      <c r="I12" s="15">
        <f>H12/H3</f>
        <v>1.6000000000000001E-3</v>
      </c>
      <c r="J12" s="5"/>
      <c r="K12" s="14">
        <f>H12</f>
        <v>4000</v>
      </c>
      <c r="L12" s="15">
        <f>K12/K3</f>
        <v>1.1428571428571429E-3</v>
      </c>
      <c r="M12" s="16"/>
    </row>
    <row r="13" spans="2:13">
      <c r="B13" s="1" t="s">
        <v>7</v>
      </c>
      <c r="C13" s="2">
        <v>2000</v>
      </c>
      <c r="D13" s="1"/>
      <c r="F13" s="23" t="s">
        <v>44</v>
      </c>
      <c r="G13" s="5" t="s">
        <v>30</v>
      </c>
      <c r="H13" s="14">
        <v>15000</v>
      </c>
      <c r="I13" s="15">
        <f>H13/H3</f>
        <v>6.0000000000000001E-3</v>
      </c>
      <c r="J13" s="5"/>
      <c r="K13" s="14">
        <f>H13</f>
        <v>15000</v>
      </c>
      <c r="L13" s="15">
        <f>K13/K3</f>
        <v>4.2857142857142859E-3</v>
      </c>
      <c r="M13" s="16"/>
    </row>
    <row r="14" spans="2:13">
      <c r="B14" s="1"/>
      <c r="C14" s="1"/>
      <c r="D14" s="1"/>
      <c r="F14" s="23" t="s">
        <v>44</v>
      </c>
      <c r="G14" s="5" t="s">
        <v>31</v>
      </c>
      <c r="H14" s="14">
        <v>30000</v>
      </c>
      <c r="I14" s="15">
        <f>H14/H3</f>
        <v>1.2E-2</v>
      </c>
      <c r="J14" s="5"/>
      <c r="K14" s="14">
        <f>H14</f>
        <v>30000</v>
      </c>
      <c r="L14" s="15">
        <f>K14/K3</f>
        <v>8.5714285714285719E-3</v>
      </c>
      <c r="M14" s="16"/>
    </row>
    <row r="15" spans="2:13">
      <c r="B15" s="3" t="s">
        <v>8</v>
      </c>
      <c r="C15" s="4">
        <f>C11-C13</f>
        <v>4100</v>
      </c>
      <c r="D15" s="1"/>
      <c r="F15" s="23" t="s">
        <v>44</v>
      </c>
      <c r="G15" s="5" t="s">
        <v>32</v>
      </c>
      <c r="H15" s="14">
        <v>14000</v>
      </c>
      <c r="I15" s="15">
        <f>H15/H3</f>
        <v>5.5999999999999999E-3</v>
      </c>
      <c r="J15" s="5"/>
      <c r="K15" s="14">
        <f>H15</f>
        <v>14000</v>
      </c>
      <c r="L15" s="15">
        <f>K15/K3</f>
        <v>4.0000000000000001E-3</v>
      </c>
      <c r="M15" s="16"/>
    </row>
    <row r="16" spans="2:13">
      <c r="B16" s="1"/>
      <c r="C16" s="1"/>
      <c r="D16" s="1"/>
      <c r="F16" s="6"/>
      <c r="G16" s="10" t="s">
        <v>33</v>
      </c>
      <c r="H16" s="11">
        <f>H7-(H8+H9+H10+H11+H12+H13+H14+H15)</f>
        <v>622000</v>
      </c>
      <c r="I16" s="12">
        <f>H16/H3</f>
        <v>0.24879999999999999</v>
      </c>
      <c r="J16" s="10"/>
      <c r="K16" s="11">
        <f>K7-(K8+K9+K10+K11+K12+K13+K14+K15)</f>
        <v>968850</v>
      </c>
      <c r="L16" s="12">
        <f>K16/K3</f>
        <v>0.27681428571428573</v>
      </c>
      <c r="M16" s="13"/>
    </row>
    <row r="17" spans="2:13">
      <c r="B17" s="1" t="s">
        <v>9</v>
      </c>
      <c r="C17" s="2">
        <v>3000</v>
      </c>
      <c r="D17" s="1" t="s">
        <v>14</v>
      </c>
      <c r="F17" s="23" t="s">
        <v>44</v>
      </c>
      <c r="G17" s="5" t="s">
        <v>34</v>
      </c>
      <c r="H17" s="14">
        <v>30000</v>
      </c>
      <c r="I17" s="15">
        <f>H17/H3</f>
        <v>1.2E-2</v>
      </c>
      <c r="J17" s="5"/>
      <c r="K17" s="14">
        <f>H17</f>
        <v>30000</v>
      </c>
      <c r="L17" s="15">
        <f>K17/K3</f>
        <v>8.5714285714285719E-3</v>
      </c>
      <c r="M17" s="16"/>
    </row>
    <row r="18" spans="2:13">
      <c r="B18" s="1"/>
      <c r="C18" s="1"/>
      <c r="D18" s="1"/>
      <c r="F18" s="23" t="s">
        <v>44</v>
      </c>
      <c r="G18" s="5" t="s">
        <v>35</v>
      </c>
      <c r="H18" s="14">
        <v>3000</v>
      </c>
      <c r="I18" s="15">
        <f>H18/H3</f>
        <v>1.1999999999999999E-3</v>
      </c>
      <c r="J18" s="5"/>
      <c r="K18" s="21">
        <f>H18+H18*0.5</f>
        <v>4500</v>
      </c>
      <c r="L18" s="15">
        <f>K18/K3</f>
        <v>1.2857142857142856E-3</v>
      </c>
      <c r="M18" s="18">
        <v>0.5</v>
      </c>
    </row>
    <row r="19" spans="2:13">
      <c r="B19" s="3" t="s">
        <v>10</v>
      </c>
      <c r="C19" s="4">
        <f>C15-C17</f>
        <v>1100</v>
      </c>
      <c r="D19" s="4">
        <f>D11-C17</f>
        <v>3100</v>
      </c>
      <c r="F19" s="6"/>
      <c r="G19" s="10" t="s">
        <v>36</v>
      </c>
      <c r="H19" s="11">
        <f>H16-(H17+H18)</f>
        <v>589000</v>
      </c>
      <c r="I19" s="12">
        <f>H19/H3</f>
        <v>0.2356</v>
      </c>
      <c r="J19" s="10"/>
      <c r="K19" s="11">
        <f>K16-(K17+K18)</f>
        <v>934350</v>
      </c>
      <c r="L19" s="12">
        <f>K19/K3</f>
        <v>0.26695714285714284</v>
      </c>
      <c r="M19" s="13"/>
    </row>
    <row r="20" spans="2:13">
      <c r="F20" s="23" t="s">
        <v>44</v>
      </c>
      <c r="G20" s="5" t="s">
        <v>37</v>
      </c>
      <c r="H20" s="14">
        <v>300000</v>
      </c>
      <c r="I20" s="15">
        <f>H20/H3</f>
        <v>0.12</v>
      </c>
      <c r="J20" s="5"/>
      <c r="K20" s="17">
        <f>H20+H20*10%</f>
        <v>330000</v>
      </c>
      <c r="L20" s="15">
        <f>K20/K3</f>
        <v>9.4285714285714292E-2</v>
      </c>
      <c r="M20" s="18">
        <f t="shared" si="0"/>
        <v>0.10000000000000009</v>
      </c>
    </row>
    <row r="21" spans="2:13">
      <c r="F21" s="6"/>
      <c r="G21" s="10" t="s">
        <v>38</v>
      </c>
      <c r="H21" s="11">
        <f>H19-H20</f>
        <v>289000</v>
      </c>
      <c r="I21" s="12">
        <f>H21/H3</f>
        <v>0.11559999999999999</v>
      </c>
      <c r="J21" s="10"/>
      <c r="K21" s="11">
        <f>K19-K20</f>
        <v>604350</v>
      </c>
      <c r="L21" s="12">
        <f>K21/K3</f>
        <v>0.17267142857142856</v>
      </c>
      <c r="M21" s="13"/>
    </row>
    <row r="22" spans="2:13">
      <c r="F22" s="23" t="s">
        <v>44</v>
      </c>
      <c r="G22" s="5" t="s">
        <v>39</v>
      </c>
      <c r="H22" s="14">
        <v>4000</v>
      </c>
      <c r="I22" s="15">
        <f>H22/H3</f>
        <v>1.6000000000000001E-3</v>
      </c>
      <c r="J22" s="5"/>
      <c r="K22" s="14">
        <f>H22</f>
        <v>4000</v>
      </c>
      <c r="L22" s="15">
        <f>K22/K3</f>
        <v>1.1428571428571429E-3</v>
      </c>
      <c r="M22" s="16"/>
    </row>
    <row r="23" spans="2:13">
      <c r="F23" s="6"/>
      <c r="G23" s="10" t="s">
        <v>40</v>
      </c>
      <c r="H23" s="11">
        <f>H21-H22</f>
        <v>285000</v>
      </c>
      <c r="I23" s="12">
        <f>H23/H3</f>
        <v>0.114</v>
      </c>
      <c r="J23" s="10"/>
      <c r="K23" s="11">
        <f>K21-K22</f>
        <v>600350</v>
      </c>
      <c r="L23" s="12">
        <f>K23/K3</f>
        <v>0.17152857142857142</v>
      </c>
      <c r="M23" s="13"/>
    </row>
    <row r="24" spans="2:13">
      <c r="F24" s="23" t="s">
        <v>44</v>
      </c>
      <c r="G24" s="5" t="s">
        <v>9</v>
      </c>
      <c r="H24" s="14">
        <v>2600</v>
      </c>
      <c r="I24" s="15">
        <f>H24/H3</f>
        <v>1.0399999999999999E-3</v>
      </c>
      <c r="J24" s="5"/>
      <c r="K24" s="14">
        <f>H24</f>
        <v>2600</v>
      </c>
      <c r="L24" s="15">
        <f>K24/K3</f>
        <v>7.4285714285714287E-4</v>
      </c>
      <c r="M24" s="16"/>
    </row>
    <row r="25" spans="2:13">
      <c r="F25" s="6"/>
      <c r="G25" s="10" t="s">
        <v>41</v>
      </c>
      <c r="H25" s="19">
        <f>H23-H24</f>
        <v>282400</v>
      </c>
      <c r="I25" s="12">
        <f>H25/H3</f>
        <v>0.11296</v>
      </c>
      <c r="J25" s="10"/>
      <c r="K25" s="20">
        <f>K23-K24</f>
        <v>597750</v>
      </c>
      <c r="L25" s="12">
        <f>K25/K3</f>
        <v>0.17078571428571429</v>
      </c>
      <c r="M25" s="13"/>
    </row>
    <row r="28" spans="2:13">
      <c r="G28" s="1">
        <v>2020</v>
      </c>
      <c r="H28" s="1">
        <v>2020</v>
      </c>
    </row>
    <row r="29" spans="2:13">
      <c r="G29" s="43" t="s">
        <v>45</v>
      </c>
      <c r="H29" s="43" t="s">
        <v>46</v>
      </c>
      <c r="J29" s="43" t="s">
        <v>49</v>
      </c>
      <c r="K29" s="5"/>
    </row>
    <row r="30" spans="2:13">
      <c r="D30" s="5" t="s">
        <v>58</v>
      </c>
      <c r="E30" s="5"/>
      <c r="F30" s="27" t="s">
        <v>47</v>
      </c>
      <c r="G30" s="25">
        <v>0.78</v>
      </c>
      <c r="H30" s="25">
        <v>0.22</v>
      </c>
      <c r="J30" s="1"/>
      <c r="K30" s="5"/>
    </row>
    <row r="31" spans="2:13">
      <c r="G31" s="28">
        <f>K3*0.78</f>
        <v>2730000</v>
      </c>
      <c r="H31" s="28">
        <f>K3*0.22</f>
        <v>770000</v>
      </c>
      <c r="J31" s="29">
        <f>H31+G31</f>
        <v>3500000</v>
      </c>
      <c r="K31" s="33">
        <f>J31/J31</f>
        <v>1</v>
      </c>
    </row>
    <row r="32" spans="2:13">
      <c r="J32" s="1"/>
      <c r="K32" s="5"/>
    </row>
    <row r="33" spans="6:11">
      <c r="F33" s="31" t="s">
        <v>48</v>
      </c>
      <c r="G33" s="25">
        <v>0.32</v>
      </c>
      <c r="H33" s="26">
        <v>0.45500000000000002</v>
      </c>
      <c r="J33" s="1"/>
      <c r="K33" s="5"/>
    </row>
    <row r="34" spans="6:11">
      <c r="G34" s="32">
        <f>G31*0.32</f>
        <v>873600</v>
      </c>
      <c r="H34" s="32">
        <f>H31*0.455</f>
        <v>350350</v>
      </c>
      <c r="J34" s="32">
        <f>G34+H34</f>
        <v>1223950</v>
      </c>
      <c r="K34" s="34">
        <f>J34/J31</f>
        <v>0.34970000000000001</v>
      </c>
    </row>
    <row r="36" spans="6:11">
      <c r="F36" s="23" t="s">
        <v>50</v>
      </c>
      <c r="G36" s="23"/>
      <c r="H36" s="23"/>
      <c r="I36" s="23"/>
      <c r="J36" s="23">
        <f>1422750</f>
        <v>1422750</v>
      </c>
    </row>
    <row r="39" spans="6:11">
      <c r="F39" s="37" t="s">
        <v>51</v>
      </c>
      <c r="G39" s="35">
        <f>J36/K34</f>
        <v>4068487.2748069772</v>
      </c>
    </row>
    <row r="41" spans="6:11">
      <c r="F41" s="37" t="s">
        <v>52</v>
      </c>
      <c r="G41" s="36">
        <f>G39*G30</f>
        <v>3173420.0743494425</v>
      </c>
    </row>
    <row r="42" spans="6:11">
      <c r="F42" s="37" t="s">
        <v>53</v>
      </c>
      <c r="G42" s="35">
        <f>G39*H30</f>
        <v>895067.20045753499</v>
      </c>
    </row>
    <row r="44" spans="6:11">
      <c r="F44" s="38" t="s">
        <v>54</v>
      </c>
      <c r="G44" s="42">
        <f>K25+K20</f>
        <v>927750</v>
      </c>
      <c r="H44" s="30" t="s">
        <v>57</v>
      </c>
      <c r="I44" s="30"/>
      <c r="J44" s="30"/>
    </row>
    <row r="46" spans="6:11">
      <c r="F46" s="39" t="s">
        <v>55</v>
      </c>
      <c r="G46" s="40">
        <f>K20</f>
        <v>330000</v>
      </c>
    </row>
    <row r="47" spans="6:11">
      <c r="F47" s="41" t="s">
        <v>56</v>
      </c>
      <c r="G47" s="41"/>
    </row>
    <row r="52" spans="1:10">
      <c r="B52" s="44" t="s">
        <v>59</v>
      </c>
    </row>
    <row r="53" spans="1:10">
      <c r="B53" s="45" t="s">
        <v>60</v>
      </c>
      <c r="C53" s="45">
        <v>3300</v>
      </c>
    </row>
    <row r="54" spans="1:10">
      <c r="F54" s="1" t="s">
        <v>75</v>
      </c>
      <c r="H54" s="23" t="s">
        <v>61</v>
      </c>
    </row>
    <row r="55" spans="1:10">
      <c r="B55" s="23" t="s">
        <v>62</v>
      </c>
      <c r="C55" s="23">
        <v>1300</v>
      </c>
      <c r="F55" s="23">
        <v>2000</v>
      </c>
      <c r="H55" s="23">
        <f>+F55-C55</f>
        <v>700</v>
      </c>
      <c r="I55" s="46">
        <f>+H55/C55</f>
        <v>0.53846153846153844</v>
      </c>
    </row>
    <row r="57" spans="1:10">
      <c r="B57" s="6" t="s">
        <v>63</v>
      </c>
      <c r="C57" s="5">
        <v>1200</v>
      </c>
      <c r="F57" s="14">
        <f>(C57*F55)/C55</f>
        <v>1846.1538461538462</v>
      </c>
    </row>
    <row r="58" spans="1:10">
      <c r="B58" s="47"/>
    </row>
    <row r="59" spans="1:10">
      <c r="A59" s="48" t="s">
        <v>43</v>
      </c>
      <c r="B59" s="6" t="s">
        <v>64</v>
      </c>
      <c r="C59" s="5">
        <f>+C57*D59</f>
        <v>456</v>
      </c>
      <c r="D59" s="25">
        <v>0.38</v>
      </c>
      <c r="F59" s="14">
        <f>+F57*D59</f>
        <v>701.53846153846155</v>
      </c>
      <c r="G59" s="25">
        <v>0.38</v>
      </c>
    </row>
    <row r="60" spans="1:10">
      <c r="A60" s="48" t="s">
        <v>43</v>
      </c>
      <c r="B60" s="6" t="s">
        <v>65</v>
      </c>
      <c r="C60" s="5">
        <f>+C57*D60</f>
        <v>36</v>
      </c>
      <c r="D60" s="25">
        <v>0.03</v>
      </c>
      <c r="F60" s="14">
        <f>F57*D60</f>
        <v>55.384615384615387</v>
      </c>
      <c r="G60" s="25">
        <v>0.03</v>
      </c>
    </row>
    <row r="61" spans="1:10">
      <c r="A61" s="50"/>
      <c r="B61" s="10" t="s">
        <v>66</v>
      </c>
      <c r="C61" s="30">
        <f>+C57-C59-C60</f>
        <v>708</v>
      </c>
      <c r="D61" s="49"/>
      <c r="F61" s="51">
        <f>+F57-F59-F60</f>
        <v>1089.2307692307693</v>
      </c>
    </row>
    <row r="62" spans="1:10">
      <c r="A62" s="48" t="s">
        <v>67</v>
      </c>
      <c r="B62" s="52" t="s">
        <v>68</v>
      </c>
      <c r="C62" s="44">
        <v>10</v>
      </c>
      <c r="F62" s="53">
        <v>20</v>
      </c>
    </row>
    <row r="63" spans="1:10">
      <c r="A63" s="54"/>
      <c r="B63" s="6"/>
      <c r="C63" s="5"/>
      <c r="F63" s="14"/>
      <c r="H63" s="5" t="s">
        <v>76</v>
      </c>
      <c r="I63" s="5"/>
      <c r="J63" s="5"/>
    </row>
    <row r="64" spans="1:10">
      <c r="A64" s="50"/>
      <c r="B64" s="10" t="s">
        <v>69</v>
      </c>
      <c r="C64" s="30">
        <f>+C61-C62</f>
        <v>698</v>
      </c>
      <c r="F64" s="51">
        <f>+F61-F62</f>
        <v>1069.2307692307693</v>
      </c>
      <c r="H64" s="58">
        <f>+F64-C64</f>
        <v>371.23076923076928</v>
      </c>
      <c r="I64" s="59">
        <f>+H64/C64</f>
        <v>0.53184923958562935</v>
      </c>
    </row>
    <row r="65" spans="1:9">
      <c r="A65" s="48" t="s">
        <v>44</v>
      </c>
      <c r="B65" s="6" t="s">
        <v>70</v>
      </c>
      <c r="C65" s="5">
        <v>150</v>
      </c>
      <c r="F65" s="14">
        <v>150</v>
      </c>
      <c r="H65" s="5"/>
      <c r="I65" s="5"/>
    </row>
    <row r="66" spans="1:9">
      <c r="A66" s="50"/>
      <c r="B66" s="10" t="s">
        <v>71</v>
      </c>
      <c r="C66" s="30">
        <f>+C64-C65</f>
        <v>548</v>
      </c>
      <c r="F66" s="51">
        <f>+F64-F65</f>
        <v>919.23076923076928</v>
      </c>
      <c r="H66" s="56">
        <f>+F66-C66</f>
        <v>371.23076923076928</v>
      </c>
      <c r="I66" s="57">
        <f>+H66/C66</f>
        <v>0.67742841100505347</v>
      </c>
    </row>
    <row r="67" spans="1:9">
      <c r="A67" s="48" t="s">
        <v>44</v>
      </c>
      <c r="B67" s="6" t="s">
        <v>72</v>
      </c>
      <c r="C67" s="5">
        <v>35</v>
      </c>
      <c r="F67" s="14">
        <v>35</v>
      </c>
      <c r="H67" s="5"/>
      <c r="I67" s="5"/>
    </row>
    <row r="68" spans="1:9">
      <c r="A68" s="50"/>
      <c r="B68" s="10" t="s">
        <v>73</v>
      </c>
      <c r="C68" s="30">
        <f>+C66-C67</f>
        <v>513</v>
      </c>
      <c r="F68" s="51">
        <f>+F66-F67</f>
        <v>884.23076923076928</v>
      </c>
      <c r="H68" s="56">
        <f>+F68-C68</f>
        <v>371.23076923076928</v>
      </c>
      <c r="I68" s="57">
        <f>+H68/C68</f>
        <v>0.72364672364672378</v>
      </c>
    </row>
    <row r="69" spans="1:9">
      <c r="B69" s="6"/>
      <c r="C69" s="5"/>
      <c r="F69" s="5"/>
    </row>
    <row r="70" spans="1:9">
      <c r="B70" s="6" t="s">
        <v>74</v>
      </c>
      <c r="C70" s="55">
        <f>+C61/C68</f>
        <v>1.3801169590643274</v>
      </c>
      <c r="F70" s="55">
        <f>+F61/F68</f>
        <v>1.2318399304045238</v>
      </c>
    </row>
  </sheetData>
  <mergeCells count="2">
    <mergeCell ref="G1:I1"/>
    <mergeCell ref="K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2A12-2C9A-F34F-90BE-D703C35A5286}">
  <dimension ref="A2:I78"/>
  <sheetViews>
    <sheetView topLeftCell="A42" workbookViewId="0">
      <selection activeCell="J70" sqref="J70"/>
    </sheetView>
  </sheetViews>
  <sheetFormatPr baseColWidth="10" defaultRowHeight="16"/>
  <cols>
    <col min="3" max="3" width="16" customWidth="1"/>
    <col min="6" max="6" width="13" customWidth="1"/>
  </cols>
  <sheetData>
    <row r="2" spans="1:9">
      <c r="B2" s="72" t="s">
        <v>255</v>
      </c>
      <c r="C2" s="72"/>
      <c r="D2" s="143"/>
    </row>
    <row r="3" spans="1:9">
      <c r="B3" s="6" t="s">
        <v>256</v>
      </c>
      <c r="C3" s="6"/>
      <c r="D3" s="146">
        <v>2017</v>
      </c>
    </row>
    <row r="4" spans="1:9">
      <c r="D4" s="143"/>
    </row>
    <row r="5" spans="1:9">
      <c r="B5" s="6" t="s">
        <v>257</v>
      </c>
      <c r="C5" s="6"/>
      <c r="D5" s="114">
        <v>5300</v>
      </c>
    </row>
    <row r="6" spans="1:9">
      <c r="D6" s="143"/>
      <c r="F6" s="5" t="s">
        <v>280</v>
      </c>
      <c r="G6" s="117">
        <f>D15+D16+D17+D18+D21+D22+D25+D26+D29</f>
        <v>630</v>
      </c>
    </row>
    <row r="7" spans="1:9">
      <c r="A7" s="5" t="s">
        <v>43</v>
      </c>
      <c r="B7" s="5" t="s">
        <v>258</v>
      </c>
      <c r="C7" s="5"/>
      <c r="D7" s="14">
        <v>3500</v>
      </c>
      <c r="F7" s="5" t="s">
        <v>281</v>
      </c>
      <c r="G7" s="145">
        <f>G6/D14</f>
        <v>4452</v>
      </c>
    </row>
    <row r="8" spans="1:9">
      <c r="A8" s="5" t="s">
        <v>43</v>
      </c>
      <c r="B8" s="5" t="s">
        <v>259</v>
      </c>
      <c r="C8" s="5"/>
      <c r="D8" s="14">
        <v>600</v>
      </c>
    </row>
    <row r="9" spans="1:9">
      <c r="A9" s="5" t="s">
        <v>43</v>
      </c>
      <c r="B9" s="5" t="s">
        <v>260</v>
      </c>
      <c r="C9" s="5"/>
      <c r="D9" s="14">
        <v>100</v>
      </c>
      <c r="F9" s="72" t="s">
        <v>282</v>
      </c>
      <c r="G9" s="72">
        <f>D13/D27</f>
        <v>4.6875</v>
      </c>
    </row>
    <row r="10" spans="1:9">
      <c r="A10" s="5" t="s">
        <v>43</v>
      </c>
      <c r="B10" s="5" t="s">
        <v>261</v>
      </c>
      <c r="C10" s="5"/>
      <c r="D10" s="14">
        <v>50</v>
      </c>
      <c r="F10" s="5" t="s">
        <v>283</v>
      </c>
      <c r="G10" s="5"/>
      <c r="H10" s="5"/>
      <c r="I10" s="5"/>
    </row>
    <row r="11" spans="1:9">
      <c r="A11" s="5" t="s">
        <v>43</v>
      </c>
      <c r="B11" s="5" t="s">
        <v>262</v>
      </c>
      <c r="C11" s="5"/>
      <c r="D11" s="14">
        <v>300</v>
      </c>
    </row>
    <row r="12" spans="1:9">
      <c r="B12" s="6" t="s">
        <v>263</v>
      </c>
      <c r="C12" s="6"/>
      <c r="D12" s="114">
        <f>D7+D8+D9+D10+D11</f>
        <v>4550</v>
      </c>
    </row>
    <row r="13" spans="1:9">
      <c r="B13" s="147" t="s">
        <v>264</v>
      </c>
      <c r="C13" s="147"/>
      <c r="D13" s="148">
        <f>D5-D12</f>
        <v>750</v>
      </c>
    </row>
    <row r="14" spans="1:9">
      <c r="B14" s="149" t="s">
        <v>265</v>
      </c>
      <c r="C14" s="149"/>
      <c r="D14" s="150">
        <f>+D13/D5</f>
        <v>0.14150943396226415</v>
      </c>
    </row>
    <row r="15" spans="1:9">
      <c r="A15" s="5" t="s">
        <v>44</v>
      </c>
      <c r="B15" s="5" t="s">
        <v>225</v>
      </c>
      <c r="C15" s="5"/>
      <c r="D15" s="14">
        <v>20</v>
      </c>
    </row>
    <row r="16" spans="1:9">
      <c r="A16" s="5" t="s">
        <v>44</v>
      </c>
      <c r="B16" s="5" t="s">
        <v>266</v>
      </c>
      <c r="C16" s="5"/>
      <c r="D16" s="14">
        <v>40</v>
      </c>
    </row>
    <row r="17" spans="1:4">
      <c r="A17" s="5" t="s">
        <v>44</v>
      </c>
      <c r="B17" s="5" t="s">
        <v>267</v>
      </c>
      <c r="C17" s="5"/>
      <c r="D17" s="14">
        <v>50</v>
      </c>
    </row>
    <row r="18" spans="1:4">
      <c r="A18" s="5" t="s">
        <v>44</v>
      </c>
      <c r="B18" s="5" t="s">
        <v>268</v>
      </c>
      <c r="C18" s="5"/>
      <c r="D18" s="14">
        <v>50</v>
      </c>
    </row>
    <row r="19" spans="1:4">
      <c r="B19" s="147" t="s">
        <v>69</v>
      </c>
      <c r="C19" s="147"/>
      <c r="D19" s="148">
        <f>D13-(D15+D16+D17+D18)</f>
        <v>590</v>
      </c>
    </row>
    <row r="20" spans="1:4">
      <c r="B20" s="149" t="s">
        <v>269</v>
      </c>
      <c r="C20" s="149"/>
      <c r="D20" s="150">
        <f>+D19/D5</f>
        <v>0.11132075471698114</v>
      </c>
    </row>
    <row r="21" spans="1:4">
      <c r="A21" s="5" t="s">
        <v>44</v>
      </c>
      <c r="B21" s="5" t="s">
        <v>270</v>
      </c>
      <c r="C21" s="5"/>
      <c r="D21" s="14">
        <v>200</v>
      </c>
    </row>
    <row r="22" spans="1:4">
      <c r="A22" s="5" t="s">
        <v>44</v>
      </c>
      <c r="B22" s="5" t="s">
        <v>271</v>
      </c>
      <c r="C22" s="5"/>
      <c r="D22" s="14">
        <v>150</v>
      </c>
    </row>
    <row r="23" spans="1:4">
      <c r="B23" s="147" t="s">
        <v>71</v>
      </c>
      <c r="C23" s="147"/>
      <c r="D23" s="148">
        <f>D19-(D21+D22)</f>
        <v>240</v>
      </c>
    </row>
    <row r="24" spans="1:4">
      <c r="B24" s="149" t="s">
        <v>272</v>
      </c>
      <c r="C24" s="149"/>
      <c r="D24" s="150">
        <f>+D23/D5</f>
        <v>4.5283018867924525E-2</v>
      </c>
    </row>
    <row r="25" spans="1:4">
      <c r="A25" s="5" t="s">
        <v>44</v>
      </c>
      <c r="B25" s="5" t="s">
        <v>273</v>
      </c>
      <c r="C25" s="5"/>
      <c r="D25" s="53">
        <v>50</v>
      </c>
    </row>
    <row r="26" spans="1:4">
      <c r="A26" s="5" t="s">
        <v>44</v>
      </c>
      <c r="B26" s="5" t="s">
        <v>274</v>
      </c>
      <c r="C26" s="5"/>
      <c r="D26" s="53">
        <v>30</v>
      </c>
    </row>
    <row r="27" spans="1:4">
      <c r="B27" s="147" t="s">
        <v>275</v>
      </c>
      <c r="C27" s="147"/>
      <c r="D27" s="148">
        <f>D23-(D25+D26)</f>
        <v>160</v>
      </c>
    </row>
    <row r="28" spans="1:4">
      <c r="B28" s="149" t="s">
        <v>276</v>
      </c>
      <c r="C28" s="149"/>
      <c r="D28" s="150">
        <f>+D27/D5</f>
        <v>3.0188679245283019E-2</v>
      </c>
    </row>
    <row r="29" spans="1:4">
      <c r="A29" s="5" t="s">
        <v>44</v>
      </c>
      <c r="B29" s="5" t="s">
        <v>277</v>
      </c>
      <c r="C29" s="5"/>
      <c r="D29" s="14">
        <v>40</v>
      </c>
    </row>
    <row r="30" spans="1:4">
      <c r="B30" s="147" t="s">
        <v>278</v>
      </c>
      <c r="C30" s="147"/>
      <c r="D30" s="151">
        <f>D27-D29</f>
        <v>120</v>
      </c>
    </row>
    <row r="31" spans="1:4">
      <c r="B31" s="149" t="s">
        <v>279</v>
      </c>
      <c r="C31" s="149"/>
      <c r="D31" s="150">
        <f>+D30/D5</f>
        <v>2.2641509433962263E-2</v>
      </c>
    </row>
    <row r="34" spans="2:9">
      <c r="B34" s="27" t="s">
        <v>284</v>
      </c>
      <c r="C34" s="27"/>
      <c r="D34" s="135">
        <f>D30+D26+D25</f>
        <v>200</v>
      </c>
    </row>
    <row r="37" spans="2:9">
      <c r="B37" s="23" t="s">
        <v>118</v>
      </c>
      <c r="C37" s="23"/>
    </row>
    <row r="38" spans="2:9">
      <c r="D38" s="1">
        <v>2016</v>
      </c>
      <c r="E38" s="1">
        <v>2017</v>
      </c>
    </row>
    <row r="39" spans="2:9">
      <c r="C39" s="78" t="s">
        <v>285</v>
      </c>
      <c r="D39" s="152">
        <v>2000</v>
      </c>
      <c r="E39" s="152">
        <v>1920</v>
      </c>
    </row>
    <row r="40" spans="2:9">
      <c r="C40" s="78" t="s">
        <v>286</v>
      </c>
      <c r="D40" s="152">
        <v>1000</v>
      </c>
      <c r="E40" s="152">
        <v>1300</v>
      </c>
      <c r="F40" s="42">
        <f>D40-E40</f>
        <v>-300</v>
      </c>
      <c r="G40" s="154" t="s">
        <v>291</v>
      </c>
      <c r="H40" s="154"/>
      <c r="I40" s="154"/>
    </row>
    <row r="41" spans="2:9">
      <c r="C41" s="78" t="s">
        <v>287</v>
      </c>
      <c r="D41" s="152">
        <v>2000</v>
      </c>
      <c r="E41" s="152">
        <v>2100</v>
      </c>
      <c r="F41" s="42">
        <f>D41-E41</f>
        <v>-100</v>
      </c>
      <c r="G41" s="154" t="s">
        <v>291</v>
      </c>
      <c r="H41" s="154"/>
      <c r="I41" s="154"/>
    </row>
    <row r="42" spans="2:9">
      <c r="C42" s="78" t="s">
        <v>288</v>
      </c>
      <c r="D42" s="152">
        <v>-1600</v>
      </c>
      <c r="E42" s="152">
        <v>-1500</v>
      </c>
      <c r="F42" s="42">
        <f>D42-E42</f>
        <v>-100</v>
      </c>
      <c r="G42" s="154" t="s">
        <v>126</v>
      </c>
      <c r="H42" s="154"/>
      <c r="I42" s="154"/>
    </row>
    <row r="43" spans="2:9">
      <c r="C43" s="78" t="s">
        <v>289</v>
      </c>
      <c r="D43" s="152">
        <v>-600</v>
      </c>
      <c r="E43" s="152">
        <v>-600</v>
      </c>
    </row>
    <row r="44" spans="2:9">
      <c r="C44" s="153" t="s">
        <v>290</v>
      </c>
      <c r="D44" s="117">
        <f>D39+D40+D41+D42+D43</f>
        <v>2800</v>
      </c>
      <c r="E44" s="117">
        <f>E39+E40+E41+E42+E43</f>
        <v>3220</v>
      </c>
    </row>
    <row r="45" spans="2:9">
      <c r="D45" s="144"/>
    </row>
    <row r="47" spans="2:9">
      <c r="C47" s="30" t="s">
        <v>292</v>
      </c>
      <c r="D47" s="42">
        <f>F40+F41+F42</f>
        <v>-500</v>
      </c>
    </row>
    <row r="48" spans="2:9">
      <c r="C48" s="5" t="s">
        <v>293</v>
      </c>
      <c r="D48" s="117">
        <f>-(E39-D39)-(D25+D26)</f>
        <v>0</v>
      </c>
    </row>
    <row r="50" spans="2:8">
      <c r="C50" s="5" t="s">
        <v>294</v>
      </c>
      <c r="D50" s="5">
        <v>900</v>
      </c>
      <c r="E50" s="117">
        <f>D50+D30</f>
        <v>1020</v>
      </c>
    </row>
    <row r="51" spans="2:8">
      <c r="C51" s="5" t="s">
        <v>295</v>
      </c>
      <c r="D51" s="117">
        <f>D52-D50</f>
        <v>1900</v>
      </c>
      <c r="E51" s="117">
        <f>E52-E50</f>
        <v>2200</v>
      </c>
    </row>
    <row r="52" spans="2:8">
      <c r="C52" s="5" t="s">
        <v>296</v>
      </c>
      <c r="D52" s="117">
        <f>D44</f>
        <v>2800</v>
      </c>
      <c r="E52" s="117">
        <f>E44</f>
        <v>3220</v>
      </c>
      <c r="F52" s="5" t="s">
        <v>297</v>
      </c>
      <c r="G52" s="5"/>
      <c r="H52" s="5"/>
    </row>
    <row r="54" spans="2:8">
      <c r="C54" s="5" t="s">
        <v>298</v>
      </c>
      <c r="D54" s="5"/>
      <c r="E54" s="117">
        <f>D51-E51</f>
        <v>-300</v>
      </c>
      <c r="F54" s="5" t="s">
        <v>299</v>
      </c>
      <c r="G54" s="5"/>
      <c r="H54" s="5"/>
    </row>
    <row r="57" spans="2:8">
      <c r="B57" s="27" t="s">
        <v>300</v>
      </c>
      <c r="C57" s="27"/>
      <c r="D57" s="135">
        <f>D47+D48</f>
        <v>-500</v>
      </c>
    </row>
    <row r="60" spans="2:8">
      <c r="B60" s="27" t="s">
        <v>301</v>
      </c>
      <c r="C60" s="27"/>
      <c r="D60" s="135">
        <f>D57+D34</f>
        <v>-300</v>
      </c>
    </row>
    <row r="65" spans="1:7" ht="34">
      <c r="A65" s="156" t="s">
        <v>118</v>
      </c>
      <c r="B65" s="156"/>
      <c r="C65" s="156">
        <v>2009</v>
      </c>
      <c r="D65" s="156">
        <v>2008</v>
      </c>
      <c r="E65" s="157" t="s">
        <v>305</v>
      </c>
    </row>
    <row r="66" spans="1:7">
      <c r="A66" s="6" t="s">
        <v>119</v>
      </c>
      <c r="B66" s="6"/>
      <c r="C66" s="158">
        <v>3650</v>
      </c>
      <c r="D66" s="158">
        <v>1900</v>
      </c>
      <c r="E66" s="159">
        <f>-(C66-D66)-1200</f>
        <v>-2950</v>
      </c>
    </row>
    <row r="67" spans="1:7">
      <c r="A67" s="5"/>
      <c r="B67" s="5"/>
      <c r="C67" s="159"/>
      <c r="D67" s="159"/>
      <c r="E67" s="5"/>
    </row>
    <row r="68" spans="1:7">
      <c r="A68" s="5" t="s">
        <v>304</v>
      </c>
      <c r="B68" s="5"/>
      <c r="C68" s="159">
        <v>3500</v>
      </c>
      <c r="D68" s="159">
        <v>4300</v>
      </c>
      <c r="E68" s="159">
        <f>D68-C68</f>
        <v>800</v>
      </c>
      <c r="F68" s="5" t="s">
        <v>125</v>
      </c>
      <c r="G68" s="5"/>
    </row>
    <row r="69" spans="1:7">
      <c r="A69" s="5" t="s">
        <v>180</v>
      </c>
      <c r="B69" s="5"/>
      <c r="C69" s="159">
        <v>2700</v>
      </c>
      <c r="D69" s="159">
        <v>3400</v>
      </c>
      <c r="E69" s="159">
        <f>D69-C69</f>
        <v>700</v>
      </c>
      <c r="F69" s="5" t="s">
        <v>125</v>
      </c>
      <c r="G69" s="5"/>
    </row>
    <row r="70" spans="1:7">
      <c r="A70" s="5" t="s">
        <v>181</v>
      </c>
      <c r="B70" s="5"/>
      <c r="C70" s="159">
        <v>-3800</v>
      </c>
      <c r="D70" s="159">
        <v>-2600</v>
      </c>
      <c r="E70" s="159">
        <f>D70-C70</f>
        <v>1200</v>
      </c>
      <c r="F70" s="5" t="s">
        <v>306</v>
      </c>
      <c r="G70" s="5"/>
    </row>
    <row r="71" spans="1:7">
      <c r="A71" s="5"/>
      <c r="B71" s="5"/>
      <c r="C71" s="5"/>
      <c r="D71" s="5"/>
    </row>
    <row r="72" spans="1:7">
      <c r="A72" s="5" t="s">
        <v>307</v>
      </c>
      <c r="B72" s="5"/>
      <c r="C72" s="159">
        <f>C68+C69+C70</f>
        <v>2400</v>
      </c>
      <c r="D72" s="159">
        <f>D68+D69+D70</f>
        <v>5100</v>
      </c>
    </row>
    <row r="73" spans="1:7">
      <c r="A73" s="5"/>
      <c r="B73" s="5"/>
      <c r="C73" s="5"/>
      <c r="D73" s="5"/>
    </row>
    <row r="74" spans="1:7">
      <c r="A74" s="5" t="s">
        <v>308</v>
      </c>
      <c r="B74" s="5"/>
      <c r="C74" s="5">
        <v>-700</v>
      </c>
      <c r="D74" s="5">
        <v>-400</v>
      </c>
    </row>
    <row r="75" spans="1:7">
      <c r="A75" s="5"/>
      <c r="B75" s="5"/>
      <c r="C75" s="5"/>
      <c r="D75" s="5"/>
    </row>
    <row r="76" spans="1:7">
      <c r="A76" s="5" t="s">
        <v>309</v>
      </c>
      <c r="B76" s="5"/>
      <c r="C76" s="159">
        <f>C74+C72+C66</f>
        <v>5350</v>
      </c>
      <c r="D76" s="159">
        <f>D74+D72+D66</f>
        <v>6600</v>
      </c>
    </row>
    <row r="78" spans="1:7">
      <c r="C78" s="155"/>
      <c r="E78" s="15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ED2E-F7DF-0F43-AC1E-7D302181E66D}">
  <dimension ref="B3:K26"/>
  <sheetViews>
    <sheetView zoomScale="126" zoomScaleNormal="126" workbookViewId="0">
      <selection activeCell="G29" sqref="G29"/>
    </sheetView>
  </sheetViews>
  <sheetFormatPr baseColWidth="10" defaultRowHeight="16"/>
  <cols>
    <col min="3" max="3" width="20.83203125" customWidth="1"/>
    <col min="4" max="4" width="17.5" customWidth="1"/>
    <col min="7" max="7" width="25.33203125" customWidth="1"/>
  </cols>
  <sheetData>
    <row r="3" spans="2:7" ht="15" customHeight="1">
      <c r="C3" s="30" t="s">
        <v>77</v>
      </c>
      <c r="D3" s="55">
        <v>1000000</v>
      </c>
      <c r="E3" s="10" t="s">
        <v>78</v>
      </c>
      <c r="F3" s="30"/>
      <c r="G3" s="30"/>
    </row>
    <row r="4" spans="2:7" ht="62" customHeight="1">
      <c r="C4" s="5" t="s">
        <v>79</v>
      </c>
      <c r="D4" s="5"/>
      <c r="E4" s="5"/>
      <c r="F4" s="60" t="s">
        <v>80</v>
      </c>
      <c r="G4" s="61" t="s">
        <v>81</v>
      </c>
    </row>
    <row r="6" spans="2:7">
      <c r="C6" s="23" t="s">
        <v>82</v>
      </c>
      <c r="D6" s="14">
        <f>+D3/5</f>
        <v>200000</v>
      </c>
      <c r="E6" s="22" t="s">
        <v>83</v>
      </c>
      <c r="F6" s="23"/>
      <c r="G6" s="23"/>
    </row>
    <row r="9" spans="2:7">
      <c r="C9" s="62" t="s">
        <v>84</v>
      </c>
      <c r="D9" s="27"/>
    </row>
    <row r="11" spans="2:7" ht="34">
      <c r="B11" s="63" t="s">
        <v>85</v>
      </c>
      <c r="C11" s="64" t="s">
        <v>86</v>
      </c>
      <c r="D11" s="64" t="s">
        <v>87</v>
      </c>
      <c r="E11" s="64" t="s">
        <v>88</v>
      </c>
      <c r="G11" s="65"/>
    </row>
    <row r="12" spans="2:7">
      <c r="B12" s="5" t="s">
        <v>89</v>
      </c>
      <c r="C12" s="14">
        <v>1000000</v>
      </c>
      <c r="D12" s="14">
        <v>-200000</v>
      </c>
      <c r="E12" s="14">
        <f>+C12+D12</f>
        <v>800000</v>
      </c>
    </row>
    <row r="13" spans="2:7">
      <c r="B13" s="5" t="s">
        <v>90</v>
      </c>
      <c r="C13" s="14">
        <f>E12</f>
        <v>800000</v>
      </c>
      <c r="D13" s="14">
        <v>-200000</v>
      </c>
      <c r="E13" s="14">
        <f>+C13+D13</f>
        <v>600000</v>
      </c>
    </row>
    <row r="14" spans="2:7">
      <c r="B14" s="5" t="s">
        <v>91</v>
      </c>
      <c r="C14" s="14">
        <f>E13</f>
        <v>600000</v>
      </c>
      <c r="D14" s="14">
        <v>-200000</v>
      </c>
      <c r="E14" s="14">
        <f>+C14+D14</f>
        <v>400000</v>
      </c>
    </row>
    <row r="15" spans="2:7">
      <c r="B15" s="5" t="s">
        <v>92</v>
      </c>
      <c r="C15" s="14">
        <f>E14</f>
        <v>400000</v>
      </c>
      <c r="D15" s="14">
        <v>-200000</v>
      </c>
      <c r="E15" s="14">
        <f>+C15+D15</f>
        <v>200000</v>
      </c>
    </row>
    <row r="16" spans="2:7">
      <c r="B16" s="5" t="s">
        <v>93</v>
      </c>
      <c r="C16" s="14">
        <f>E15</f>
        <v>200000</v>
      </c>
      <c r="D16" s="14">
        <v>-200000</v>
      </c>
      <c r="E16" s="14">
        <f>+C16+D16</f>
        <v>0</v>
      </c>
    </row>
    <row r="19" spans="2:11">
      <c r="B19" s="45" t="s">
        <v>102</v>
      </c>
      <c r="C19" s="45"/>
    </row>
    <row r="21" spans="2:11">
      <c r="D21" s="27" t="s">
        <v>94</v>
      </c>
      <c r="E21" s="30" t="s">
        <v>95</v>
      </c>
      <c r="F21" s="23" t="s">
        <v>96</v>
      </c>
    </row>
    <row r="22" spans="2:11">
      <c r="B22" s="5" t="s">
        <v>97</v>
      </c>
      <c r="C22" s="5"/>
      <c r="D22" s="5">
        <v>700</v>
      </c>
      <c r="E22" s="5">
        <v>300</v>
      </c>
      <c r="F22" s="5">
        <v>1000</v>
      </c>
    </row>
    <row r="23" spans="2:11">
      <c r="B23" s="5" t="s">
        <v>98</v>
      </c>
      <c r="C23" s="5"/>
      <c r="D23" s="5">
        <v>350</v>
      </c>
      <c r="E23" s="5">
        <v>150</v>
      </c>
      <c r="F23" s="5">
        <v>500</v>
      </c>
    </row>
    <row r="24" spans="2:11">
      <c r="B24" s="5" t="s">
        <v>99</v>
      </c>
      <c r="C24" s="5"/>
      <c r="D24" s="5">
        <v>350</v>
      </c>
      <c r="E24" s="5">
        <v>150</v>
      </c>
      <c r="F24" s="5">
        <v>500</v>
      </c>
    </row>
    <row r="25" spans="2:11">
      <c r="B25" s="5" t="s">
        <v>100</v>
      </c>
      <c r="C25" s="5"/>
      <c r="D25" s="5"/>
      <c r="E25" s="98">
        <v>20</v>
      </c>
      <c r="F25" s="5">
        <v>20</v>
      </c>
      <c r="G25" s="44" t="s">
        <v>185</v>
      </c>
      <c r="H25" s="44"/>
      <c r="I25" s="44"/>
      <c r="J25" s="44"/>
      <c r="K25" s="44"/>
    </row>
    <row r="26" spans="2:11">
      <c r="B26" s="5" t="s">
        <v>101</v>
      </c>
      <c r="C26" s="5"/>
      <c r="D26" s="5"/>
      <c r="E26" s="5"/>
      <c r="F26" s="110">
        <v>200</v>
      </c>
      <c r="G26" s="110" t="s">
        <v>186</v>
      </c>
      <c r="H26" s="110"/>
      <c r="I26" s="110"/>
      <c r="J26" s="1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9284-6747-D944-B1D3-988F01A29AED}">
  <dimension ref="A1:T53"/>
  <sheetViews>
    <sheetView zoomScale="86" zoomScaleNormal="86" workbookViewId="0">
      <selection activeCell="P23" sqref="P23"/>
    </sheetView>
  </sheetViews>
  <sheetFormatPr baseColWidth="10" defaultRowHeight="16"/>
  <cols>
    <col min="2" max="2" width="34.83203125" customWidth="1"/>
    <col min="5" max="5" width="12.1640625" customWidth="1"/>
    <col min="13" max="13" width="23.6640625" customWidth="1"/>
  </cols>
  <sheetData>
    <row r="1" spans="1:15" ht="23" customHeight="1">
      <c r="A1" s="23" t="s">
        <v>103</v>
      </c>
      <c r="B1" s="23"/>
    </row>
    <row r="2" spans="1:15">
      <c r="M2" s="45" t="s">
        <v>174</v>
      </c>
      <c r="N2" s="45"/>
      <c r="O2" s="45"/>
    </row>
    <row r="4" spans="1:15">
      <c r="A4" s="67" t="s">
        <v>104</v>
      </c>
      <c r="B4" s="27" t="s">
        <v>105</v>
      </c>
      <c r="C4" s="73"/>
      <c r="M4" s="27" t="s">
        <v>105</v>
      </c>
      <c r="N4" s="78"/>
    </row>
    <row r="5" spans="1:15">
      <c r="C5" s="5">
        <v>2019</v>
      </c>
      <c r="D5" s="5">
        <v>2020</v>
      </c>
      <c r="E5" s="75"/>
      <c r="N5" s="5">
        <v>2019</v>
      </c>
    </row>
    <row r="6" spans="1:15">
      <c r="B6" s="50" t="s">
        <v>47</v>
      </c>
      <c r="C6" s="68">
        <v>13681</v>
      </c>
      <c r="D6" s="68">
        <v>13645</v>
      </c>
      <c r="E6" s="77"/>
      <c r="M6" s="44" t="s">
        <v>47</v>
      </c>
      <c r="N6" s="111">
        <v>23000</v>
      </c>
    </row>
    <row r="7" spans="1:15">
      <c r="B7" s="74" t="s">
        <v>106</v>
      </c>
      <c r="C7" s="69">
        <v>7373</v>
      </c>
      <c r="D7" s="69">
        <v>7214</v>
      </c>
      <c r="E7" s="76"/>
      <c r="M7" s="5" t="s">
        <v>175</v>
      </c>
      <c r="N7" s="69">
        <v>18000</v>
      </c>
    </row>
    <row r="8" spans="1:15">
      <c r="B8" s="54" t="s">
        <v>107</v>
      </c>
      <c r="C8" s="69">
        <v>3167</v>
      </c>
      <c r="D8" s="69">
        <v>3326</v>
      </c>
      <c r="E8" s="76"/>
      <c r="M8" s="44" t="s">
        <v>4</v>
      </c>
      <c r="N8" s="111">
        <f>N6-N7</f>
        <v>5000</v>
      </c>
      <c r="O8" s="34">
        <f>N8/N6</f>
        <v>0.21739130434782608</v>
      </c>
    </row>
    <row r="9" spans="1:15">
      <c r="B9" s="50" t="s">
        <v>33</v>
      </c>
      <c r="C9" s="68">
        <f>C6-(C7+C8)</f>
        <v>3141</v>
      </c>
      <c r="D9" s="68">
        <f>D6-(D7+D8)</f>
        <v>3105</v>
      </c>
      <c r="E9" s="77"/>
      <c r="M9" s="5" t="s">
        <v>176</v>
      </c>
      <c r="N9" s="69">
        <v>9000</v>
      </c>
    </row>
    <row r="10" spans="1:15">
      <c r="B10" s="54" t="s">
        <v>108</v>
      </c>
      <c r="C10" s="69">
        <v>1968</v>
      </c>
      <c r="D10" s="69">
        <v>1968</v>
      </c>
      <c r="E10" s="76"/>
      <c r="M10" s="44" t="s">
        <v>36</v>
      </c>
      <c r="N10" s="111">
        <f>N8-N9</f>
        <v>-4000</v>
      </c>
    </row>
    <row r="11" spans="1:15">
      <c r="B11" s="50" t="s">
        <v>36</v>
      </c>
      <c r="C11" s="68">
        <f>C9-C10</f>
        <v>1173</v>
      </c>
      <c r="D11" s="68">
        <f>D9-D10</f>
        <v>1137</v>
      </c>
      <c r="E11" s="77"/>
      <c r="M11" s="5" t="s">
        <v>177</v>
      </c>
      <c r="N11" s="69">
        <v>2000</v>
      </c>
    </row>
    <row r="12" spans="1:15">
      <c r="B12" s="54" t="s">
        <v>37</v>
      </c>
      <c r="C12" s="5">
        <v>449</v>
      </c>
      <c r="D12" s="5">
        <v>410</v>
      </c>
      <c r="E12" s="75"/>
      <c r="M12" s="44" t="s">
        <v>112</v>
      </c>
      <c r="N12" s="111">
        <f>N10-N11</f>
        <v>-6000</v>
      </c>
    </row>
    <row r="13" spans="1:15">
      <c r="B13" s="50" t="s">
        <v>112</v>
      </c>
      <c r="C13" s="68">
        <f>C11-C12</f>
        <v>724</v>
      </c>
      <c r="D13" s="68">
        <f>D11-D12</f>
        <v>727</v>
      </c>
      <c r="E13" s="77"/>
    </row>
    <row r="14" spans="1:15">
      <c r="B14" s="54" t="s">
        <v>109</v>
      </c>
      <c r="C14" s="5">
        <f>379</f>
        <v>379</v>
      </c>
      <c r="D14" s="5">
        <v>409</v>
      </c>
      <c r="E14" s="75"/>
      <c r="M14" s="44" t="s">
        <v>10</v>
      </c>
      <c r="N14" s="111">
        <f>N12</f>
        <v>-6000</v>
      </c>
    </row>
    <row r="15" spans="1:15">
      <c r="B15" s="54" t="s">
        <v>110</v>
      </c>
      <c r="C15" s="5">
        <v>15</v>
      </c>
      <c r="D15" s="5"/>
      <c r="E15" s="75"/>
    </row>
    <row r="16" spans="1:15">
      <c r="B16" s="50" t="s">
        <v>40</v>
      </c>
      <c r="C16" s="68">
        <f>C13-(C14+C15)</f>
        <v>330</v>
      </c>
      <c r="D16" s="68">
        <f>D13-D14</f>
        <v>318</v>
      </c>
      <c r="E16" s="77"/>
      <c r="M16" s="66" t="s">
        <v>178</v>
      </c>
      <c r="N16" s="5">
        <f>(N9+N11)/0.22</f>
        <v>50000</v>
      </c>
    </row>
    <row r="17" spans="1:20">
      <c r="B17" s="54" t="s">
        <v>111</v>
      </c>
      <c r="C17" s="5">
        <v>195</v>
      </c>
      <c r="D17" s="5">
        <v>259</v>
      </c>
      <c r="E17" s="75"/>
      <c r="M17" s="38" t="s">
        <v>113</v>
      </c>
      <c r="N17" s="109">
        <f>N12+N11</f>
        <v>-4000</v>
      </c>
      <c r="P17" s="112"/>
      <c r="Q17" s="112"/>
      <c r="R17" s="77"/>
    </row>
    <row r="18" spans="1:20">
      <c r="B18" s="50" t="s">
        <v>10</v>
      </c>
      <c r="C18" s="68">
        <f>C16-C17</f>
        <v>135</v>
      </c>
      <c r="D18" s="68">
        <f>D16-D17</f>
        <v>59</v>
      </c>
      <c r="E18" s="68"/>
    </row>
    <row r="19" spans="1:20">
      <c r="M19" s="27" t="s">
        <v>118</v>
      </c>
    </row>
    <row r="20" spans="1:20">
      <c r="B20" s="71" t="s">
        <v>116</v>
      </c>
      <c r="C20" s="70">
        <f>C18+C12</f>
        <v>584</v>
      </c>
      <c r="D20" s="72" t="s">
        <v>114</v>
      </c>
      <c r="E20" s="72"/>
      <c r="F20" s="72"/>
      <c r="G20" s="75"/>
      <c r="H20" s="75"/>
      <c r="N20" s="5">
        <v>2019</v>
      </c>
      <c r="O20" s="5">
        <v>2018</v>
      </c>
    </row>
    <row r="21" spans="1:20">
      <c r="C21" s="70">
        <f>C13-C14-C15-C17+C12</f>
        <v>584</v>
      </c>
      <c r="D21" s="5" t="s">
        <v>115</v>
      </c>
      <c r="E21" s="5"/>
      <c r="F21" s="5"/>
      <c r="G21" s="5"/>
      <c r="H21" s="5"/>
      <c r="I21" s="5"/>
      <c r="J21" s="5"/>
      <c r="K21" s="75"/>
      <c r="L21" s="75"/>
      <c r="M21" s="5" t="s">
        <v>119</v>
      </c>
      <c r="N21" s="69">
        <v>4500</v>
      </c>
      <c r="O21" s="69">
        <v>7000</v>
      </c>
    </row>
    <row r="23" spans="1:20">
      <c r="M23" s="5" t="s">
        <v>179</v>
      </c>
      <c r="N23" s="69">
        <v>3500</v>
      </c>
      <c r="O23" s="69">
        <v>4200</v>
      </c>
      <c r="P23" s="69">
        <f>O23-N23</f>
        <v>700</v>
      </c>
      <c r="Q23" s="23" t="s">
        <v>125</v>
      </c>
      <c r="R23" s="23"/>
      <c r="S23" s="23"/>
    </row>
    <row r="24" spans="1:20">
      <c r="A24" s="67" t="s">
        <v>117</v>
      </c>
      <c r="B24" s="27" t="s">
        <v>118</v>
      </c>
      <c r="M24" s="5" t="s">
        <v>180</v>
      </c>
      <c r="N24" s="69">
        <v>5600</v>
      </c>
      <c r="O24" s="69">
        <v>6400</v>
      </c>
      <c r="P24" s="69">
        <f>O24-N24</f>
        <v>800</v>
      </c>
      <c r="Q24" s="23" t="s">
        <v>125</v>
      </c>
      <c r="R24" s="23"/>
      <c r="S24" s="23"/>
    </row>
    <row r="25" spans="1:20">
      <c r="C25" s="5">
        <v>2019</v>
      </c>
      <c r="D25" s="5">
        <v>2020</v>
      </c>
      <c r="E25" s="80" t="s">
        <v>127</v>
      </c>
      <c r="M25" s="5" t="s">
        <v>181</v>
      </c>
      <c r="N25" s="69">
        <v>-4700</v>
      </c>
      <c r="O25" s="69">
        <v>-5300</v>
      </c>
      <c r="P25" s="108">
        <f>O25-N25</f>
        <v>-600</v>
      </c>
      <c r="Q25" s="79" t="s">
        <v>126</v>
      </c>
      <c r="R25" s="79"/>
      <c r="S25" s="79"/>
    </row>
    <row r="26" spans="1:20">
      <c r="B26" s="74" t="s">
        <v>119</v>
      </c>
      <c r="C26" s="5"/>
      <c r="D26" s="5"/>
      <c r="E26" s="75"/>
      <c r="P26" s="68">
        <f>P23+P24+P25</f>
        <v>900</v>
      </c>
      <c r="Q26" s="30" t="s">
        <v>182</v>
      </c>
      <c r="R26" s="30"/>
      <c r="S26" s="30"/>
      <c r="T26" s="30"/>
    </row>
    <row r="27" spans="1:20">
      <c r="B27" s="50" t="s">
        <v>120</v>
      </c>
      <c r="C27" s="68">
        <v>2469</v>
      </c>
      <c r="D27" s="68">
        <v>2319</v>
      </c>
      <c r="E27" s="77"/>
    </row>
    <row r="28" spans="1:20">
      <c r="B28" s="54" t="s">
        <v>121</v>
      </c>
      <c r="C28" s="69">
        <v>1210</v>
      </c>
      <c r="D28" s="5">
        <v>998</v>
      </c>
      <c r="E28" s="69">
        <f>C28-D28</f>
        <v>212</v>
      </c>
      <c r="F28" s="23" t="s">
        <v>125</v>
      </c>
      <c r="G28" s="23"/>
      <c r="H28" s="23"/>
      <c r="I28" s="75"/>
    </row>
    <row r="29" spans="1:20">
      <c r="B29" s="54" t="s">
        <v>122</v>
      </c>
      <c r="C29" s="69">
        <v>4179</v>
      </c>
      <c r="D29" s="69">
        <v>1926</v>
      </c>
      <c r="E29" s="69">
        <f>C29-D29</f>
        <v>2253</v>
      </c>
      <c r="F29" s="23" t="s">
        <v>125</v>
      </c>
      <c r="G29" s="23"/>
      <c r="H29" s="23"/>
      <c r="I29" s="75"/>
      <c r="M29" s="163" t="s">
        <v>183</v>
      </c>
      <c r="N29" s="164"/>
      <c r="O29" s="109">
        <f>-(N21-O21)-N11</f>
        <v>500</v>
      </c>
    </row>
    <row r="30" spans="1:20">
      <c r="B30" s="54" t="s">
        <v>123</v>
      </c>
      <c r="C30" s="69">
        <v>4190</v>
      </c>
      <c r="D30" s="69">
        <v>3196</v>
      </c>
      <c r="E30" s="69">
        <f>(C30-D30)</f>
        <v>994</v>
      </c>
      <c r="F30" s="79" t="s">
        <v>126</v>
      </c>
      <c r="G30" s="79"/>
      <c r="H30" s="79"/>
      <c r="I30" s="75"/>
    </row>
    <row r="31" spans="1:20">
      <c r="B31" s="50" t="s">
        <v>124</v>
      </c>
      <c r="C31" s="68"/>
      <c r="D31" s="30"/>
      <c r="E31" s="70">
        <f>E28+E29-E30</f>
        <v>1471</v>
      </c>
      <c r="F31" s="23" t="s">
        <v>128</v>
      </c>
      <c r="G31" s="23"/>
      <c r="H31" s="23"/>
      <c r="I31" s="23"/>
      <c r="M31" s="38" t="s">
        <v>184</v>
      </c>
      <c r="N31" s="109">
        <f>(O29+P26)+N17</f>
        <v>-2600</v>
      </c>
    </row>
    <row r="34" spans="2:7">
      <c r="B34" s="71" t="s">
        <v>129</v>
      </c>
      <c r="C34" s="70">
        <v>1471</v>
      </c>
      <c r="D34" s="23" t="s">
        <v>128</v>
      </c>
      <c r="E34" s="23"/>
      <c r="F34" s="23"/>
      <c r="G34" s="23"/>
    </row>
    <row r="36" spans="2:7">
      <c r="B36" s="23" t="s">
        <v>130</v>
      </c>
      <c r="C36" s="23" t="s">
        <v>131</v>
      </c>
      <c r="D36" s="23"/>
      <c r="E36" s="23"/>
      <c r="F36" s="23"/>
      <c r="G36" s="23"/>
    </row>
    <row r="38" spans="2:7">
      <c r="B38" s="44" t="s">
        <v>140</v>
      </c>
    </row>
    <row r="39" spans="2:7">
      <c r="B39" s="1"/>
      <c r="C39" s="9">
        <v>2019</v>
      </c>
    </row>
    <row r="40" spans="2:7">
      <c r="B40" s="1" t="s">
        <v>132</v>
      </c>
      <c r="C40" s="82">
        <v>3000</v>
      </c>
    </row>
    <row r="41" spans="2:7">
      <c r="B41" s="1" t="s">
        <v>133</v>
      </c>
      <c r="C41" s="1">
        <v>70</v>
      </c>
    </row>
    <row r="42" spans="2:7">
      <c r="B42" s="1"/>
      <c r="C42" s="1"/>
    </row>
    <row r="43" spans="2:7">
      <c r="B43" s="1"/>
      <c r="C43" s="9">
        <v>2020</v>
      </c>
    </row>
    <row r="44" spans="2:7">
      <c r="B44" s="1" t="s">
        <v>134</v>
      </c>
      <c r="C44" s="83">
        <v>900</v>
      </c>
    </row>
    <row r="45" spans="2:7">
      <c r="B45" s="1" t="s">
        <v>135</v>
      </c>
      <c r="C45" s="1">
        <v>45</v>
      </c>
    </row>
    <row r="46" spans="2:7">
      <c r="B46" s="1"/>
      <c r="C46" s="1"/>
    </row>
    <row r="47" spans="2:7">
      <c r="B47" s="1"/>
      <c r="C47" s="1"/>
    </row>
    <row r="48" spans="2:7">
      <c r="B48" s="1" t="s">
        <v>136</v>
      </c>
      <c r="C48" s="82">
        <v>3000</v>
      </c>
    </row>
    <row r="49" spans="2:6">
      <c r="B49" s="1" t="s">
        <v>141</v>
      </c>
      <c r="C49" s="83">
        <v>900</v>
      </c>
    </row>
    <row r="50" spans="2:6">
      <c r="B50" s="1" t="s">
        <v>137</v>
      </c>
      <c r="C50" s="1">
        <f>(+C41+C45)</f>
        <v>115</v>
      </c>
    </row>
    <row r="51" spans="2:6">
      <c r="B51" s="1" t="s">
        <v>138</v>
      </c>
      <c r="C51" s="1">
        <f>+C48+C49-C50</f>
        <v>3785</v>
      </c>
      <c r="D51" s="5" t="s">
        <v>215</v>
      </c>
      <c r="E51" s="5"/>
      <c r="F51" s="5"/>
    </row>
    <row r="52" spans="2:6">
      <c r="B52" s="1"/>
      <c r="C52" s="1"/>
    </row>
    <row r="53" spans="2:6">
      <c r="B53" s="84" t="s">
        <v>139</v>
      </c>
      <c r="C53" s="84">
        <f>-(C51-C48)-C50</f>
        <v>-900</v>
      </c>
    </row>
  </sheetData>
  <mergeCells count="1">
    <mergeCell ref="M29:N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6176E-6134-2141-A6D9-4F98B55AFBBC}">
  <dimension ref="A2:S89"/>
  <sheetViews>
    <sheetView topLeftCell="A36" zoomScale="93" zoomScaleNormal="202" workbookViewId="0">
      <selection activeCell="A57" sqref="A57"/>
    </sheetView>
  </sheetViews>
  <sheetFormatPr baseColWidth="10" defaultRowHeight="16"/>
  <cols>
    <col min="1" max="1" width="33.1640625" customWidth="1"/>
    <col min="4" max="4" width="14.6640625" customWidth="1"/>
    <col min="5" max="5" width="12.33203125" customWidth="1"/>
    <col min="13" max="14" width="17.6640625" customWidth="1"/>
    <col min="17" max="17" width="14" customWidth="1"/>
  </cols>
  <sheetData>
    <row r="2" spans="1:9">
      <c r="B2" s="113" t="s">
        <v>200</v>
      </c>
      <c r="C2" s="114" t="s">
        <v>201</v>
      </c>
      <c r="D2" s="118" t="s">
        <v>202</v>
      </c>
      <c r="E2" s="114" t="s">
        <v>203</v>
      </c>
      <c r="F2" s="114" t="s">
        <v>204</v>
      </c>
    </row>
    <row r="3" spans="1:9">
      <c r="A3" s="62" t="s">
        <v>105</v>
      </c>
    </row>
    <row r="4" spans="1:9">
      <c r="A4" s="5" t="s">
        <v>2</v>
      </c>
      <c r="B4" s="116">
        <v>10000</v>
      </c>
      <c r="C4" s="14">
        <v>11000</v>
      </c>
      <c r="D4" s="14">
        <v>7100</v>
      </c>
      <c r="E4" s="14">
        <v>16000</v>
      </c>
      <c r="F4" s="14">
        <v>13000</v>
      </c>
    </row>
    <row r="5" spans="1:9">
      <c r="A5" s="5" t="s">
        <v>175</v>
      </c>
      <c r="B5" s="116">
        <v>-3500</v>
      </c>
      <c r="C5" s="14">
        <v>-5000</v>
      </c>
      <c r="D5" s="14">
        <v>-5000</v>
      </c>
      <c r="E5" s="14">
        <v>-7000</v>
      </c>
      <c r="F5" s="14">
        <v>-7600</v>
      </c>
    </row>
    <row r="6" spans="1:9">
      <c r="A6" s="5" t="s">
        <v>176</v>
      </c>
      <c r="B6" s="116">
        <v>-3500</v>
      </c>
      <c r="C6" s="14">
        <v>-3500</v>
      </c>
      <c r="D6" s="14">
        <v>-4000</v>
      </c>
      <c r="E6" s="14">
        <v>-4500</v>
      </c>
      <c r="F6" s="14">
        <v>-4000</v>
      </c>
    </row>
    <row r="7" spans="1:9">
      <c r="A7" s="6" t="s">
        <v>187</v>
      </c>
      <c r="B7" s="117">
        <f>B4+B5+B6</f>
        <v>3000</v>
      </c>
      <c r="C7" s="117">
        <f t="shared" ref="C7:F7" si="0">C4+C5+C6</f>
        <v>2500</v>
      </c>
      <c r="D7" s="117">
        <f t="shared" si="0"/>
        <v>-1900</v>
      </c>
      <c r="E7" s="117">
        <f t="shared" si="0"/>
        <v>4500</v>
      </c>
      <c r="F7" s="117">
        <f t="shared" si="0"/>
        <v>1400</v>
      </c>
    </row>
    <row r="10" spans="1:9">
      <c r="B10" s="113" t="s">
        <v>200</v>
      </c>
      <c r="C10" s="114" t="s">
        <v>201</v>
      </c>
      <c r="D10" s="118" t="s">
        <v>202</v>
      </c>
      <c r="E10" s="114" t="s">
        <v>203</v>
      </c>
      <c r="F10" s="114" t="s">
        <v>204</v>
      </c>
    </row>
    <row r="11" spans="1:9">
      <c r="A11" s="62" t="s">
        <v>118</v>
      </c>
    </row>
    <row r="12" spans="1:9">
      <c r="A12" s="5" t="s">
        <v>188</v>
      </c>
      <c r="B12" s="116">
        <v>4000</v>
      </c>
      <c r="C12" s="14">
        <v>4000</v>
      </c>
      <c r="D12" s="14">
        <v>3500</v>
      </c>
      <c r="E12" s="14">
        <v>3000</v>
      </c>
      <c r="F12" s="14">
        <v>2500</v>
      </c>
    </row>
    <row r="13" spans="1:9">
      <c r="A13" s="5" t="s">
        <v>205</v>
      </c>
      <c r="B13" s="116">
        <v>4700</v>
      </c>
      <c r="C13" s="14">
        <v>5200</v>
      </c>
      <c r="D13" s="14">
        <v>5000</v>
      </c>
      <c r="E13" s="14">
        <v>5000</v>
      </c>
      <c r="F13" s="14">
        <v>4300</v>
      </c>
      <c r="G13" s="5" t="s">
        <v>207</v>
      </c>
      <c r="H13" s="5"/>
      <c r="I13" s="5"/>
    </row>
    <row r="14" spans="1:9">
      <c r="A14" s="6" t="s">
        <v>206</v>
      </c>
      <c r="B14" s="117">
        <f>B12+B13</f>
        <v>8700</v>
      </c>
      <c r="C14" s="117">
        <f t="shared" ref="C14:F14" si="1">C12+C13</f>
        <v>9200</v>
      </c>
      <c r="D14" s="117">
        <f t="shared" si="1"/>
        <v>8500</v>
      </c>
      <c r="E14" s="117">
        <f t="shared" si="1"/>
        <v>8000</v>
      </c>
      <c r="F14" s="117">
        <f t="shared" si="1"/>
        <v>6800</v>
      </c>
    </row>
    <row r="16" spans="1:9">
      <c r="A16" s="115" t="s">
        <v>208</v>
      </c>
      <c r="B16" s="119">
        <v>10</v>
      </c>
    </row>
    <row r="17" spans="1:16">
      <c r="A17" s="115" t="s">
        <v>189</v>
      </c>
      <c r="B17" s="117">
        <f>B7</f>
        <v>3000</v>
      </c>
      <c r="C17" s="117">
        <f>C7</f>
        <v>2500</v>
      </c>
      <c r="D17" s="117">
        <f>D7</f>
        <v>-1900</v>
      </c>
      <c r="E17" s="117">
        <f>E7</f>
        <v>4500</v>
      </c>
      <c r="F17" s="117">
        <f>F7</f>
        <v>1400</v>
      </c>
    </row>
    <row r="18" spans="1:16">
      <c r="A18" s="10" t="s">
        <v>190</v>
      </c>
      <c r="B18" s="42">
        <f>B17+B16</f>
        <v>3010</v>
      </c>
      <c r="C18" s="42">
        <f>B18+C17</f>
        <v>5510</v>
      </c>
      <c r="D18" s="42">
        <f>C18+D17</f>
        <v>3610</v>
      </c>
      <c r="E18" s="42">
        <f>D18+E17</f>
        <v>8110</v>
      </c>
      <c r="F18" s="42">
        <v>11000</v>
      </c>
      <c r="G18" s="72" t="s">
        <v>209</v>
      </c>
      <c r="H18" s="72"/>
    </row>
    <row r="19" spans="1:16">
      <c r="A19" s="52" t="s">
        <v>191</v>
      </c>
      <c r="B19" s="120">
        <f>B20-B18</f>
        <v>5690</v>
      </c>
      <c r="C19" s="120">
        <f t="shared" ref="C19:F19" si="2">C20-C18</f>
        <v>3690</v>
      </c>
      <c r="D19" s="120">
        <f t="shared" si="2"/>
        <v>4890</v>
      </c>
      <c r="E19" s="120">
        <f t="shared" si="2"/>
        <v>-110</v>
      </c>
      <c r="F19" s="120">
        <f t="shared" si="2"/>
        <v>-4200</v>
      </c>
      <c r="G19" s="44" t="s">
        <v>211</v>
      </c>
      <c r="H19" s="44"/>
      <c r="I19" s="44"/>
      <c r="J19" s="44"/>
      <c r="K19" s="5" t="s">
        <v>220</v>
      </c>
      <c r="L19" s="5"/>
      <c r="M19" s="5"/>
    </row>
    <row r="20" spans="1:16">
      <c r="A20" s="22" t="s">
        <v>210</v>
      </c>
      <c r="B20" s="121">
        <f>B14</f>
        <v>8700</v>
      </c>
      <c r="C20" s="121">
        <f t="shared" ref="C20:F20" si="3">C14</f>
        <v>9200</v>
      </c>
      <c r="D20" s="121">
        <f t="shared" si="3"/>
        <v>8500</v>
      </c>
      <c r="E20" s="121">
        <f t="shared" si="3"/>
        <v>8000</v>
      </c>
      <c r="F20" s="121">
        <f t="shared" si="3"/>
        <v>6800</v>
      </c>
    </row>
    <row r="22" spans="1:16">
      <c r="A22" s="5" t="s">
        <v>193</v>
      </c>
      <c r="B22" s="117">
        <f>B19</f>
        <v>5690</v>
      </c>
      <c r="C22" s="117">
        <f t="shared" ref="C22:F22" si="4">C19</f>
        <v>3690</v>
      </c>
      <c r="D22" s="117">
        <f t="shared" si="4"/>
        <v>4890</v>
      </c>
      <c r="E22" s="117">
        <f t="shared" si="4"/>
        <v>-110</v>
      </c>
      <c r="F22" s="117">
        <f t="shared" si="4"/>
        <v>-4200</v>
      </c>
    </row>
    <row r="23" spans="1:16">
      <c r="A23" s="124" t="s">
        <v>192</v>
      </c>
      <c r="B23" s="125"/>
      <c r="C23" s="126">
        <f>B22-C22</f>
        <v>2000</v>
      </c>
      <c r="D23" s="126">
        <f t="shared" ref="D23:F23" si="5">C22-D22</f>
        <v>-1200</v>
      </c>
      <c r="E23" s="126">
        <f t="shared" si="5"/>
        <v>5000</v>
      </c>
      <c r="F23" s="126">
        <f t="shared" si="5"/>
        <v>4090</v>
      </c>
      <c r="G23" s="125" t="s">
        <v>221</v>
      </c>
      <c r="H23" s="125"/>
      <c r="I23" s="125"/>
      <c r="J23" s="125"/>
      <c r="K23" s="125"/>
      <c r="L23" s="125"/>
      <c r="M23" s="125"/>
      <c r="N23" s="125"/>
      <c r="O23" s="125"/>
      <c r="P23" s="125"/>
    </row>
    <row r="25" spans="1:16">
      <c r="A25" s="5" t="s">
        <v>194</v>
      </c>
      <c r="B25" s="122">
        <f t="shared" ref="B25:E25" si="6">B7</f>
        <v>3000</v>
      </c>
      <c r="C25" s="122">
        <f t="shared" si="6"/>
        <v>2500</v>
      </c>
      <c r="D25" s="122">
        <f t="shared" si="6"/>
        <v>-1900</v>
      </c>
      <c r="E25" s="122">
        <f t="shared" si="6"/>
        <v>4500</v>
      </c>
      <c r="F25" s="122">
        <f>F7</f>
        <v>1400</v>
      </c>
    </row>
    <row r="26" spans="1:16">
      <c r="A26" s="97" t="s">
        <v>212</v>
      </c>
      <c r="B26" s="1">
        <v>500</v>
      </c>
      <c r="C26" s="1">
        <v>500</v>
      </c>
      <c r="D26" s="1">
        <v>500</v>
      </c>
      <c r="E26" s="1">
        <v>500</v>
      </c>
      <c r="F26" s="1">
        <v>500</v>
      </c>
    </row>
    <row r="27" spans="1:16">
      <c r="A27" s="6" t="s">
        <v>195</v>
      </c>
      <c r="B27" s="122">
        <f t="shared" ref="B27:E27" si="7">B25+B26</f>
        <v>3500</v>
      </c>
      <c r="C27" s="122">
        <f t="shared" si="7"/>
        <v>3000</v>
      </c>
      <c r="D27" s="122">
        <f t="shared" si="7"/>
        <v>-1400</v>
      </c>
      <c r="E27" s="122">
        <f t="shared" si="7"/>
        <v>5000</v>
      </c>
      <c r="F27" s="122">
        <f>F25+F26</f>
        <v>1900</v>
      </c>
    </row>
    <row r="29" spans="1:16">
      <c r="A29" s="5" t="s">
        <v>196</v>
      </c>
      <c r="B29" s="117"/>
      <c r="C29" s="117">
        <f t="shared" ref="C29:E29" si="8">-(C12-B12)-C26</f>
        <v>-500</v>
      </c>
      <c r="D29" s="117">
        <f t="shared" si="8"/>
        <v>0</v>
      </c>
      <c r="E29" s="117">
        <f t="shared" si="8"/>
        <v>0</v>
      </c>
      <c r="F29" s="117">
        <f>-(F12-E12)-F26</f>
        <v>0</v>
      </c>
    </row>
    <row r="30" spans="1:16">
      <c r="A30" s="5" t="s">
        <v>197</v>
      </c>
      <c r="B30" s="117"/>
      <c r="C30" s="117">
        <f t="shared" ref="C30:E30" si="9">B13-C13</f>
        <v>-500</v>
      </c>
      <c r="D30" s="117">
        <f t="shared" si="9"/>
        <v>200</v>
      </c>
      <c r="E30" s="117">
        <f t="shared" si="9"/>
        <v>0</v>
      </c>
      <c r="F30" s="123">
        <f>E13-F13</f>
        <v>700</v>
      </c>
    </row>
    <row r="31" spans="1:16">
      <c r="A31" s="45" t="s">
        <v>213</v>
      </c>
      <c r="B31" s="117"/>
      <c r="C31" s="117"/>
      <c r="D31" s="117">
        <f t="shared" ref="D31:E31" si="10">D18-C18-D17</f>
        <v>0</v>
      </c>
      <c r="E31" s="117">
        <f t="shared" si="10"/>
        <v>0</v>
      </c>
      <c r="F31" s="117">
        <f>F18-E18-F17</f>
        <v>1490</v>
      </c>
      <c r="G31" s="5" t="s">
        <v>214</v>
      </c>
      <c r="H31" s="5"/>
      <c r="I31" s="5"/>
    </row>
    <row r="32" spans="1:16">
      <c r="A32" s="6" t="s">
        <v>198</v>
      </c>
      <c r="B32" s="117">
        <f t="shared" ref="B32:E32" si="11">B31+B30+B29</f>
        <v>0</v>
      </c>
      <c r="C32" s="117">
        <f t="shared" si="11"/>
        <v>-1000</v>
      </c>
      <c r="D32" s="117">
        <f t="shared" si="11"/>
        <v>200</v>
      </c>
      <c r="E32" s="117">
        <f t="shared" si="11"/>
        <v>0</v>
      </c>
      <c r="F32" s="117">
        <f>F31+F30+F29</f>
        <v>2190</v>
      </c>
    </row>
    <row r="33" spans="1:9">
      <c r="A33" s="6" t="s">
        <v>199</v>
      </c>
      <c r="B33" s="117">
        <f t="shared" ref="B33:E33" si="12">B32+B27</f>
        <v>3500</v>
      </c>
      <c r="C33" s="117">
        <f t="shared" si="12"/>
        <v>2000</v>
      </c>
      <c r="D33" s="117">
        <f t="shared" si="12"/>
        <v>-1200</v>
      </c>
      <c r="E33" s="117">
        <f t="shared" si="12"/>
        <v>5000</v>
      </c>
      <c r="F33" s="117">
        <f>F32+F27</f>
        <v>4090</v>
      </c>
    </row>
    <row r="39" spans="1:9">
      <c r="A39" s="127" t="s">
        <v>222</v>
      </c>
    </row>
    <row r="41" spans="1:9">
      <c r="A41" s="84" t="s">
        <v>105</v>
      </c>
    </row>
    <row r="42" spans="1:9">
      <c r="B42" s="119">
        <v>2018</v>
      </c>
      <c r="C42" s="119" t="s">
        <v>19</v>
      </c>
      <c r="D42" s="119">
        <v>2019</v>
      </c>
      <c r="E42" s="119" t="s">
        <v>19</v>
      </c>
      <c r="F42" s="119" t="s">
        <v>223</v>
      </c>
      <c r="G42" s="119" t="s">
        <v>19</v>
      </c>
      <c r="I42" s="160" t="s">
        <v>318</v>
      </c>
    </row>
    <row r="43" spans="1:9">
      <c r="A43" s="44" t="s">
        <v>47</v>
      </c>
      <c r="B43" s="111">
        <v>20000</v>
      </c>
      <c r="C43" s="128">
        <v>1</v>
      </c>
      <c r="D43" s="111">
        <v>21000</v>
      </c>
      <c r="E43" s="128">
        <v>1</v>
      </c>
      <c r="F43" s="111">
        <v>22000</v>
      </c>
      <c r="G43" s="128">
        <v>1</v>
      </c>
      <c r="I43" s="155">
        <v>32000</v>
      </c>
    </row>
    <row r="44" spans="1:9">
      <c r="A44" s="30" t="s">
        <v>224</v>
      </c>
      <c r="B44" s="69">
        <v>9600</v>
      </c>
      <c r="C44" s="129">
        <f>B44/B43</f>
        <v>0.48</v>
      </c>
      <c r="D44" s="68">
        <v>10080</v>
      </c>
      <c r="E44" s="129">
        <f>D44/D43</f>
        <v>0.48</v>
      </c>
      <c r="F44" s="30">
        <f>F43*E44</f>
        <v>10560</v>
      </c>
      <c r="G44" s="129">
        <v>0.48</v>
      </c>
      <c r="H44" s="1" t="s">
        <v>43</v>
      </c>
      <c r="I44">
        <f>I43*G44</f>
        <v>15360</v>
      </c>
    </row>
    <row r="45" spans="1:9">
      <c r="A45" s="30" t="s">
        <v>225</v>
      </c>
      <c r="B45" s="69">
        <v>1400</v>
      </c>
      <c r="C45" s="129">
        <f>B45/B43</f>
        <v>7.0000000000000007E-2</v>
      </c>
      <c r="D45" s="68">
        <v>1500</v>
      </c>
      <c r="E45" s="129">
        <f>D45/D43</f>
        <v>7.1428571428571425E-2</v>
      </c>
      <c r="F45" s="131">
        <f>F43*E45</f>
        <v>1571.4285714285713</v>
      </c>
      <c r="G45" s="129">
        <v>7.0000000000000007E-2</v>
      </c>
      <c r="H45" s="1" t="s">
        <v>43</v>
      </c>
      <c r="I45">
        <f>I43*G45</f>
        <v>2240</v>
      </c>
    </row>
    <row r="46" spans="1:9">
      <c r="A46" s="30" t="s">
        <v>226</v>
      </c>
      <c r="B46" s="5">
        <v>300</v>
      </c>
      <c r="C46" s="129">
        <f>B46/B43</f>
        <v>1.4999999999999999E-2</v>
      </c>
      <c r="D46" s="30">
        <v>370</v>
      </c>
      <c r="E46" s="129">
        <f>D46/D43</f>
        <v>1.7619047619047618E-2</v>
      </c>
      <c r="F46" s="131">
        <f>F43*E46</f>
        <v>387.61904761904759</v>
      </c>
      <c r="G46" s="129">
        <v>0.02</v>
      </c>
      <c r="H46" s="1" t="s">
        <v>43</v>
      </c>
      <c r="I46">
        <f>I43*G46</f>
        <v>640</v>
      </c>
    </row>
    <row r="47" spans="1:9">
      <c r="A47" s="30" t="s">
        <v>227</v>
      </c>
      <c r="B47" s="69">
        <v>3500</v>
      </c>
      <c r="C47" s="129">
        <f>B47/B43</f>
        <v>0.17499999999999999</v>
      </c>
      <c r="D47" s="68">
        <v>3700</v>
      </c>
      <c r="E47" s="129">
        <f>D47/D43</f>
        <v>0.1761904761904762</v>
      </c>
      <c r="F47" s="131">
        <f>F43*E47</f>
        <v>3876.1904761904766</v>
      </c>
      <c r="G47" s="129">
        <v>0.18</v>
      </c>
      <c r="H47" s="1" t="s">
        <v>43</v>
      </c>
      <c r="I47">
        <f>I43*G47</f>
        <v>5760</v>
      </c>
    </row>
    <row r="48" spans="1:9">
      <c r="A48" s="44" t="s">
        <v>4</v>
      </c>
      <c r="B48" s="111">
        <f>B43-(B44+B45+B46+B47)</f>
        <v>5200</v>
      </c>
      <c r="C48" s="129">
        <f>B48/B43</f>
        <v>0.26</v>
      </c>
      <c r="D48" s="111">
        <f t="shared" ref="D48" si="13">D43-(D44+D45+D46+D47)</f>
        <v>5350</v>
      </c>
      <c r="E48" s="34">
        <f>D48/D43</f>
        <v>0.25476190476190474</v>
      </c>
      <c r="F48" s="111">
        <f t="shared" ref="F48" si="14">F43-(F44+F45+F46+F47)</f>
        <v>5604.7619047619046</v>
      </c>
      <c r="G48" s="34">
        <f>F48/F43</f>
        <v>0.25476190476190474</v>
      </c>
      <c r="I48" s="155">
        <f>I43-(I44+I45+I46+I47)</f>
        <v>8000</v>
      </c>
    </row>
    <row r="49" spans="1:9">
      <c r="A49" s="30" t="s">
        <v>228</v>
      </c>
      <c r="B49" s="5">
        <v>500</v>
      </c>
      <c r="C49" s="129">
        <f>B49/B43</f>
        <v>2.5000000000000001E-2</v>
      </c>
      <c r="D49" s="30">
        <v>520</v>
      </c>
      <c r="E49" s="129">
        <f>D49/D43</f>
        <v>2.4761904761904763E-2</v>
      </c>
      <c r="F49" s="30">
        <v>520</v>
      </c>
      <c r="G49" s="129">
        <f>F49/F43</f>
        <v>2.3636363636363636E-2</v>
      </c>
      <c r="H49" s="1" t="s">
        <v>44</v>
      </c>
      <c r="I49">
        <v>520</v>
      </c>
    </row>
    <row r="50" spans="1:9">
      <c r="A50" s="44" t="s">
        <v>33</v>
      </c>
      <c r="B50" s="111">
        <f>B48-B49</f>
        <v>4700</v>
      </c>
      <c r="C50" s="129">
        <f>B50/B43</f>
        <v>0.23499999999999999</v>
      </c>
      <c r="D50" s="111">
        <f t="shared" ref="D50" si="15">D48-D49</f>
        <v>4830</v>
      </c>
      <c r="E50" s="34">
        <f>D50/D43</f>
        <v>0.23</v>
      </c>
      <c r="F50" s="111">
        <f t="shared" ref="F50" si="16">F48-F49</f>
        <v>5084.7619047619046</v>
      </c>
      <c r="G50" s="34">
        <f>F50/F43</f>
        <v>0.23112554112554112</v>
      </c>
      <c r="I50" s="155">
        <f>I48-I49</f>
        <v>7480</v>
      </c>
    </row>
    <row r="51" spans="1:9">
      <c r="A51" s="78" t="s">
        <v>229</v>
      </c>
      <c r="B51" s="69">
        <v>2000</v>
      </c>
      <c r="C51" s="129">
        <f>B51/B43</f>
        <v>0.1</v>
      </c>
      <c r="D51" s="69">
        <v>2200</v>
      </c>
      <c r="E51" s="129">
        <f>D51/D43</f>
        <v>0.10476190476190476</v>
      </c>
      <c r="F51" s="69">
        <v>2200</v>
      </c>
      <c r="G51" s="129">
        <f>F51/F43</f>
        <v>0.1</v>
      </c>
      <c r="H51" s="1" t="s">
        <v>44</v>
      </c>
      <c r="I51" s="155">
        <v>2200</v>
      </c>
    </row>
    <row r="52" spans="1:9">
      <c r="A52" s="44" t="s">
        <v>36</v>
      </c>
      <c r="B52" s="111">
        <f>B50-B51</f>
        <v>2700</v>
      </c>
      <c r="C52" s="129">
        <f>B52/B43</f>
        <v>0.13500000000000001</v>
      </c>
      <c r="D52" s="111">
        <f t="shared" ref="D52" si="17">D50-D51</f>
        <v>2630</v>
      </c>
      <c r="E52" s="34">
        <f>D52/D43</f>
        <v>0.12523809523809523</v>
      </c>
      <c r="F52" s="111">
        <f t="shared" ref="F52" si="18">F50-F51</f>
        <v>2884.7619047619046</v>
      </c>
      <c r="G52" s="34">
        <f>F52/F43</f>
        <v>0.13112554112554112</v>
      </c>
      <c r="I52" s="155">
        <f>I50-I51</f>
        <v>5280</v>
      </c>
    </row>
    <row r="53" spans="1:9">
      <c r="A53" s="78" t="s">
        <v>37</v>
      </c>
      <c r="B53" s="5">
        <v>700</v>
      </c>
      <c r="C53" s="129">
        <f>B53/B43</f>
        <v>3.5000000000000003E-2</v>
      </c>
      <c r="D53" s="5">
        <v>700</v>
      </c>
      <c r="E53" s="129">
        <f>D53/D43</f>
        <v>3.3333333333333333E-2</v>
      </c>
      <c r="F53" s="5">
        <v>700</v>
      </c>
      <c r="G53" s="129">
        <f>F53/F43</f>
        <v>3.1818181818181815E-2</v>
      </c>
      <c r="H53" s="1" t="s">
        <v>44</v>
      </c>
      <c r="I53">
        <v>700</v>
      </c>
    </row>
    <row r="54" spans="1:9">
      <c r="A54" s="44" t="s">
        <v>230</v>
      </c>
      <c r="B54" s="111">
        <f>B52-B53</f>
        <v>2000</v>
      </c>
      <c r="C54" s="129">
        <f>B54/B43</f>
        <v>0.1</v>
      </c>
      <c r="D54" s="111">
        <f t="shared" ref="D54" si="19">D52-D53</f>
        <v>1930</v>
      </c>
      <c r="E54" s="34">
        <f>D54/D43</f>
        <v>9.1904761904761906E-2</v>
      </c>
      <c r="F54" s="111">
        <f t="shared" ref="F54:I54" si="20">F52-F53</f>
        <v>2184.7619047619046</v>
      </c>
      <c r="G54" s="111"/>
      <c r="H54" s="111"/>
      <c r="I54" s="111">
        <f t="shared" si="20"/>
        <v>4580</v>
      </c>
    </row>
    <row r="55" spans="1:9">
      <c r="A55" s="78" t="s">
        <v>9</v>
      </c>
      <c r="B55" s="69">
        <v>1000</v>
      </c>
      <c r="C55" s="129">
        <f>B55/B43</f>
        <v>0.05</v>
      </c>
      <c r="D55" s="69">
        <v>1050</v>
      </c>
      <c r="E55" s="129">
        <f>D55/D43</f>
        <v>0.05</v>
      </c>
      <c r="F55" s="69">
        <v>1050</v>
      </c>
      <c r="G55" s="129">
        <f>F55/F43</f>
        <v>4.7727272727272729E-2</v>
      </c>
      <c r="H55" s="1" t="s">
        <v>44</v>
      </c>
      <c r="I55">
        <v>1050</v>
      </c>
    </row>
    <row r="56" spans="1:9">
      <c r="A56" s="44" t="s">
        <v>329</v>
      </c>
      <c r="B56" s="111">
        <f>B54-B55</f>
        <v>1000</v>
      </c>
      <c r="C56" s="34">
        <f>B56/B43</f>
        <v>0.05</v>
      </c>
      <c r="D56" s="111">
        <f t="shared" ref="D56:I56" si="21">D54-D55</f>
        <v>880</v>
      </c>
      <c r="E56" s="34">
        <f>D56/D43</f>
        <v>4.1904761904761903E-2</v>
      </c>
      <c r="F56" s="111">
        <f t="shared" si="21"/>
        <v>1134.7619047619046</v>
      </c>
      <c r="G56" s="111"/>
      <c r="H56" s="111"/>
      <c r="I56" s="111">
        <f t="shared" si="21"/>
        <v>3530</v>
      </c>
    </row>
    <row r="59" spans="1:9">
      <c r="A59" s="1" t="s">
        <v>232</v>
      </c>
      <c r="B59" s="69">
        <f>F49+F51+F53+F55</f>
        <v>4470</v>
      </c>
    </row>
    <row r="60" spans="1:9">
      <c r="A60" s="3" t="s">
        <v>231</v>
      </c>
      <c r="B60" s="132">
        <f>B59 / G48</f>
        <v>17545.794392523367</v>
      </c>
    </row>
    <row r="61" spans="1:9">
      <c r="A61" s="3" t="s">
        <v>248</v>
      </c>
      <c r="B61" s="132">
        <f>F56+F53</f>
        <v>1834.7619047619046</v>
      </c>
    </row>
    <row r="62" spans="1:9">
      <c r="C62" s="81"/>
    </row>
    <row r="64" spans="1:9">
      <c r="A64" s="84" t="s">
        <v>118</v>
      </c>
    </row>
    <row r="65" spans="1:19">
      <c r="B65" s="1">
        <v>2018</v>
      </c>
      <c r="C65" s="1">
        <v>2019</v>
      </c>
      <c r="D65" s="1" t="s">
        <v>223</v>
      </c>
      <c r="E65" t="s">
        <v>318</v>
      </c>
      <c r="N65" s="5"/>
    </row>
    <row r="66" spans="1:19">
      <c r="A66" s="5" t="s">
        <v>233</v>
      </c>
      <c r="B66" s="69">
        <v>4000</v>
      </c>
      <c r="C66" s="69">
        <v>4200</v>
      </c>
      <c r="D66" s="69">
        <f>C66-F53</f>
        <v>3500</v>
      </c>
      <c r="E66" s="5" t="s">
        <v>242</v>
      </c>
      <c r="F66" s="5"/>
      <c r="G66" s="5"/>
      <c r="H66" s="5"/>
      <c r="I66" s="5"/>
      <c r="J66" s="5"/>
      <c r="N66" s="5"/>
      <c r="O66" s="5"/>
      <c r="P66" s="5"/>
      <c r="Q66" s="5"/>
      <c r="R66" t="s">
        <v>311</v>
      </c>
    </row>
    <row r="68" spans="1:19">
      <c r="A68" s="5" t="s">
        <v>234</v>
      </c>
      <c r="B68" s="14">
        <v>2300</v>
      </c>
      <c r="C68" s="130">
        <v>2700</v>
      </c>
      <c r="D68" s="117">
        <f xml:space="preserve"> (F43 / 365) * N68</f>
        <v>2828.5714285714284</v>
      </c>
      <c r="E68" s="144">
        <f>(I43/365)*M68</f>
        <v>4120.5479452054797</v>
      </c>
      <c r="F68" s="117">
        <f>C68-D68</f>
        <v>-128.57142857142844</v>
      </c>
      <c r="G68" s="136" t="s">
        <v>246</v>
      </c>
      <c r="H68" s="136"/>
      <c r="I68" s="136"/>
      <c r="M68" s="144">
        <v>47</v>
      </c>
      <c r="N68" s="117">
        <f>(C68 /D43) * 365</f>
        <v>46.928571428571423</v>
      </c>
      <c r="O68" s="5" t="s">
        <v>313</v>
      </c>
      <c r="P68" s="5"/>
      <c r="Q68" s="5"/>
      <c r="R68" s="5"/>
      <c r="S68" t="s">
        <v>317</v>
      </c>
    </row>
    <row r="69" spans="1:19">
      <c r="A69" s="5" t="s">
        <v>235</v>
      </c>
      <c r="B69" s="14">
        <v>3800</v>
      </c>
      <c r="C69" s="130">
        <v>3900</v>
      </c>
      <c r="D69" s="117">
        <f>(F43/ 365) *N69</f>
        <v>4085.7142857142862</v>
      </c>
      <c r="E69" s="155">
        <v>9086</v>
      </c>
      <c r="F69" s="117">
        <f>C69-D69</f>
        <v>-185.71428571428623</v>
      </c>
      <c r="G69" s="136" t="s">
        <v>247</v>
      </c>
      <c r="H69" s="136"/>
      <c r="I69" s="136"/>
      <c r="K69" s="155">
        <f>-(E69-D69)</f>
        <v>-5000.2857142857138</v>
      </c>
      <c r="M69" s="117"/>
      <c r="N69" s="117">
        <f>(C69/D43) * 365</f>
        <v>67.785714285714292</v>
      </c>
      <c r="O69" s="5" t="s">
        <v>312</v>
      </c>
      <c r="P69" s="5"/>
      <c r="Q69" s="5"/>
      <c r="R69" s="5"/>
      <c r="S69" t="s">
        <v>316</v>
      </c>
    </row>
    <row r="70" spans="1:19">
      <c r="A70" s="5" t="s">
        <v>236</v>
      </c>
      <c r="B70" s="14">
        <v>-4000</v>
      </c>
      <c r="C70" s="51">
        <v>-3700</v>
      </c>
      <c r="D70" s="42">
        <f>-((F44+F45+F46+F47+F49) / 365) * N70</f>
        <v>-3870.5244868510172</v>
      </c>
      <c r="E70" s="144">
        <f>-((I44+I45+I46+I47+I49)/365) *M70</f>
        <v>-5642.9589041095887</v>
      </c>
      <c r="F70" s="123">
        <f>C70-D70</f>
        <v>170.52448685101717</v>
      </c>
      <c r="G70" s="137" t="s">
        <v>306</v>
      </c>
      <c r="H70" s="137"/>
      <c r="I70" s="72"/>
      <c r="M70" s="161">
        <v>84</v>
      </c>
      <c r="N70" s="117">
        <f xml:space="preserve"> -(C70/ (D44+D45+D46+D47+D49)) * 365</f>
        <v>83.518862090290654</v>
      </c>
      <c r="O70" s="5" t="s">
        <v>314</v>
      </c>
      <c r="P70" s="5"/>
      <c r="Q70" s="5"/>
      <c r="R70" s="5"/>
      <c r="S70" t="s">
        <v>315</v>
      </c>
    </row>
    <row r="71" spans="1:19">
      <c r="A71" s="5" t="s">
        <v>237</v>
      </c>
      <c r="B71" s="117">
        <f>B68+B69+B70</f>
        <v>2100</v>
      </c>
      <c r="C71" s="117">
        <f>C68+C69+C70</f>
        <v>2900</v>
      </c>
      <c r="D71" s="117">
        <f>D68+D69+D70</f>
        <v>3043.7612274346975</v>
      </c>
      <c r="E71" s="144">
        <f>E68+E69+E70</f>
        <v>7563.58904109589</v>
      </c>
      <c r="F71" s="135">
        <f>F68+F69+F70</f>
        <v>-143.7612274346975</v>
      </c>
      <c r="G71" s="27" t="s">
        <v>249</v>
      </c>
      <c r="H71" s="27"/>
      <c r="I71" s="27"/>
      <c r="J71" s="27"/>
      <c r="M71" s="144">
        <f>M68+M69-M70</f>
        <v>-37</v>
      </c>
      <c r="N71" s="144">
        <f>N68+N69-N70</f>
        <v>31.195423623995069</v>
      </c>
      <c r="O71" s="133" t="s">
        <v>319</v>
      </c>
    </row>
    <row r="72" spans="1:19">
      <c r="A72" s="5" t="s">
        <v>241</v>
      </c>
      <c r="B72" s="117">
        <f>B71+B66</f>
        <v>6100</v>
      </c>
      <c r="C72" s="117">
        <f>C71+C66</f>
        <v>7100</v>
      </c>
      <c r="D72" s="117">
        <f>D71+D66</f>
        <v>6543.7612274346975</v>
      </c>
      <c r="E72" s="5" t="s">
        <v>243</v>
      </c>
      <c r="F72" s="134"/>
      <c r="G72" s="134"/>
      <c r="K72" s="144">
        <f>-(E71-C71)</f>
        <v>-4663.58904109589</v>
      </c>
    </row>
    <row r="74" spans="1:19">
      <c r="A74" s="5" t="s">
        <v>238</v>
      </c>
      <c r="B74" s="138">
        <v>2600</v>
      </c>
      <c r="C74" s="138">
        <f>B74+D56</f>
        <v>3480</v>
      </c>
      <c r="D74" s="138">
        <f>C74+F56</f>
        <v>4614.7619047619046</v>
      </c>
    </row>
    <row r="75" spans="1:19">
      <c r="A75" s="5" t="s">
        <v>239</v>
      </c>
      <c r="B75" s="139">
        <f>B76-B74</f>
        <v>3500</v>
      </c>
      <c r="C75" s="139">
        <f>C76-C74</f>
        <v>3620</v>
      </c>
      <c r="D75" s="139">
        <f>D76-D74</f>
        <v>1928.9993226727929</v>
      </c>
    </row>
    <row r="76" spans="1:19">
      <c r="A76" s="5" t="s">
        <v>240</v>
      </c>
      <c r="B76" s="139">
        <f>B72</f>
        <v>6100</v>
      </c>
      <c r="C76" s="139">
        <f>C72</f>
        <v>7100</v>
      </c>
      <c r="D76" s="139">
        <f>D72</f>
        <v>6543.7612274346975</v>
      </c>
    </row>
    <row r="78" spans="1:19">
      <c r="A78" s="125" t="s">
        <v>244</v>
      </c>
      <c r="B78" s="126"/>
      <c r="C78" s="126">
        <f>B75-C75</f>
        <v>-120</v>
      </c>
      <c r="D78" s="126">
        <f>C75-D75</f>
        <v>1691.0006773272071</v>
      </c>
      <c r="E78" s="125" t="s">
        <v>221</v>
      </c>
      <c r="F78" s="125"/>
      <c r="G78" s="125"/>
      <c r="H78" s="125"/>
      <c r="I78" s="125"/>
      <c r="J78" s="125"/>
      <c r="K78" s="125"/>
      <c r="L78" s="125"/>
      <c r="M78" s="125"/>
      <c r="N78" s="133"/>
    </row>
    <row r="80" spans="1:19">
      <c r="A80" s="141" t="s">
        <v>245</v>
      </c>
      <c r="B80" s="141"/>
      <c r="C80" s="142">
        <f>-(C66-B66)-D53</f>
        <v>-900</v>
      </c>
      <c r="D80" s="142">
        <f>-(D66-C66)-F53</f>
        <v>0</v>
      </c>
    </row>
    <row r="81" spans="1:5">
      <c r="A81" s="141" t="s">
        <v>252</v>
      </c>
      <c r="B81" s="141"/>
      <c r="C81" s="142">
        <f>C74-B74-D56</f>
        <v>0</v>
      </c>
      <c r="D81" s="142">
        <f>D74-C74-F56</f>
        <v>0</v>
      </c>
    </row>
    <row r="82" spans="1:5">
      <c r="A82" s="133"/>
      <c r="B82" s="133"/>
      <c r="C82" s="77"/>
      <c r="D82" s="77"/>
    </row>
    <row r="83" spans="1:5">
      <c r="A83" s="27" t="s">
        <v>251</v>
      </c>
      <c r="B83" s="4">
        <f>D80</f>
        <v>0</v>
      </c>
    </row>
    <row r="84" spans="1:5">
      <c r="A84" s="27" t="s">
        <v>250</v>
      </c>
      <c r="B84" s="29">
        <f>F71</f>
        <v>-143.7612274346975</v>
      </c>
    </row>
    <row r="85" spans="1:5">
      <c r="A85" s="140" t="s">
        <v>253</v>
      </c>
      <c r="B85" s="4">
        <f>D74-C74-F56</f>
        <v>0</v>
      </c>
    </row>
    <row r="87" spans="1:5">
      <c r="A87" s="27" t="s">
        <v>254</v>
      </c>
      <c r="B87" s="135">
        <f>B83+B84+B85</f>
        <v>-143.7612274346975</v>
      </c>
    </row>
    <row r="89" spans="1:5">
      <c r="A89" s="27" t="s">
        <v>303</v>
      </c>
      <c r="B89" s="135">
        <f>B61+B87</f>
        <v>1691.0006773272071</v>
      </c>
      <c r="C89" s="27" t="s">
        <v>302</v>
      </c>
      <c r="D89" s="27"/>
      <c r="E89" s="2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43DD1-18FE-0B40-96C8-DBED0F38F563}">
  <dimension ref="A4:F57"/>
  <sheetViews>
    <sheetView tabSelected="1" topLeftCell="A33" zoomScale="176" workbookViewId="0">
      <selection activeCell="A57" sqref="A57"/>
    </sheetView>
  </sheetViews>
  <sheetFormatPr baseColWidth="10" defaultRowHeight="16"/>
  <cols>
    <col min="1" max="1" width="21.83203125" bestFit="1" customWidth="1"/>
    <col min="3" max="3" width="6.33203125" customWidth="1"/>
    <col min="5" max="5" width="6.33203125" customWidth="1"/>
  </cols>
  <sheetData>
    <row r="4" spans="1:6">
      <c r="A4" s="127" t="s">
        <v>222</v>
      </c>
    </row>
    <row r="6" spans="1:6">
      <c r="A6" s="84" t="s">
        <v>105</v>
      </c>
    </row>
    <row r="7" spans="1:6">
      <c r="B7" s="119">
        <v>2018</v>
      </c>
      <c r="C7" s="119" t="s">
        <v>19</v>
      </c>
      <c r="D7" s="119">
        <v>2019</v>
      </c>
      <c r="E7" s="119" t="s">
        <v>19</v>
      </c>
      <c r="F7" s="119" t="s">
        <v>223</v>
      </c>
    </row>
    <row r="8" spans="1:6">
      <c r="A8" s="44" t="s">
        <v>47</v>
      </c>
      <c r="B8" s="111">
        <v>20000</v>
      </c>
      <c r="C8" s="128">
        <v>1</v>
      </c>
      <c r="D8" s="111">
        <v>21000</v>
      </c>
      <c r="E8" s="128">
        <v>1</v>
      </c>
      <c r="F8" s="111"/>
    </row>
    <row r="9" spans="1:6">
      <c r="A9" s="30" t="s">
        <v>224</v>
      </c>
      <c r="B9" s="69">
        <v>9600</v>
      </c>
      <c r="C9" s="129">
        <f>B9/B8</f>
        <v>0.48</v>
      </c>
      <c r="D9" s="68">
        <v>10080</v>
      </c>
      <c r="E9" s="129">
        <f>D9/D8</f>
        <v>0.48</v>
      </c>
      <c r="F9" s="30">
        <f>F8*E9</f>
        <v>0</v>
      </c>
    </row>
    <row r="10" spans="1:6">
      <c r="A10" s="30" t="s">
        <v>225</v>
      </c>
      <c r="B10" s="69">
        <v>1400</v>
      </c>
      <c r="C10" s="129">
        <f>B10/B8</f>
        <v>7.0000000000000007E-2</v>
      </c>
      <c r="D10" s="68">
        <v>1500</v>
      </c>
      <c r="E10" s="129">
        <f>D10/D8</f>
        <v>7.1428571428571425E-2</v>
      </c>
      <c r="F10" s="131">
        <f>F8*E10</f>
        <v>0</v>
      </c>
    </row>
    <row r="11" spans="1:6">
      <c r="A11" s="30" t="s">
        <v>226</v>
      </c>
      <c r="B11" s="5">
        <v>300</v>
      </c>
      <c r="C11" s="129">
        <f>B11/B8</f>
        <v>1.4999999999999999E-2</v>
      </c>
      <c r="D11" s="30">
        <v>370</v>
      </c>
      <c r="E11" s="129">
        <f>D11/D8</f>
        <v>1.7619047619047618E-2</v>
      </c>
      <c r="F11" s="131">
        <f>F8*E11</f>
        <v>0</v>
      </c>
    </row>
    <row r="12" spans="1:6">
      <c r="A12" s="30" t="s">
        <v>227</v>
      </c>
      <c r="B12" s="69">
        <v>3500</v>
      </c>
      <c r="C12" s="129">
        <f>B12/B8</f>
        <v>0.17499999999999999</v>
      </c>
      <c r="D12" s="68">
        <v>3700</v>
      </c>
      <c r="E12" s="129">
        <f>D12/D8</f>
        <v>0.1761904761904762</v>
      </c>
      <c r="F12" s="131">
        <f>F8*E12</f>
        <v>0</v>
      </c>
    </row>
    <row r="13" spans="1:6">
      <c r="A13" s="44" t="s">
        <v>4</v>
      </c>
      <c r="B13" s="111">
        <f>B8-(B9+B10+B11+B12)</f>
        <v>5200</v>
      </c>
      <c r="C13" s="129">
        <f>B13/B8</f>
        <v>0.26</v>
      </c>
      <c r="D13" s="111">
        <f t="shared" ref="D13" si="0">D8-(D9+D10+D11+D12)</f>
        <v>5350</v>
      </c>
      <c r="E13" s="34">
        <f>D13/D8</f>
        <v>0.25476190476190474</v>
      </c>
      <c r="F13" s="111">
        <f t="shared" ref="F13" si="1">F8-(F9+F10+F11+F12)</f>
        <v>0</v>
      </c>
    </row>
    <row r="14" spans="1:6">
      <c r="A14" s="30" t="s">
        <v>228</v>
      </c>
      <c r="B14" s="5">
        <v>500</v>
      </c>
      <c r="C14" s="129">
        <f>B14/B8</f>
        <v>2.5000000000000001E-2</v>
      </c>
      <c r="D14" s="30">
        <v>520</v>
      </c>
      <c r="E14" s="129">
        <f>D14/D8</f>
        <v>2.4761904761904763E-2</v>
      </c>
      <c r="F14" s="30"/>
    </row>
    <row r="15" spans="1:6">
      <c r="A15" s="44" t="s">
        <v>33</v>
      </c>
      <c r="B15" s="111">
        <f>B13-B14</f>
        <v>4700</v>
      </c>
      <c r="C15" s="129">
        <f>B15/B8</f>
        <v>0.23499999999999999</v>
      </c>
      <c r="D15" s="111">
        <f t="shared" ref="D15" si="2">D13-D14</f>
        <v>4830</v>
      </c>
      <c r="E15" s="34">
        <f>D15/D8</f>
        <v>0.23</v>
      </c>
      <c r="F15" s="111">
        <f t="shared" ref="F15" si="3">F13-F14</f>
        <v>0</v>
      </c>
    </row>
    <row r="16" spans="1:6">
      <c r="A16" s="78" t="s">
        <v>229</v>
      </c>
      <c r="B16" s="69">
        <v>2000</v>
      </c>
      <c r="C16" s="129">
        <f>B16/B8</f>
        <v>0.1</v>
      </c>
      <c r="D16" s="69">
        <v>2200</v>
      </c>
      <c r="E16" s="129">
        <f>D16/D8</f>
        <v>0.10476190476190476</v>
      </c>
      <c r="F16" s="69"/>
    </row>
    <row r="17" spans="1:6">
      <c r="A17" s="44" t="s">
        <v>36</v>
      </c>
      <c r="B17" s="111">
        <f>B15-B16</f>
        <v>2700</v>
      </c>
      <c r="C17" s="129">
        <f>B17/B8</f>
        <v>0.13500000000000001</v>
      </c>
      <c r="D17" s="111">
        <f t="shared" ref="D17" si="4">D15-D16</f>
        <v>2630</v>
      </c>
      <c r="E17" s="34">
        <f>D17/D8</f>
        <v>0.12523809523809523</v>
      </c>
      <c r="F17" s="111">
        <f t="shared" ref="F17" si="5">F15-F16</f>
        <v>0</v>
      </c>
    </row>
    <row r="18" spans="1:6">
      <c r="A18" s="78" t="s">
        <v>37</v>
      </c>
      <c r="B18" s="5">
        <v>700</v>
      </c>
      <c r="C18" s="129">
        <f>B18/B8</f>
        <v>3.5000000000000003E-2</v>
      </c>
      <c r="D18" s="5">
        <v>700</v>
      </c>
      <c r="E18" s="129">
        <f>D18/D8</f>
        <v>3.3333333333333333E-2</v>
      </c>
      <c r="F18" s="5"/>
    </row>
    <row r="19" spans="1:6">
      <c r="A19" s="44" t="s">
        <v>230</v>
      </c>
      <c r="B19" s="111">
        <f>B17-B18</f>
        <v>2000</v>
      </c>
      <c r="C19" s="129">
        <f>B19/B8</f>
        <v>0.1</v>
      </c>
      <c r="D19" s="111">
        <f t="shared" ref="D19" si="6">D17-D18</f>
        <v>1930</v>
      </c>
      <c r="E19" s="34">
        <f>D19/D8</f>
        <v>9.1904761904761906E-2</v>
      </c>
      <c r="F19" s="111">
        <f t="shared" ref="F19" si="7">F17-F18</f>
        <v>0</v>
      </c>
    </row>
    <row r="20" spans="1:6">
      <c r="A20" s="78" t="s">
        <v>9</v>
      </c>
      <c r="B20" s="69">
        <v>1000</v>
      </c>
      <c r="C20" s="129">
        <f>B20/B8</f>
        <v>0.05</v>
      </c>
      <c r="D20" s="69">
        <v>1050</v>
      </c>
      <c r="E20" s="129">
        <f>D20/D8</f>
        <v>0.05</v>
      </c>
      <c r="F20" s="69"/>
    </row>
    <row r="21" spans="1:6">
      <c r="A21" s="44" t="s">
        <v>329</v>
      </c>
      <c r="B21" s="111">
        <f>B19-B20</f>
        <v>1000</v>
      </c>
      <c r="C21" s="34">
        <f>B21/B8</f>
        <v>0.05</v>
      </c>
      <c r="D21" s="111">
        <f t="shared" ref="D21:F21" si="8">D19-D20</f>
        <v>880</v>
      </c>
      <c r="E21" s="34">
        <f>D21/D8</f>
        <v>4.1904761904761903E-2</v>
      </c>
      <c r="F21" s="111">
        <f t="shared" si="8"/>
        <v>0</v>
      </c>
    </row>
    <row r="24" spans="1:6">
      <c r="A24" s="84" t="s">
        <v>118</v>
      </c>
    </row>
    <row r="25" spans="1:6">
      <c r="B25" s="1">
        <v>2018</v>
      </c>
      <c r="D25" s="1">
        <v>2019</v>
      </c>
      <c r="F25" s="1" t="s">
        <v>223</v>
      </c>
    </row>
    <row r="26" spans="1:6">
      <c r="A26" s="5" t="s">
        <v>233</v>
      </c>
      <c r="B26" s="69">
        <v>4000</v>
      </c>
      <c r="D26" s="69">
        <v>4200</v>
      </c>
      <c r="F26" s="69">
        <f>D26-F13</f>
        <v>4200</v>
      </c>
    </row>
    <row r="28" spans="1:6">
      <c r="A28" s="5" t="s">
        <v>234</v>
      </c>
      <c r="B28" s="14">
        <v>2300</v>
      </c>
      <c r="D28" s="130">
        <v>2700</v>
      </c>
      <c r="F28" s="117">
        <f xml:space="preserve"> (F3 / 365) * N28</f>
        <v>0</v>
      </c>
    </row>
    <row r="29" spans="1:6">
      <c r="A29" s="5" t="s">
        <v>235</v>
      </c>
      <c r="B29" s="14">
        <v>3800</v>
      </c>
      <c r="D29" s="130">
        <v>3900</v>
      </c>
      <c r="F29" s="117">
        <f>(F3/ 365) *N29</f>
        <v>0</v>
      </c>
    </row>
    <row r="30" spans="1:6">
      <c r="A30" s="5" t="s">
        <v>236</v>
      </c>
      <c r="B30" s="14">
        <v>-4000</v>
      </c>
      <c r="D30" s="51">
        <v>-3700</v>
      </c>
      <c r="F30" s="42" t="e">
        <f>-((F4+F5+F6+F7+F9) / 365) * N30</f>
        <v>#VALUE!</v>
      </c>
    </row>
    <row r="31" spans="1:6">
      <c r="A31" s="5" t="s">
        <v>237</v>
      </c>
      <c r="B31" s="117">
        <f>B28+B29+B30</f>
        <v>2100</v>
      </c>
      <c r="D31" s="117">
        <f>D28+D29+D30</f>
        <v>2900</v>
      </c>
      <c r="F31" s="117" t="e">
        <f>F28+F29+F30</f>
        <v>#VALUE!</v>
      </c>
    </row>
    <row r="32" spans="1:6">
      <c r="A32" s="5" t="s">
        <v>241</v>
      </c>
      <c r="B32" s="117">
        <f>B31+B26</f>
        <v>6100</v>
      </c>
      <c r="D32" s="117">
        <f>D31+D26</f>
        <v>7100</v>
      </c>
      <c r="F32" s="117" t="e">
        <f>F31+F26</f>
        <v>#VALUE!</v>
      </c>
    </row>
    <row r="34" spans="1:6">
      <c r="A34" s="5" t="s">
        <v>238</v>
      </c>
      <c r="B34" s="138">
        <v>2600</v>
      </c>
      <c r="D34" s="138">
        <f>B34+D16</f>
        <v>4800</v>
      </c>
      <c r="F34" s="138">
        <f>D34+F16</f>
        <v>4800</v>
      </c>
    </row>
    <row r="35" spans="1:6">
      <c r="A35" s="5" t="s">
        <v>239</v>
      </c>
      <c r="B35" s="139">
        <f>B36-B34</f>
        <v>3500</v>
      </c>
      <c r="D35" s="139">
        <f>D36-D34</f>
        <v>2300</v>
      </c>
      <c r="F35" s="139" t="e">
        <f>F36-F34</f>
        <v>#VALUE!</v>
      </c>
    </row>
    <row r="36" spans="1:6">
      <c r="A36" s="5" t="s">
        <v>240</v>
      </c>
      <c r="B36" s="139">
        <f>B32</f>
        <v>6100</v>
      </c>
      <c r="D36" s="139">
        <f>D32</f>
        <v>7100</v>
      </c>
      <c r="F36" s="139" t="e">
        <f>F32</f>
        <v>#VALUE!</v>
      </c>
    </row>
    <row r="40" spans="1:6">
      <c r="A40" s="47" t="s">
        <v>320</v>
      </c>
    </row>
    <row r="42" spans="1:6">
      <c r="A42" t="s">
        <v>334</v>
      </c>
    </row>
    <row r="43" spans="1:6">
      <c r="A43" t="s">
        <v>321</v>
      </c>
      <c r="B43">
        <v>9000</v>
      </c>
      <c r="D43" t="s">
        <v>322</v>
      </c>
    </row>
    <row r="44" spans="1:6">
      <c r="A44" t="s">
        <v>323</v>
      </c>
      <c r="B44" t="s">
        <v>335</v>
      </c>
    </row>
    <row r="45" spans="1:6">
      <c r="A45" t="s">
        <v>324</v>
      </c>
    </row>
    <row r="46" spans="1:6">
      <c r="A46" t="s">
        <v>325</v>
      </c>
    </row>
    <row r="48" spans="1:6">
      <c r="A48" s="47" t="s">
        <v>326</v>
      </c>
    </row>
    <row r="49" spans="1:1">
      <c r="A49" t="s">
        <v>327</v>
      </c>
    </row>
    <row r="50" spans="1:1">
      <c r="A50" t="s">
        <v>328</v>
      </c>
    </row>
    <row r="51" spans="1:1">
      <c r="A51" t="s">
        <v>36</v>
      </c>
    </row>
    <row r="52" spans="1:1">
      <c r="A52" t="s">
        <v>36</v>
      </c>
    </row>
    <row r="53" spans="1:1">
      <c r="A53" t="s">
        <v>330</v>
      </c>
    </row>
    <row r="54" spans="1:1">
      <c r="A54" t="s">
        <v>331</v>
      </c>
    </row>
    <row r="56" spans="1:1">
      <c r="A56" t="s">
        <v>332</v>
      </c>
    </row>
    <row r="57" spans="1:1">
      <c r="A57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9A9E-0602-1342-B0AD-B7B9CAF72932}">
  <dimension ref="B2:J55"/>
  <sheetViews>
    <sheetView topLeftCell="A16" workbookViewId="0">
      <selection activeCell="K54" sqref="K54"/>
    </sheetView>
  </sheetViews>
  <sheetFormatPr baseColWidth="10" defaultRowHeight="16"/>
  <cols>
    <col min="2" max="2" width="14.83203125" customWidth="1"/>
    <col min="3" max="3" width="31.1640625" customWidth="1"/>
    <col min="5" max="5" width="24.33203125" customWidth="1"/>
  </cols>
  <sheetData>
    <row r="2" spans="2:10" ht="23" customHeight="1">
      <c r="B2" s="85" t="s">
        <v>142</v>
      </c>
      <c r="C2" s="45"/>
      <c r="D2" s="45"/>
      <c r="E2" s="45"/>
    </row>
    <row r="4" spans="2:10">
      <c r="B4" s="62" t="s">
        <v>143</v>
      </c>
      <c r="C4" s="27"/>
      <c r="D4" s="27"/>
      <c r="E4" s="5" t="s">
        <v>146</v>
      </c>
      <c r="F4" s="5"/>
      <c r="G4" s="5"/>
      <c r="H4" s="5"/>
      <c r="I4" s="5"/>
    </row>
    <row r="6" spans="2:10">
      <c r="B6" s="62" t="s">
        <v>144</v>
      </c>
      <c r="C6" s="27"/>
      <c r="D6" s="27"/>
      <c r="E6" s="27"/>
      <c r="F6" s="27"/>
      <c r="G6" s="5" t="s">
        <v>147</v>
      </c>
      <c r="H6" s="5"/>
      <c r="I6" s="5"/>
      <c r="J6" s="5"/>
    </row>
    <row r="8" spans="2:10">
      <c r="B8" s="62" t="s">
        <v>145</v>
      </c>
      <c r="C8" s="27"/>
      <c r="D8" s="27"/>
      <c r="E8" s="5" t="s">
        <v>148</v>
      </c>
      <c r="F8" s="5"/>
      <c r="G8" s="5"/>
      <c r="H8" s="5"/>
      <c r="I8" s="5"/>
      <c r="J8" s="5"/>
    </row>
    <row r="11" spans="2:10">
      <c r="B11" s="86"/>
      <c r="C11" s="88" t="s">
        <v>149</v>
      </c>
      <c r="D11" s="86"/>
      <c r="E11" s="86"/>
      <c r="F11" s="86"/>
      <c r="G11" s="86"/>
      <c r="H11" s="86"/>
    </row>
    <row r="12" spans="2:10">
      <c r="B12" s="86"/>
      <c r="C12" s="86"/>
      <c r="D12" s="86"/>
      <c r="E12" s="86"/>
      <c r="F12" s="86"/>
      <c r="G12" s="86"/>
      <c r="H12" s="86"/>
    </row>
    <row r="13" spans="2:10">
      <c r="B13" s="86"/>
      <c r="C13" s="86"/>
      <c r="D13" s="86"/>
      <c r="E13" s="86"/>
      <c r="F13" s="86"/>
      <c r="G13" s="86"/>
      <c r="H13" s="86"/>
    </row>
    <row r="14" spans="2:10" ht="32">
      <c r="B14" s="89" t="s">
        <v>150</v>
      </c>
      <c r="C14" s="90" t="s">
        <v>151</v>
      </c>
      <c r="D14" s="90" t="s">
        <v>152</v>
      </c>
      <c r="E14" s="90" t="s">
        <v>153</v>
      </c>
      <c r="F14" s="90" t="s">
        <v>154</v>
      </c>
      <c r="G14" s="89"/>
      <c r="H14" s="94" t="s">
        <v>155</v>
      </c>
    </row>
    <row r="15" spans="2:10">
      <c r="B15" s="91">
        <v>43831</v>
      </c>
      <c r="C15" s="92">
        <v>11</v>
      </c>
      <c r="D15" s="87">
        <v>9</v>
      </c>
      <c r="E15" s="86"/>
      <c r="F15" s="86">
        <f>+C15+D15</f>
        <v>20</v>
      </c>
      <c r="G15" s="86"/>
      <c r="H15" s="86"/>
    </row>
    <row r="16" spans="2:10">
      <c r="B16" s="86"/>
      <c r="C16" s="86"/>
      <c r="D16" s="86"/>
      <c r="E16" s="86"/>
      <c r="F16" s="86"/>
      <c r="G16" s="86"/>
      <c r="H16" s="86"/>
    </row>
    <row r="17" spans="2:8">
      <c r="B17" s="91">
        <v>43832</v>
      </c>
      <c r="C17" s="86"/>
      <c r="D17" s="86"/>
      <c r="E17" s="86">
        <v>3</v>
      </c>
      <c r="F17" s="86">
        <v>17</v>
      </c>
      <c r="G17" s="86"/>
      <c r="H17" s="95">
        <v>3</v>
      </c>
    </row>
    <row r="18" spans="2:8">
      <c r="B18" s="86"/>
      <c r="C18" s="86"/>
      <c r="D18" s="86"/>
      <c r="E18" s="86"/>
      <c r="F18" s="86"/>
      <c r="G18" s="86"/>
      <c r="H18" s="86"/>
    </row>
    <row r="19" spans="2:8">
      <c r="B19" s="91">
        <v>43833</v>
      </c>
      <c r="C19" s="86"/>
      <c r="D19" s="87">
        <v>4</v>
      </c>
      <c r="E19" s="86">
        <v>7</v>
      </c>
      <c r="F19" s="93">
        <f>+C15+D15+D19-E17-E19</f>
        <v>14</v>
      </c>
      <c r="G19" s="86"/>
      <c r="H19" s="95">
        <v>7</v>
      </c>
    </row>
    <row r="21" spans="2:8">
      <c r="C21" s="97" t="s">
        <v>156</v>
      </c>
      <c r="D21" s="98">
        <v>11</v>
      </c>
    </row>
    <row r="22" spans="2:8">
      <c r="C22" s="96"/>
      <c r="D22" s="96"/>
    </row>
    <row r="23" spans="2:8">
      <c r="C23" s="97" t="s">
        <v>157</v>
      </c>
      <c r="D23" s="99">
        <v>13</v>
      </c>
    </row>
    <row r="24" spans="2:8">
      <c r="C24" s="96"/>
      <c r="D24" s="96"/>
    </row>
    <row r="25" spans="2:8">
      <c r="C25" s="97" t="s">
        <v>158</v>
      </c>
      <c r="D25" s="100">
        <v>14</v>
      </c>
    </row>
    <row r="27" spans="2:8">
      <c r="C27" s="97" t="s">
        <v>159</v>
      </c>
      <c r="D27" s="6">
        <f>+D21+D23-D25</f>
        <v>10</v>
      </c>
      <c r="E27" s="101" t="s">
        <v>160</v>
      </c>
      <c r="F27" s="101"/>
      <c r="G27" s="96"/>
    </row>
    <row r="28" spans="2:8">
      <c r="C28" s="96"/>
      <c r="D28" s="96"/>
      <c r="E28" s="62" t="s">
        <v>161</v>
      </c>
      <c r="F28" s="62" t="s">
        <v>118</v>
      </c>
      <c r="G28" s="102"/>
    </row>
    <row r="29" spans="2:8">
      <c r="C29" s="96"/>
      <c r="D29" s="96"/>
      <c r="E29" s="62" t="s">
        <v>162</v>
      </c>
      <c r="F29" s="62" t="s">
        <v>105</v>
      </c>
      <c r="G29" s="102"/>
    </row>
    <row r="32" spans="2:8">
      <c r="B32" s="81"/>
      <c r="C32" s="1"/>
      <c r="D32" s="103">
        <v>2018</v>
      </c>
      <c r="E32" s="104">
        <v>2019</v>
      </c>
      <c r="F32" s="105">
        <v>2020</v>
      </c>
    </row>
    <row r="33" spans="2:10">
      <c r="B33" s="81"/>
      <c r="C33" s="1" t="s">
        <v>163</v>
      </c>
      <c r="D33" s="1">
        <v>-2000</v>
      </c>
      <c r="E33" s="106">
        <v>-3000</v>
      </c>
      <c r="F33" s="107">
        <v>-1500</v>
      </c>
    </row>
    <row r="34" spans="2:10">
      <c r="B34" s="81"/>
      <c r="C34" s="1" t="s">
        <v>152</v>
      </c>
      <c r="D34" s="1">
        <v>-6000</v>
      </c>
      <c r="E34" s="1">
        <v>-4500</v>
      </c>
      <c r="F34" s="1">
        <v>-5000</v>
      </c>
    </row>
    <row r="35" spans="2:10">
      <c r="B35" s="81"/>
      <c r="C35" s="1" t="s">
        <v>164</v>
      </c>
      <c r="D35" s="106">
        <v>3000</v>
      </c>
      <c r="E35" s="107">
        <v>1500</v>
      </c>
      <c r="F35" s="1">
        <v>1500</v>
      </c>
    </row>
    <row r="36" spans="2:10">
      <c r="B36" s="81"/>
      <c r="C36" s="1"/>
      <c r="D36" s="1"/>
      <c r="E36" s="1"/>
      <c r="F36" s="1"/>
    </row>
    <row r="37" spans="2:10">
      <c r="B37" s="81"/>
      <c r="C37" s="1"/>
      <c r="D37" s="1"/>
      <c r="E37" s="1"/>
      <c r="F37" s="1"/>
    </row>
    <row r="38" spans="2:10">
      <c r="B38" s="81"/>
      <c r="C38" s="1" t="s">
        <v>165</v>
      </c>
      <c r="D38" s="1">
        <f>+D35+D33</f>
        <v>1000</v>
      </c>
      <c r="E38" s="1">
        <f>+E35+E33</f>
        <v>-1500</v>
      </c>
      <c r="F38" s="1">
        <f>+F35+F33</f>
        <v>0</v>
      </c>
      <c r="G38" s="5" t="s">
        <v>218</v>
      </c>
      <c r="H38" s="5"/>
      <c r="I38" s="5"/>
    </row>
    <row r="39" spans="2:10">
      <c r="B39" s="1" t="s">
        <v>166</v>
      </c>
      <c r="C39" s="1" t="s">
        <v>167</v>
      </c>
      <c r="D39" s="1">
        <f>+D38+D34</f>
        <v>-5000</v>
      </c>
      <c r="E39" s="1">
        <f>+E38+E34</f>
        <v>-6000</v>
      </c>
      <c r="F39" s="1">
        <f>+F38+F34</f>
        <v>-5000</v>
      </c>
      <c r="G39" s="5" t="s">
        <v>219</v>
      </c>
      <c r="H39" s="5"/>
      <c r="I39" s="5"/>
    </row>
    <row r="40" spans="2:10">
      <c r="B40" s="81"/>
      <c r="C40" s="1"/>
      <c r="D40" s="1"/>
      <c r="E40" s="1"/>
      <c r="F40" s="1"/>
    </row>
    <row r="41" spans="2:10">
      <c r="B41" s="1" t="s">
        <v>168</v>
      </c>
      <c r="C41" s="1" t="s">
        <v>169</v>
      </c>
      <c r="D41" s="1">
        <f>-D38</f>
        <v>-1000</v>
      </c>
      <c r="E41" s="1">
        <f t="shared" ref="E41:F41" si="0">-E38</f>
        <v>1500</v>
      </c>
      <c r="F41" s="1">
        <f t="shared" si="0"/>
        <v>0</v>
      </c>
      <c r="G41" s="5" t="s">
        <v>216</v>
      </c>
      <c r="H41" s="5"/>
      <c r="I41" s="5"/>
    </row>
    <row r="42" spans="2:10">
      <c r="B42" s="81"/>
      <c r="C42" s="1"/>
      <c r="D42" s="1"/>
      <c r="E42" s="1"/>
      <c r="F42" s="1"/>
    </row>
    <row r="43" spans="2:10">
      <c r="B43" s="1" t="s">
        <v>170</v>
      </c>
      <c r="C43" s="1" t="s">
        <v>171</v>
      </c>
      <c r="D43" s="1">
        <f>+D39+D41</f>
        <v>-6000</v>
      </c>
      <c r="E43" s="1">
        <f t="shared" ref="E43:F43" si="1">+E39+E41</f>
        <v>-4500</v>
      </c>
      <c r="F43" s="1">
        <f t="shared" si="1"/>
        <v>-5000</v>
      </c>
      <c r="G43" s="5" t="s">
        <v>217</v>
      </c>
      <c r="H43" s="5"/>
      <c r="I43" s="5"/>
      <c r="J43" s="5"/>
    </row>
    <row r="44" spans="2:10">
      <c r="B44" s="81"/>
      <c r="C44" s="1" t="s">
        <v>310</v>
      </c>
      <c r="D44" s="81"/>
      <c r="E44" s="81"/>
      <c r="F44" s="81"/>
    </row>
    <row r="45" spans="2:10">
      <c r="B45" s="81"/>
      <c r="C45" s="81"/>
      <c r="D45" s="81"/>
      <c r="E45" s="81"/>
      <c r="F45" s="81"/>
    </row>
    <row r="46" spans="2:10">
      <c r="B46" s="81"/>
      <c r="C46" s="81"/>
      <c r="D46" s="81"/>
      <c r="E46" s="81"/>
      <c r="F46" s="81"/>
    </row>
    <row r="47" spans="2:10">
      <c r="B47" s="81"/>
      <c r="C47" s="81"/>
      <c r="D47" s="81"/>
      <c r="E47" s="81"/>
      <c r="F47" s="81"/>
    </row>
    <row r="48" spans="2:10">
      <c r="B48" s="81"/>
      <c r="C48" s="81"/>
      <c r="D48" s="81"/>
      <c r="E48" s="81"/>
      <c r="F48" s="81"/>
    </row>
    <row r="49" spans="2:6">
      <c r="B49" s="81"/>
      <c r="C49" s="1"/>
      <c r="D49" s="103">
        <v>2018</v>
      </c>
      <c r="E49" s="104">
        <v>2019</v>
      </c>
      <c r="F49" s="105">
        <v>2020</v>
      </c>
    </row>
    <row r="50" spans="2:6">
      <c r="B50" s="81"/>
      <c r="C50" s="1" t="s">
        <v>172</v>
      </c>
      <c r="D50" s="1">
        <v>3000</v>
      </c>
      <c r="E50" s="1">
        <v>1500</v>
      </c>
      <c r="F50" s="1">
        <v>1500</v>
      </c>
    </row>
    <row r="51" spans="2:6">
      <c r="B51" s="81"/>
      <c r="C51" s="1"/>
      <c r="D51" s="1"/>
      <c r="E51" s="1"/>
      <c r="F51" s="1"/>
    </row>
    <row r="52" spans="2:6">
      <c r="B52" s="81"/>
      <c r="C52" s="1" t="s">
        <v>173</v>
      </c>
      <c r="D52" s="1"/>
      <c r="E52" s="1">
        <v>1500</v>
      </c>
      <c r="F52" s="1">
        <v>0</v>
      </c>
    </row>
    <row r="53" spans="2:6">
      <c r="B53" s="81"/>
      <c r="C53" s="1" t="s">
        <v>167</v>
      </c>
      <c r="D53" s="1"/>
      <c r="E53" s="1">
        <v>-6000</v>
      </c>
      <c r="F53" s="1">
        <v>-5000</v>
      </c>
    </row>
    <row r="54" spans="2:6">
      <c r="B54" s="81"/>
      <c r="C54" s="1"/>
      <c r="D54" s="1"/>
      <c r="E54" s="1"/>
      <c r="F54" s="1"/>
    </row>
    <row r="55" spans="2:6">
      <c r="B55" s="81"/>
      <c r="C55" s="1" t="s">
        <v>171</v>
      </c>
      <c r="D55" s="1"/>
      <c r="E55" s="1">
        <f>SUM(E52:E54)</f>
        <v>-4500</v>
      </c>
      <c r="F55" s="1">
        <f>SUM(F52:F54)</f>
        <v>-5000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Conto economico</vt:lpstr>
      <vt:lpstr>Cash flow es anni vecchi</vt:lpstr>
      <vt:lpstr>Piano ammortamenti</vt:lpstr>
      <vt:lpstr>Flusso di cassa totale</vt:lpstr>
      <vt:lpstr>Bplan e cash flow 1405</vt:lpstr>
      <vt:lpstr>esercizio 1405</vt:lpstr>
      <vt:lpstr>Rimanenze in magazzino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AMBROSI ALICE [IN0301255]</dc:creator>
  <cp:lastModifiedBy>Utente di Microsoft Office</cp:lastModifiedBy>
  <dcterms:created xsi:type="dcterms:W3CDTF">2020-05-01T09:36:51Z</dcterms:created>
  <dcterms:modified xsi:type="dcterms:W3CDTF">2020-05-14T14:48:58Z</dcterms:modified>
</cp:coreProperties>
</file>