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Foglio 1" sheetId="1" r:id="rId4"/>
  </sheets>
</workbook>
</file>

<file path=xl/sharedStrings.xml><?xml version="1.0" encoding="utf-8"?>
<sst xmlns="http://schemas.openxmlformats.org/spreadsheetml/2006/main" uniqueCount="65">
  <si>
    <t>Tabella 1</t>
  </si>
  <si>
    <t>NSTADI</t>
  </si>
  <si>
    <t>BETA TOTALE</t>
  </si>
  <si>
    <t>POT. TOTALE</t>
  </si>
  <si>
    <t>Dm (diametro medio)</t>
  </si>
  <si>
    <t>Delta_h0ts</t>
  </si>
  <si>
    <t>n. Giri</t>
  </si>
  <si>
    <t>n_pol</t>
  </si>
  <si>
    <t>omega</t>
  </si>
  <si>
    <t>eta_is</t>
  </si>
  <si>
    <t>p02/p01</t>
  </si>
  <si>
    <t>DeltaWt e DeltaCt</t>
  </si>
  <si>
    <t>Dh/Ds</t>
  </si>
  <si>
    <t>Portata di volume</t>
  </si>
  <si>
    <t>Dh (diametro Hub)</t>
  </si>
  <si>
    <t>Portata di massa</t>
  </si>
  <si>
    <t>Ds (diametro Shroud)</t>
  </si>
  <si>
    <t>Pot. Ideale</t>
  </si>
  <si>
    <t>Grado di Reazione</t>
  </si>
  <si>
    <t>Pot. Reale</t>
  </si>
  <si>
    <t>eta_pol_tt</t>
  </si>
  <si>
    <t>Sezione</t>
  </si>
  <si>
    <t>Cd/Cl</t>
  </si>
  <si>
    <t>Cls</t>
  </si>
  <si>
    <t>Solidità</t>
  </si>
  <si>
    <t>Cl</t>
  </si>
  <si>
    <t>n.pale</t>
  </si>
  <si>
    <t>Clh</t>
  </si>
  <si>
    <t>Passo</t>
  </si>
  <si>
    <t>Cd</t>
  </si>
  <si>
    <t>Corda</t>
  </si>
  <si>
    <t>cost. Vorticelibero</t>
  </si>
  <si>
    <t>Altezza</t>
  </si>
  <si>
    <t>N..Reynolds</t>
  </si>
  <si>
    <t>p§</t>
  </si>
  <si>
    <t>Cl/Cd</t>
  </si>
  <si>
    <t>T§293</t>
  </si>
  <si>
    <t>Ro§</t>
  </si>
  <si>
    <t>K</t>
  </si>
  <si>
    <t>R</t>
  </si>
  <si>
    <t>Psi,Fi,Omegas,sigmaCR</t>
  </si>
  <si>
    <t>&lt; 20000000</t>
  </si>
  <si>
    <t>Cm</t>
  </si>
  <si>
    <t>§</t>
  </si>
  <si>
    <t>U</t>
  </si>
  <si>
    <t>C</t>
  </si>
  <si>
    <t>W</t>
  </si>
  <si>
    <t>Cu</t>
  </si>
  <si>
    <t>Wu</t>
  </si>
  <si>
    <t>Alfa</t>
  </si>
  <si>
    <t>Beta</t>
  </si>
  <si>
    <t>Uh</t>
  </si>
  <si>
    <t>Ch</t>
  </si>
  <si>
    <t>Wh</t>
  </si>
  <si>
    <t>Cuh</t>
  </si>
  <si>
    <t>Wuh</t>
  </si>
  <si>
    <t>Alfah</t>
  </si>
  <si>
    <t>Betah</t>
  </si>
  <si>
    <t>Us</t>
  </si>
  <si>
    <t>Cs</t>
  </si>
  <si>
    <t>Ws</t>
  </si>
  <si>
    <t>Cus</t>
  </si>
  <si>
    <t>Wus</t>
  </si>
  <si>
    <t>Alfas</t>
  </si>
  <si>
    <t>Betas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</si>
</sst>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0"/>
      <color indexed="13"/>
      <name val="Helvetica Neue"/>
    </font>
    <font>
      <sz val="10"/>
      <color indexed="15"/>
      <name val="Helvetica Neue"/>
    </font>
    <font>
      <sz val="10"/>
      <color indexed="16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0" fontId="3" borderId="3" applyNumberFormat="1" applyFont="1" applyFill="0" applyBorder="1" applyAlignment="1" applyProtection="0">
      <alignment vertical="top" wrapText="1"/>
    </xf>
    <xf numFmtId="49" fontId="2" fillId="4" borderId="4" applyNumberFormat="1" applyFont="1" applyFill="1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3" borderId="4" applyNumberFormat="1" applyFont="1" applyFill="0" applyBorder="1" applyAlignment="1" applyProtection="0">
      <alignment vertical="top" wrapText="1"/>
    </xf>
    <xf numFmtId="0" fontId="4" borderId="4" applyNumberFormat="1" applyFont="1" applyFill="0" applyBorder="1" applyAlignment="1" applyProtection="0">
      <alignment vertical="top" wrapText="1"/>
    </xf>
    <xf numFmtId="0" fontId="5" borderId="4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3" borderId="6" applyNumberFormat="1" applyFont="1" applyFill="0" applyBorder="1" applyAlignment="1" applyProtection="0">
      <alignment vertical="top" wrapText="1"/>
    </xf>
    <xf numFmtId="49" fontId="2" fillId="4" borderId="7" applyNumberFormat="1" applyFont="1" applyFill="1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4" borderId="7" applyNumberFormat="1" applyFont="1" applyFill="0" applyBorder="1" applyAlignment="1" applyProtection="0">
      <alignment vertical="top" wrapText="1"/>
    </xf>
    <xf numFmtId="0" fontId="5" borderId="7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2600"/>
      <rgbColor rgb="ffd5d5d5"/>
      <rgbColor rgb="ff0432ff"/>
      <rgbColor rgb="ff00f9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52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7" width="16.3516" style="1" customWidth="1"/>
    <col min="8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25" customHeight="1">
      <c r="A2" s="3"/>
      <c r="B2" s="3"/>
      <c r="C2" s="3"/>
      <c r="D2" s="3"/>
      <c r="E2" t="s" s="4">
        <v>1</v>
      </c>
      <c r="F2" t="s" s="4">
        <v>2</v>
      </c>
      <c r="G2" t="s" s="4">
        <v>3</v>
      </c>
    </row>
    <row r="3" ht="32.25" customHeight="1">
      <c r="A3" t="s" s="5">
        <v>4</v>
      </c>
      <c r="B3" s="6">
        <v>0.2</v>
      </c>
      <c r="C3" t="s" s="7">
        <v>5</v>
      </c>
      <c r="D3" s="8">
        <f>1/C21*B22*B19*(B6^C21-1)</f>
        <v>335.884575359102</v>
      </c>
      <c r="E3" s="9">
        <v>3</v>
      </c>
      <c r="F3" s="10">
        <f>B6^E3</f>
        <v>1.012048064</v>
      </c>
      <c r="G3" s="11">
        <f>D10*E3</f>
        <v>463.819376546754</v>
      </c>
    </row>
    <row r="4" ht="20.05" customHeight="1">
      <c r="A4" t="s" s="12">
        <v>6</v>
      </c>
      <c r="B4" s="13">
        <v>3000</v>
      </c>
      <c r="C4" t="s" s="14">
        <v>7</v>
      </c>
      <c r="D4" s="15">
        <f>B11/(B11-C21)</f>
        <v>1.46511627906977</v>
      </c>
      <c r="E4" s="16"/>
      <c r="F4" s="16"/>
      <c r="G4" s="16"/>
    </row>
    <row r="5" ht="20.05" customHeight="1">
      <c r="A5" t="s" s="12">
        <v>8</v>
      </c>
      <c r="B5" s="17">
        <f>2*PI()*B4/60</f>
        <v>314.159265358979</v>
      </c>
      <c r="C5" t="s" s="14">
        <v>9</v>
      </c>
      <c r="D5" s="15">
        <f>(B6^C21-1)/(B6^((D4-1)/D4)-1)</f>
        <v>0.899942961489047</v>
      </c>
      <c r="E5" s="16"/>
      <c r="F5" s="16"/>
      <c r="G5" s="16"/>
    </row>
    <row r="6" ht="20.05" customHeight="1">
      <c r="A6" t="s" s="12">
        <v>10</v>
      </c>
      <c r="B6" s="13">
        <v>1.004</v>
      </c>
      <c r="C6" t="s" s="14">
        <v>11</v>
      </c>
      <c r="D6" s="15">
        <f>D3/B26/D5</f>
        <v>11.8802396961408</v>
      </c>
      <c r="E6" s="16"/>
      <c r="F6" s="16"/>
      <c r="G6" s="16"/>
    </row>
    <row r="7" ht="20.05" customHeight="1">
      <c r="A7" t="s" s="12">
        <v>12</v>
      </c>
      <c r="B7" s="13">
        <v>0.7</v>
      </c>
      <c r="C7" t="s" s="14">
        <v>13</v>
      </c>
      <c r="D7" s="15">
        <f>B24*(PI()/4*(B9^2-B8^2))</f>
        <v>0.34833897886198</v>
      </c>
      <c r="E7" s="16"/>
      <c r="F7" s="16"/>
      <c r="G7" s="16"/>
    </row>
    <row r="8" ht="20.05" customHeight="1">
      <c r="A8" t="s" s="12">
        <v>14</v>
      </c>
      <c r="B8" s="17">
        <f>B9*B7</f>
        <v>0.164705882352941</v>
      </c>
      <c r="C8" t="s" s="14">
        <v>15</v>
      </c>
      <c r="D8" s="18">
        <f>D7*B20</f>
        <v>0.414240500008299</v>
      </c>
      <c r="E8" s="16"/>
      <c r="F8" s="16"/>
      <c r="G8" s="16"/>
    </row>
    <row r="9" ht="32.05" customHeight="1">
      <c r="A9" t="s" s="12">
        <v>16</v>
      </c>
      <c r="B9" s="17">
        <f>2*B3/(1+B7)</f>
        <v>0.235294117647059</v>
      </c>
      <c r="C9" t="s" s="14">
        <v>17</v>
      </c>
      <c r="D9" s="15">
        <f>D3*D8</f>
        <v>139.136994441830</v>
      </c>
      <c r="E9" s="16"/>
      <c r="F9" s="16"/>
      <c r="G9" s="16"/>
    </row>
    <row r="10" ht="20.05" customHeight="1">
      <c r="A10" t="s" s="12">
        <v>18</v>
      </c>
      <c r="B10" s="17">
        <v>0.5</v>
      </c>
      <c r="C10" t="s" s="14">
        <v>19</v>
      </c>
      <c r="D10" s="15">
        <f>D9/D5</f>
        <v>154.606458848918</v>
      </c>
      <c r="E10" s="16"/>
      <c r="F10" s="16"/>
      <c r="G10" s="16"/>
    </row>
    <row r="11" ht="20.05" customHeight="1">
      <c r="A11" t="s" s="12">
        <v>20</v>
      </c>
      <c r="B11" s="17">
        <v>0.9</v>
      </c>
      <c r="C11" t="s" s="14">
        <v>21</v>
      </c>
      <c r="D11" s="15">
        <f>PI()*((B9/2)^2-(B8/2)^2)</f>
        <v>0.0221759481429869</v>
      </c>
      <c r="E11" s="16"/>
      <c r="F11" s="16"/>
      <c r="G11" s="16"/>
    </row>
    <row r="12" ht="20.05" customHeight="1">
      <c r="A12" t="s" s="12">
        <v>22</v>
      </c>
      <c r="B12" s="13">
        <f>0.045</f>
        <v>0.045</v>
      </c>
      <c r="C12" t="s" s="14">
        <v>23</v>
      </c>
      <c r="D12" s="15">
        <f>(TAN(RADIANS(C51))-TAN(RADIANS(D51)))*2*B13*COS(RADIANS(B51))+D15*TAN(RADIANS(B51))</f>
        <v>-1.11819070250328</v>
      </c>
      <c r="E12" s="15">
        <f>D12/0.85</f>
        <v>-1.31551847353327</v>
      </c>
      <c r="F12" s="16"/>
      <c r="G12" s="16"/>
    </row>
    <row r="13" ht="20.05" customHeight="1">
      <c r="A13" t="s" s="12">
        <v>24</v>
      </c>
      <c r="B13" s="13">
        <v>1</v>
      </c>
      <c r="C13" t="s" s="14">
        <v>25</v>
      </c>
      <c r="D13" s="19">
        <f>(TAN(RADIANS(C31))-TAN(RADIANS(D31)))*2*B13*COS(RADIANS(B31))-D15*TAN(RADIANS(B31))</f>
        <v>-1.11000736382927</v>
      </c>
      <c r="E13" s="15">
        <f>D13/0.85</f>
        <v>-1.30589101626973</v>
      </c>
      <c r="F13" s="16"/>
      <c r="G13" s="16"/>
    </row>
    <row r="14" ht="20.05" customHeight="1">
      <c r="A14" t="s" s="12">
        <v>26</v>
      </c>
      <c r="B14" s="13">
        <v>16</v>
      </c>
      <c r="C14" t="s" s="14">
        <v>27</v>
      </c>
      <c r="D14" s="15">
        <f>(TAN(RADIANS(C41))-TAN(RADIANS(D41)))*2*B13*COS(RADIANS(B41))+D15*TAN(RADIANS(B41))</f>
        <v>-0.912526359976457</v>
      </c>
      <c r="E14" s="15">
        <f>D14/0.85</f>
        <v>-1.07356042350171</v>
      </c>
      <c r="F14" s="16"/>
      <c r="G14" s="16"/>
    </row>
    <row r="15" ht="20.05" customHeight="1">
      <c r="A15" t="s" s="12">
        <v>28</v>
      </c>
      <c r="B15" s="17">
        <f>PI()*B3/B14</f>
        <v>0.0392699081698724</v>
      </c>
      <c r="C15" t="s" s="14">
        <v>29</v>
      </c>
      <c r="D15" s="15">
        <f>0.04041</f>
        <v>0.04041</v>
      </c>
      <c r="E15" s="16"/>
      <c r="F15" s="16"/>
      <c r="G15" s="16"/>
    </row>
    <row r="16" ht="20.05" customHeight="1">
      <c r="A16" t="s" s="12">
        <v>30</v>
      </c>
      <c r="B16" s="17">
        <f>B15/B13</f>
        <v>0.0392699081698724</v>
      </c>
      <c r="C16" t="s" s="14">
        <v>31</v>
      </c>
      <c r="D16" s="15">
        <f>B29*B3/2</f>
        <v>1.5707963267949</v>
      </c>
      <c r="E16" s="16"/>
      <c r="F16" s="16"/>
      <c r="G16" s="16"/>
    </row>
    <row r="17" ht="20.05" customHeight="1">
      <c r="A17" t="s" s="12">
        <v>32</v>
      </c>
      <c r="B17" s="17">
        <f>(B9-B8)/2</f>
        <v>0.035294117647059</v>
      </c>
      <c r="C17" t="s" s="14">
        <v>33</v>
      </c>
      <c r="D17" s="15">
        <f>B27*B20*B16/0.0000181</f>
        <v>57314.7851308185</v>
      </c>
      <c r="E17" s="16"/>
      <c r="F17" s="16"/>
      <c r="G17" s="16"/>
    </row>
    <row r="18" ht="20.05" customHeight="1">
      <c r="A18" t="s" s="12">
        <v>34</v>
      </c>
      <c r="B18" s="17">
        <v>100000</v>
      </c>
      <c r="C18" t="s" s="14">
        <v>35</v>
      </c>
      <c r="D18" s="15">
        <f>1/B12</f>
        <v>22.2222222222222</v>
      </c>
      <c r="E18" s="16"/>
      <c r="F18" s="16"/>
      <c r="G18" s="16"/>
    </row>
    <row r="19" ht="20.05" customHeight="1">
      <c r="A19" t="s" s="12">
        <v>36</v>
      </c>
      <c r="B19" s="17">
        <v>293</v>
      </c>
      <c r="C19" s="16"/>
      <c r="D19" s="16"/>
      <c r="E19" s="16"/>
      <c r="F19" s="16"/>
      <c r="G19" s="16"/>
    </row>
    <row r="20" ht="20.05" customHeight="1">
      <c r="A20" t="s" s="12">
        <v>37</v>
      </c>
      <c r="B20" s="17">
        <f>B18/B22/B19</f>
        <v>1.18918790358064</v>
      </c>
      <c r="C20" s="16"/>
      <c r="D20" s="16"/>
      <c r="E20" s="16"/>
      <c r="F20" s="16"/>
      <c r="G20" s="16"/>
    </row>
    <row r="21" ht="20.05" customHeight="1">
      <c r="A21" t="s" s="12">
        <v>38</v>
      </c>
      <c r="B21" s="17">
        <v>1.4</v>
      </c>
      <c r="C21" s="15">
        <f>(B21-1)/B21</f>
        <v>0.285714285714286</v>
      </c>
      <c r="D21" s="16"/>
      <c r="E21" s="16"/>
      <c r="F21" s="16"/>
      <c r="G21" s="16"/>
    </row>
    <row r="22" ht="20.05" customHeight="1">
      <c r="A22" t="s" s="12">
        <v>39</v>
      </c>
      <c r="B22" s="17">
        <v>287</v>
      </c>
      <c r="C22" s="16"/>
      <c r="D22" s="16"/>
      <c r="E22" s="16"/>
      <c r="F22" s="16"/>
      <c r="G22" s="16"/>
    </row>
    <row r="23" ht="32.05" customHeight="1">
      <c r="A23" t="s" s="12">
        <v>40</v>
      </c>
      <c r="B23" s="17">
        <f>D3*2/B26^2</f>
        <v>0.6806444548517659</v>
      </c>
      <c r="C23" s="15">
        <f>D7/B26/D11</f>
        <v>0.500000000000002</v>
      </c>
      <c r="D23" s="15">
        <f>2.980856*C23^0.5/B23^0.75*(B7^-2-1)^0.5</f>
        <v>2.86960958105623</v>
      </c>
      <c r="E23" s="19">
        <f>0.5*1250*B46*B46*(1-B7^2)</f>
        <v>435423.723577471</v>
      </c>
      <c r="F23" t="s" s="20">
        <v>41</v>
      </c>
      <c r="G23" s="16"/>
    </row>
    <row r="24" ht="20.05" customHeight="1">
      <c r="A24" t="s" s="12">
        <v>42</v>
      </c>
      <c r="B24" s="17">
        <f t="shared" si="34" ref="B24:B44">$B$26/2</f>
        <v>15.707963267949</v>
      </c>
      <c r="C24" s="16"/>
      <c r="D24" s="16"/>
      <c r="E24" s="16"/>
      <c r="F24" s="16"/>
      <c r="G24" s="16"/>
    </row>
    <row r="25" ht="20.05" customHeight="1">
      <c r="A25" s="21"/>
      <c r="B25" t="s" s="22">
        <v>43</v>
      </c>
      <c r="C25" s="15">
        <v>1</v>
      </c>
      <c r="D25" s="15">
        <v>2</v>
      </c>
      <c r="E25" s="16"/>
      <c r="F25" s="16"/>
      <c r="G25" s="16"/>
    </row>
    <row r="26" ht="20.05" customHeight="1">
      <c r="A26" t="s" s="12">
        <v>44</v>
      </c>
      <c r="B26" s="17">
        <f>0.5*$B$3*$B$5</f>
        <v>31.4159265358979</v>
      </c>
      <c r="C26" s="15">
        <f>B26</f>
        <v>31.4159265358979</v>
      </c>
      <c r="D26" s="15">
        <f>B26</f>
        <v>31.4159265358979</v>
      </c>
      <c r="E26" s="16"/>
      <c r="F26" s="16"/>
      <c r="G26" s="16"/>
    </row>
    <row r="27" ht="20.05" customHeight="1">
      <c r="A27" t="s" s="12">
        <v>45</v>
      </c>
      <c r="B27" s="17">
        <f>B26/2/SIN(PI()/4)</f>
        <v>22.2144146907918</v>
      </c>
      <c r="C27" s="15">
        <f>(B24*B24+C29^2)^0.5</f>
        <v>18.4973207547066</v>
      </c>
      <c r="D27" s="15">
        <f>(B24^2+D29^2)^0.5</f>
        <v>26.7465813259437</v>
      </c>
      <c r="E27" s="16"/>
      <c r="F27" s="16"/>
      <c r="G27" s="16"/>
    </row>
    <row r="28" ht="20.05" customHeight="1">
      <c r="A28" t="s" s="12">
        <v>46</v>
      </c>
      <c r="B28" s="17">
        <f>B26/2/SIN(PI()/4)</f>
        <v>22.2144146907918</v>
      </c>
      <c r="C28" s="15">
        <f>(B24^2+C30^2)^0.5</f>
        <v>26.7465813259437</v>
      </c>
      <c r="D28" s="15">
        <f>(B24^2+D30^2)^0.5</f>
        <v>18.4973207547066</v>
      </c>
      <c r="E28" s="16"/>
      <c r="F28" s="16"/>
      <c r="G28" s="16"/>
    </row>
    <row r="29" ht="20.05" customHeight="1">
      <c r="A29" t="s" s="12">
        <v>47</v>
      </c>
      <c r="B29" s="17">
        <f>B26/2</f>
        <v>15.707963267949</v>
      </c>
      <c r="C29" s="15">
        <f>B29-$D$6/2</f>
        <v>9.7678434198786</v>
      </c>
      <c r="D29" s="15">
        <f>B29+$D$6/2</f>
        <v>21.6480831160194</v>
      </c>
      <c r="E29" s="16"/>
      <c r="F29" s="16"/>
      <c r="G29" s="16"/>
    </row>
    <row r="30" ht="20.05" customHeight="1">
      <c r="A30" t="s" s="12">
        <v>48</v>
      </c>
      <c r="B30" s="17">
        <f>B26/2</f>
        <v>15.707963267949</v>
      </c>
      <c r="C30" s="15">
        <f>B30+$D$6/2</f>
        <v>21.6480831160194</v>
      </c>
      <c r="D30" s="15">
        <f>B30-$D$6/2</f>
        <v>9.7678434198786</v>
      </c>
      <c r="E30" s="16"/>
      <c r="F30" s="16"/>
      <c r="G30" s="16"/>
    </row>
    <row r="31" ht="20.05" customHeight="1">
      <c r="A31" t="s" s="12">
        <v>49</v>
      </c>
      <c r="B31" s="17">
        <f>DEGREES(ASIN(B29/B27))</f>
        <v>45.0000000000002</v>
      </c>
      <c r="C31" s="15">
        <f>DEGREES(ASIN(C29/C27))</f>
        <v>31.8750109651206</v>
      </c>
      <c r="D31" s="15">
        <f>DEGREES(ASIN(D29/D27))</f>
        <v>54.0351632537927</v>
      </c>
      <c r="E31" s="16"/>
      <c r="F31" s="16"/>
      <c r="G31" s="16"/>
    </row>
    <row r="32" ht="20.05" customHeight="1">
      <c r="A32" t="s" s="12">
        <v>50</v>
      </c>
      <c r="B32" s="17">
        <f>DEGREES(ASIN(B30/B28))</f>
        <v>45.0000000000002</v>
      </c>
      <c r="C32" s="15">
        <f>DEGREES(ASIN(C30/C28))</f>
        <v>54.0351632537927</v>
      </c>
      <c r="D32" s="15">
        <f>DEGREES(ASIN(D30/D28))</f>
        <v>31.8750109651206</v>
      </c>
      <c r="E32" s="16"/>
      <c r="F32" s="16"/>
      <c r="G32" s="16"/>
    </row>
    <row r="33" ht="20.05" customHeight="1">
      <c r="A33" s="21"/>
      <c r="B33" s="23"/>
      <c r="C33" s="16"/>
      <c r="D33" s="16"/>
      <c r="E33" s="16"/>
      <c r="F33" s="16"/>
      <c r="G33" s="16"/>
    </row>
    <row r="34" ht="20.05" customHeight="1">
      <c r="A34" t="s" s="12">
        <v>42</v>
      </c>
      <c r="B34" s="17">
        <f t="shared" si="34"/>
        <v>15.707963267949</v>
      </c>
      <c r="C34" s="16"/>
      <c r="D34" s="16"/>
      <c r="E34" s="16"/>
      <c r="F34" s="16"/>
      <c r="G34" s="16"/>
    </row>
    <row r="35" ht="20.05" customHeight="1">
      <c r="A35" s="21"/>
      <c r="B35" t="s" s="22">
        <v>43</v>
      </c>
      <c r="C35" s="15">
        <v>1</v>
      </c>
      <c r="D35" s="15">
        <v>2</v>
      </c>
      <c r="E35" s="16"/>
      <c r="F35" s="16"/>
      <c r="G35" s="16"/>
    </row>
    <row r="36" ht="20.05" customHeight="1">
      <c r="A36" t="s" s="12">
        <v>51</v>
      </c>
      <c r="B36" s="17">
        <f>0.5*$B$8*$B$5</f>
        <v>25.8719395001512</v>
      </c>
      <c r="C36" s="15">
        <f>B36</f>
        <v>25.8719395001512</v>
      </c>
      <c r="D36" s="15">
        <f>B36</f>
        <v>25.8719395001512</v>
      </c>
      <c r="E36" s="16"/>
      <c r="F36" s="16"/>
      <c r="G36" s="16"/>
    </row>
    <row r="37" ht="20.05" customHeight="1">
      <c r="A37" t="s" s="12">
        <v>52</v>
      </c>
      <c r="B37" s="17">
        <f>(B39^2+B34^2)^0.5</f>
        <v>24.7094290607081</v>
      </c>
      <c r="C37" s="15">
        <f>(B34*B34+C39^2)^0.5</f>
        <v>20.475295999037</v>
      </c>
      <c r="D37" s="15">
        <f>(B34^2+D39^2)^0.5</f>
        <v>29.5371642237882</v>
      </c>
      <c r="E37" s="16"/>
      <c r="F37" s="16"/>
      <c r="G37" s="16"/>
    </row>
    <row r="38" ht="20.05" customHeight="1">
      <c r="A38" t="s" s="12">
        <v>53</v>
      </c>
      <c r="B38" s="17">
        <f>(B40^2+B34^2)^0.5</f>
        <v>24.7094290607081</v>
      </c>
      <c r="C38" s="15">
        <f>(B34^2+C40^2)^0.5</f>
        <v>29.5371642237882</v>
      </c>
      <c r="D38" s="15">
        <f>(B34^2+D40^2)^0.5</f>
        <v>20.475295999037</v>
      </c>
      <c r="E38" s="16"/>
      <c r="F38" s="16"/>
      <c r="G38" s="16"/>
    </row>
    <row r="39" ht="20.05" customHeight="1">
      <c r="A39" t="s" s="12">
        <v>54</v>
      </c>
      <c r="B39" s="17">
        <f>$D$16/B8*2</f>
        <v>19.0739553967952</v>
      </c>
      <c r="C39" s="15">
        <f>B39-$D$6/2</f>
        <v>13.1338355487248</v>
      </c>
      <c r="D39" s="15">
        <f>B39+$D$6/2</f>
        <v>25.0140752448656</v>
      </c>
      <c r="E39" s="16"/>
      <c r="F39" s="16"/>
      <c r="G39" s="16"/>
    </row>
    <row r="40" ht="20.05" customHeight="1">
      <c r="A40" t="s" s="12">
        <v>55</v>
      </c>
      <c r="B40" s="17">
        <f>B39</f>
        <v>19.0739553967952</v>
      </c>
      <c r="C40" s="15">
        <f>B40+$D$6/2</f>
        <v>25.0140752448656</v>
      </c>
      <c r="D40" s="15">
        <f>B40-$D$6/2</f>
        <v>13.1338355487248</v>
      </c>
      <c r="E40" s="16"/>
      <c r="F40" s="16"/>
      <c r="G40" s="16"/>
    </row>
    <row r="41" ht="20.05" customHeight="1">
      <c r="A41" t="s" s="12">
        <v>56</v>
      </c>
      <c r="B41" s="17">
        <f>DEGREES(ASIN(B39/B37))</f>
        <v>50.5275401516563</v>
      </c>
      <c r="C41" s="15">
        <f>DEGREES(ASIN(C39/C37))</f>
        <v>39.8998704161052</v>
      </c>
      <c r="D41" s="15">
        <f>DEGREES(ASIN(D39/D37))</f>
        <v>57.8726180342388</v>
      </c>
      <c r="E41" s="16"/>
      <c r="F41" s="16"/>
      <c r="G41" s="16"/>
    </row>
    <row r="42" ht="20.05" customHeight="1">
      <c r="A42" t="s" s="12">
        <v>57</v>
      </c>
      <c r="B42" s="17">
        <f>DEGREES(ASIN(B40/B38))</f>
        <v>50.5275401516563</v>
      </c>
      <c r="C42" s="15">
        <f>DEGREES(ASIN(C40/C38))</f>
        <v>57.8726180342388</v>
      </c>
      <c r="D42" s="15">
        <f>DEGREES(ASIN(D40/D38))</f>
        <v>39.8998704161052</v>
      </c>
      <c r="E42" s="16"/>
      <c r="F42" s="16"/>
      <c r="G42" s="16"/>
    </row>
    <row r="43" ht="20.05" customHeight="1">
      <c r="A43" s="21"/>
      <c r="B43" s="23"/>
      <c r="C43" s="16"/>
      <c r="D43" s="16"/>
      <c r="E43" s="16"/>
      <c r="F43" s="16"/>
      <c r="G43" s="16"/>
    </row>
    <row r="44" ht="20.05" customHeight="1">
      <c r="A44" t="s" s="12">
        <v>42</v>
      </c>
      <c r="B44" s="17">
        <f t="shared" si="34"/>
        <v>15.707963267949</v>
      </c>
      <c r="C44" s="16"/>
      <c r="D44" s="16"/>
      <c r="E44" s="16"/>
      <c r="F44" s="16"/>
      <c r="G44" s="16"/>
    </row>
    <row r="45" ht="20.05" customHeight="1">
      <c r="A45" s="21"/>
      <c r="B45" t="s" s="22">
        <v>43</v>
      </c>
      <c r="C45" s="15">
        <v>1</v>
      </c>
      <c r="D45" s="15">
        <v>2</v>
      </c>
      <c r="E45" s="16"/>
      <c r="F45" s="16"/>
      <c r="G45" s="16"/>
    </row>
    <row r="46" ht="20.05" customHeight="1">
      <c r="A46" t="s" s="12">
        <v>58</v>
      </c>
      <c r="B46" s="17">
        <f>0.5*$B$9*$B$5</f>
        <v>36.9599135716446</v>
      </c>
      <c r="C46" s="15">
        <f>B46</f>
        <v>36.9599135716446</v>
      </c>
      <c r="D46" s="15">
        <f>B46</f>
        <v>36.9599135716446</v>
      </c>
      <c r="E46" s="16"/>
      <c r="F46" s="16"/>
      <c r="G46" s="16"/>
    </row>
    <row r="47" ht="20.05" customHeight="1">
      <c r="A47" t="s" s="12">
        <v>59</v>
      </c>
      <c r="B47" s="17">
        <f>(B49^2+B44^2)^0.5</f>
        <v>20.6157667701667</v>
      </c>
      <c r="C47" s="15">
        <f>(B44*B44+C49^2)^0.5</f>
        <v>17.3687262021184</v>
      </c>
      <c r="D47" s="15">
        <f>(B44^2+D49^2)^0.5</f>
        <v>24.8780440705966</v>
      </c>
      <c r="E47" s="16"/>
      <c r="F47" s="16"/>
      <c r="G47" s="16"/>
    </row>
    <row r="48" ht="20.05" customHeight="1">
      <c r="A48" t="s" s="12">
        <v>60</v>
      </c>
      <c r="B48" s="17">
        <f>(B50^2+B44^2)^0.5</f>
        <v>20.6157667701667</v>
      </c>
      <c r="C48" s="15">
        <f>(B44^2+C50^2)^0.5</f>
        <v>24.8780440705966</v>
      </c>
      <c r="D48" s="15">
        <f>(B44^2+D50^2)^0.5</f>
        <v>17.3687262021184</v>
      </c>
      <c r="E48" s="16"/>
      <c r="F48" s="16"/>
      <c r="G48" s="16"/>
    </row>
    <row r="49" ht="20.05" customHeight="1">
      <c r="A49" t="s" s="12">
        <v>61</v>
      </c>
      <c r="B49" s="17">
        <f>$D$16/B9*2</f>
        <v>13.3517687777566</v>
      </c>
      <c r="C49" s="15">
        <f>B49-$D$6/2</f>
        <v>7.4116489296862</v>
      </c>
      <c r="D49" s="15">
        <f>B49+$D$6/2</f>
        <v>19.291888625827</v>
      </c>
      <c r="E49" s="16"/>
      <c r="F49" s="16"/>
      <c r="G49" s="16"/>
    </row>
    <row r="50" ht="20.05" customHeight="1">
      <c r="A50" t="s" s="12">
        <v>62</v>
      </c>
      <c r="B50" s="17">
        <f>B49</f>
        <v>13.3517687777566</v>
      </c>
      <c r="C50" s="15">
        <f>B50+$D$6/2</f>
        <v>19.291888625827</v>
      </c>
      <c r="D50" s="15">
        <f>B50-$D$6/2</f>
        <v>7.4116489296862</v>
      </c>
      <c r="E50" s="16"/>
      <c r="F50" s="16"/>
      <c r="G50" s="16"/>
    </row>
    <row r="51" ht="20.05" customHeight="1">
      <c r="A51" t="s" s="12">
        <v>63</v>
      </c>
      <c r="B51" s="17">
        <f>DEGREES(ASIN(B49/B47))</f>
        <v>40.3645365730973</v>
      </c>
      <c r="C51" s="15">
        <f>DEGREES(ASIN(C49/C47))</f>
        <v>25.2598235099614</v>
      </c>
      <c r="D51" s="15">
        <f>DEGREES(ASIN(D49/D47))</f>
        <v>50.8466125702878</v>
      </c>
      <c r="E51" s="16"/>
      <c r="F51" s="16"/>
      <c r="G51" s="16"/>
    </row>
    <row r="52" ht="20.05" customHeight="1">
      <c r="A52" t="s" s="12">
        <v>64</v>
      </c>
      <c r="B52" s="17">
        <f>DEGREES(ASIN(B50/B48))</f>
        <v>40.3645365730973</v>
      </c>
      <c r="C52" s="15">
        <f>DEGREES(ASIN(C50/C48))</f>
        <v>50.8466125702878</v>
      </c>
      <c r="D52" s="15">
        <f>DEGREES(ASIN(D50/D48))</f>
        <v>25.2598235099614</v>
      </c>
      <c r="E52" s="16"/>
      <c r="F52" s="16"/>
      <c r="G52" s="16"/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