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C:\Users\Paola Rossi\Desktop\"/>
    </mc:Choice>
  </mc:AlternateContent>
  <xr:revisionPtr revIDLastSave="0" documentId="13_ncr:1_{95FB23AC-4A8A-483D-878D-61A3C70ECCB3}" xr6:coauthVersionLast="46" xr6:coauthVersionMax="46" xr10:uidLastSave="{00000000-0000-0000-0000-000000000000}"/>
  <bookViews>
    <workbookView xWindow="-120" yWindow="-120" windowWidth="20730" windowHeight="11160" activeTab="6" xr2:uid="{00000000-000D-0000-FFFF-FFFF00000000}"/>
  </bookViews>
  <sheets>
    <sheet name="Testo " sheetId="1" r:id="rId1"/>
    <sheet name="Soluzione" sheetId="2" r:id="rId2"/>
    <sheet name="ES.1 RM" sheetId="3" r:id="rId3"/>
    <sheet name="Costo medio ponderato" sheetId="4" r:id="rId4"/>
    <sheet name="Lifo " sheetId="5" r:id="rId5"/>
    <sheet name="Fifo" sheetId="6" r:id="rId6"/>
    <sheet name="Es.2 RM" sheetId="7" r:id="rId7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6" i="7" l="1"/>
  <c r="E36" i="7"/>
  <c r="E37" i="7" s="1"/>
  <c r="F33" i="7"/>
  <c r="E33" i="7"/>
  <c r="E34" i="7" s="1"/>
  <c r="E32" i="7"/>
  <c r="E31" i="7"/>
  <c r="C32" i="7"/>
  <c r="E29" i="7"/>
  <c r="C28" i="7"/>
  <c r="C30" i="7" s="1"/>
  <c r="E27" i="7"/>
  <c r="E25" i="7"/>
  <c r="E24" i="7"/>
  <c r="F26" i="7"/>
  <c r="F20" i="7"/>
  <c r="A19" i="7"/>
  <c r="B15" i="6"/>
  <c r="A7" i="6"/>
  <c r="A35" i="5"/>
  <c r="C31" i="5"/>
  <c r="E28" i="5"/>
  <c r="D22" i="5"/>
  <c r="B20" i="5"/>
  <c r="D14" i="5"/>
  <c r="B13" i="5"/>
  <c r="D5" i="5"/>
  <c r="D9" i="4"/>
  <c r="A7" i="4"/>
  <c r="E3" i="4"/>
  <c r="A2" i="4"/>
  <c r="G17" i="2"/>
  <c r="C27" i="2"/>
  <c r="C28" i="2"/>
  <c r="C26" i="2"/>
  <c r="C30" i="2" s="1"/>
  <c r="D20" i="2"/>
  <c r="D19" i="2"/>
  <c r="D18" i="2"/>
  <c r="D17" i="2"/>
  <c r="D21" i="2" s="1"/>
  <c r="F23" i="2" s="1"/>
  <c r="E7" i="2"/>
  <c r="E5" i="2"/>
  <c r="G18" i="2" s="1"/>
  <c r="E3" i="2"/>
  <c r="E26" i="7" l="1"/>
  <c r="E28" i="7" s="1"/>
  <c r="E30" i="7" s="1"/>
</calcChain>
</file>

<file path=xl/sharedStrings.xml><?xml version="1.0" encoding="utf-8"?>
<sst xmlns="http://schemas.openxmlformats.org/spreadsheetml/2006/main" count="205" uniqueCount="139">
  <si>
    <t xml:space="preserve">Testo </t>
  </si>
  <si>
    <t xml:space="preserve">Holding SpA ha acquistato la partecipazione Alfa il 31 Dicembre 20x0 al prezzo di Euro 950.000, </t>
  </si>
  <si>
    <t>arrivando a detenere il 75% delle azioni rappresentanti il capitale sociale della società Alfa.</t>
  </si>
  <si>
    <t xml:space="preserve">Il patrimonio netto di Alfa al 31 Dicembre 20x0 era così composto: </t>
  </si>
  <si>
    <t>Capitale Sociale                                                                  750.000</t>
  </si>
  <si>
    <t>Riserve                                                                                    250.000</t>
  </si>
  <si>
    <t>Utile d'esercizio 20x0                                                        100.000</t>
  </si>
  <si>
    <t>Patrimonio netto contabile di Alfa al 31.12.20x0  1.100.000</t>
  </si>
  <si>
    <t xml:space="preserve">Alfa possedeva un fabbricato industriale il cui valore corrente secondo una perizia </t>
  </si>
  <si>
    <t xml:space="preserve">riferita alla data d'acquisto risultava essere superiore di Euro 100.000 rispetto a </t>
  </si>
  <si>
    <t>quello iscritto in bilancio.</t>
  </si>
  <si>
    <t>Nell'esercizio 20x1 Alfa ha conseguito un utile di  Euro 120.000.</t>
  </si>
  <si>
    <t xml:space="preserve">Alla fine dello stesso esercizio, Holding S.p.A. aveva in magazzino delle merci acquistate da </t>
  </si>
  <si>
    <t xml:space="preserve">Alfa, su cui Alfa aveva conseguito un utile di Euro 3.889. </t>
  </si>
  <si>
    <t xml:space="preserve">Alla luce delle informazioni a disposizione si provveda a determinare il valore da attribuire </t>
  </si>
  <si>
    <t>alla partecipazione in Alfa nei bilanci di Holding al 31 Dicembre 20x0 e al 31 Dicembre 20x1</t>
  </si>
  <si>
    <t xml:space="preserve">applicando il metodo del patrimonio netto. </t>
  </si>
  <si>
    <t xml:space="preserve">industriale è stimata in 10 anni. 2. l'avviamento è recuperabile in 5 anni. </t>
  </si>
  <si>
    <t>avviamento</t>
  </si>
  <si>
    <t>31.12.20x0</t>
  </si>
  <si>
    <t>a</t>
  </si>
  <si>
    <t>Banca c/c</t>
  </si>
  <si>
    <t>Valore della partecipazione al 31.12.20x1</t>
  </si>
  <si>
    <t>Valore della partecipazione al 31.12.20x0</t>
  </si>
  <si>
    <t>Ammortamento dell'avviamento</t>
  </si>
  <si>
    <t>Utile infragruppo</t>
  </si>
  <si>
    <t>Ammortamento del maggior valore del fabbricato</t>
  </si>
  <si>
    <t>Riserva non distribuibile (alimentata dalla rivalutazione)</t>
  </si>
  <si>
    <t>Partecipazioni in controllate</t>
  </si>
  <si>
    <t>Riserva ex art.2426 n.4</t>
  </si>
  <si>
    <t>Nell'esercizio 20x2</t>
  </si>
  <si>
    <t>Riserva straordinaria</t>
  </si>
  <si>
    <t>Nell'esercizio 20x2 Alfa ha distribuito Euro 50.000 di utile dell'esercizio precedente</t>
  </si>
  <si>
    <t xml:space="preserve">Si indichino altresì le relative rilevazioni contabili relative agli esercizi 20x0, 20x1, e 20x2 sapendo che: 1. la vita utile residua del fabbricato </t>
  </si>
  <si>
    <t>75%*1100000</t>
  </si>
  <si>
    <t>Prezzo d'acquisto</t>
  </si>
  <si>
    <t xml:space="preserve">Quota corrispendente alla frazione del patrimonio netto </t>
  </si>
  <si>
    <t>Differenza</t>
  </si>
  <si>
    <t>maggior valore del fabbricato industriale</t>
  </si>
  <si>
    <t>75%*100000</t>
  </si>
  <si>
    <t>Valutazione della partecipazione</t>
  </si>
  <si>
    <t>Partecipazioni in imprese controllate</t>
  </si>
  <si>
    <t>Assestamento del maggior valore</t>
  </si>
  <si>
    <t>Utile 20x1</t>
  </si>
  <si>
    <t>Utile 20x1 (75%+120000)</t>
  </si>
  <si>
    <t>Ammortamento del maggor valore del fabbricato</t>
  </si>
  <si>
    <t>Partecipazione in controllate</t>
  </si>
  <si>
    <t>Rivalutazione da partecipazione</t>
  </si>
  <si>
    <t xml:space="preserve">1° Metodo Integrale </t>
  </si>
  <si>
    <t>Utile d'esercizio 20x1</t>
  </si>
  <si>
    <t xml:space="preserve">2° Metodo patrimonialista </t>
  </si>
  <si>
    <t xml:space="preserve">Partecipazione in controllate </t>
  </si>
  <si>
    <t xml:space="preserve">Credito verso controllata </t>
  </si>
  <si>
    <t xml:space="preserve">Riserva ex art.2426 n.4 </t>
  </si>
  <si>
    <t>Dare</t>
  </si>
  <si>
    <t>Avere</t>
  </si>
  <si>
    <t>vita utile di 10 anni</t>
  </si>
  <si>
    <t>vita utile di 5 anni</t>
  </si>
  <si>
    <t>differenza tra il valore al partecipazione al 31 12.20x0 ed il valore della partecipazione al 31.12.20x1</t>
  </si>
  <si>
    <t xml:space="preserve">Si considerino le seguenti operazioni di acquisto e prelievo del magazzino di materie prime dell'impresa industriale </t>
  </si>
  <si>
    <t>Alfa S.p.A</t>
  </si>
  <si>
    <t>Data</t>
  </si>
  <si>
    <t>Operazioni</t>
  </si>
  <si>
    <t>KG</t>
  </si>
  <si>
    <t xml:space="preserve">costo unitario </t>
  </si>
  <si>
    <t>1° gennaio</t>
  </si>
  <si>
    <t>Rimanenze iniziali</t>
  </si>
  <si>
    <t>1° Aprile</t>
  </si>
  <si>
    <t>Acquisto</t>
  </si>
  <si>
    <t>Scarico</t>
  </si>
  <si>
    <t>1° Settembre</t>
  </si>
  <si>
    <t>1° Giugno</t>
  </si>
  <si>
    <t>1° Ottobre</t>
  </si>
  <si>
    <t>1° Dicembre</t>
  </si>
  <si>
    <t>Rimanenze Finali</t>
  </si>
  <si>
    <t>Tali operazioni sono relative ad una categoria omogenea di beni.</t>
  </si>
  <si>
    <t xml:space="preserve">Si provveda a valutare le giacenze finali di tali beni in aderenza alle seguenti metodologie: </t>
  </si>
  <si>
    <t>- Lifo di periodo</t>
  </si>
  <si>
    <t>- Lifo continuo o per movimento</t>
  </si>
  <si>
    <t>- Lifo a scatti</t>
  </si>
  <si>
    <t xml:space="preserve">costo medio ponderato per periodo </t>
  </si>
  <si>
    <t>valutazione delle rimanenze finali</t>
  </si>
  <si>
    <t xml:space="preserve">costo medio ponderato per movimento </t>
  </si>
  <si>
    <t xml:space="preserve">valutazione rimanenze finali </t>
  </si>
  <si>
    <t xml:space="preserve">Lifo di periodo </t>
  </si>
  <si>
    <t>valutazione rimanenze finali</t>
  </si>
  <si>
    <t>40 (rimanenze iniziali) * 500</t>
  </si>
  <si>
    <t>80 (1° acquisto)*520</t>
  </si>
  <si>
    <t>Lifo continuo</t>
  </si>
  <si>
    <t>prelievo</t>
  </si>
  <si>
    <t>rimanenze finali dopo il 1° Giugno</t>
  </si>
  <si>
    <t>prelievi</t>
  </si>
  <si>
    <t>rimanenze dopo 1° Dicembre</t>
  </si>
  <si>
    <t xml:space="preserve">quantità </t>
  </si>
  <si>
    <t xml:space="preserve">Valutazione delle rimanenze al 31 Dicembre </t>
  </si>
  <si>
    <t>30*500</t>
  </si>
  <si>
    <t>90*530</t>
  </si>
  <si>
    <t>Lifo a scatti</t>
  </si>
  <si>
    <t>variazione rimanenze</t>
  </si>
  <si>
    <t>40*500</t>
  </si>
  <si>
    <t>80*526,49</t>
  </si>
  <si>
    <t>- Fifo di periodo</t>
  </si>
  <si>
    <t>quantita di rimanenze finali 120</t>
  </si>
  <si>
    <t>70*540</t>
  </si>
  <si>
    <t>50*530</t>
  </si>
  <si>
    <t>Tavola di sintesi delle nostre valutazioni</t>
  </si>
  <si>
    <t>Lifo di periodo</t>
  </si>
  <si>
    <t>Cmp di acquisto</t>
  </si>
  <si>
    <t>Cmp di periodo</t>
  </si>
  <si>
    <t>Fifo</t>
  </si>
  <si>
    <t xml:space="preserve">- Costo medio ponderato di acquisto </t>
  </si>
  <si>
    <t>Al 31.12. 20x2 , a seguito di inventario fisico, la società commerciale Beta SpA, rileva in magazzino l'esistenza di 320 kg di merci, che l'impresa destina alla vendita senza svolgfere alcuna lavorazione</t>
  </si>
  <si>
    <t>Le movimentazioni intervenute nel corso dell'esercizio in magazzino merci sono le seguenti:</t>
  </si>
  <si>
    <t>Operazione</t>
  </si>
  <si>
    <t>Quantità</t>
  </si>
  <si>
    <t>Costo unitario</t>
  </si>
  <si>
    <t>1° Maggio</t>
  </si>
  <si>
    <t>1° Agosto</t>
  </si>
  <si>
    <t>1° Marzo</t>
  </si>
  <si>
    <t>1° Gennaio</t>
  </si>
  <si>
    <t>05/11/20x2</t>
  </si>
  <si>
    <t>31/12/20x2</t>
  </si>
  <si>
    <t>Rim iniziali</t>
  </si>
  <si>
    <t>Prelievo</t>
  </si>
  <si>
    <t>Rim finali</t>
  </si>
  <si>
    <t>Sulla base delle informazioni fornite, si proceda alla valutazione al costo delle rimanenze al 31 Dicembre 20x2 in base alle seguenti metodologie:</t>
  </si>
  <si>
    <t>- costo medio ponderato di acquisto</t>
  </si>
  <si>
    <t>- costo medio ponderato per movimento</t>
  </si>
  <si>
    <t>costo medio ponderato di acquisto</t>
  </si>
  <si>
    <t xml:space="preserve">valutazione al costo medio ponderato di acquisto </t>
  </si>
  <si>
    <t>- Costo medio ponderato  per periodo</t>
  </si>
  <si>
    <t>Costo medio ponderatp</t>
  </si>
  <si>
    <t>Importo tale</t>
  </si>
  <si>
    <t xml:space="preserve">Rimanenza </t>
  </si>
  <si>
    <t xml:space="preserve">Rimanenze </t>
  </si>
  <si>
    <t>costo medio ponderato di 413,64</t>
  </si>
  <si>
    <t xml:space="preserve"> soluzione corretta della lezione del 22/04/2021 nella quale si considerano  le rimanenze dopo il prelievo del 1° Maggio valorizzate al</t>
  </si>
  <si>
    <t>al costo medio ponderato di 413,64</t>
  </si>
  <si>
    <t xml:space="preserve">soluzione non corretta della lezione del 22/04/2021 nella quale non si considerano le rimennze dopo dopo il prelievo del 1° Maggio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</si>
</sst>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1"/>
      <color rgb="FFC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3" fontId="0" fillId="0" borderId="0" xfId="0" applyNumberFormat="1"/>
    <xf numFmtId="49" fontId="0" fillId="0" borderId="0" xfId="0" applyNumberFormat="1" applyAlignment="1">
      <alignment wrapText="1"/>
    </xf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49" fontId="3" fillId="0" borderId="0" xfId="0" applyNumberFormat="1" applyFont="1" applyAlignment="1">
      <alignment vertical="top" wrapText="1"/>
    </xf>
    <xf numFmtId="0" fontId="2" fillId="0" borderId="0" xfId="0" applyFont="1" applyAlignment="1">
      <alignment horizontal="left"/>
    </xf>
    <xf numFmtId="0" fontId="2" fillId="0" borderId="0" xfId="0" applyFont="1"/>
    <xf numFmtId="0" fontId="0" fillId="0" borderId="1" xfId="0" applyBorder="1"/>
    <xf numFmtId="1" fontId="0" fillId="0" borderId="0" xfId="0" applyNumberFormat="1"/>
    <xf numFmtId="0" fontId="0" fillId="0" borderId="0" xfId="0" quotePrefix="1"/>
    <xf numFmtId="3" fontId="0" fillId="0" borderId="0" xfId="0" quotePrefix="1" applyNumberFormat="1"/>
    <xf numFmtId="0" fontId="1" fillId="0" borderId="0" xfId="0" applyFont="1"/>
    <xf numFmtId="3" fontId="1" fillId="0" borderId="0" xfId="0" applyNumberFormat="1" applyFont="1"/>
    <xf numFmtId="0" fontId="1" fillId="0" borderId="1" xfId="0" applyFont="1" applyBorder="1"/>
    <xf numFmtId="0" fontId="1" fillId="0" borderId="0" xfId="0" applyFont="1" applyBorder="1"/>
    <xf numFmtId="0" fontId="0" fillId="0" borderId="0" xfId="0" applyBorder="1"/>
    <xf numFmtId="0" fontId="0" fillId="0" borderId="2" xfId="0" applyBorder="1"/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16" fontId="0" fillId="0" borderId="0" xfId="0" applyNumberFormat="1"/>
    <xf numFmtId="14" fontId="0" fillId="0" borderId="0" xfId="0" applyNumberFormat="1"/>
    <xf numFmtId="0" fontId="0" fillId="2" borderId="0" xfId="0" applyFill="1"/>
    <xf numFmtId="14" fontId="0" fillId="2" borderId="0" xfId="0" applyNumberFormat="1" applyFill="1"/>
    <xf numFmtId="14" fontId="0" fillId="3" borderId="0" xfId="0" applyNumberFormat="1" applyFill="1"/>
    <xf numFmtId="0" fontId="0" fillId="3" borderId="0" xfId="0" applyFill="1"/>
    <xf numFmtId="14" fontId="0" fillId="0" borderId="0" xfId="0" applyNumberFormat="1" applyAlignment="1">
      <alignment vertical="top" wrapText="1"/>
    </xf>
    <xf numFmtId="14" fontId="0" fillId="0" borderId="0" xfId="0" applyNumberFormat="1" applyAlignment="1">
      <alignment horizontal="left" vertical="top" wrapText="1"/>
    </xf>
    <xf numFmtId="14" fontId="0" fillId="2" borderId="0" xfId="0" applyNumberFormat="1" applyFill="1" applyAlignment="1">
      <alignment vertical="top"/>
    </xf>
    <xf numFmtId="0" fontId="0" fillId="2" borderId="0" xfId="0" applyFill="1" applyAlignment="1">
      <alignment vertical="top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U21"/>
  <sheetViews>
    <sheetView topLeftCell="A3" workbookViewId="0">
      <selection activeCell="A15" sqref="A15"/>
    </sheetView>
  </sheetViews>
  <sheetFormatPr defaultRowHeight="15" x14ac:dyDescent="0.25"/>
  <cols>
    <col min="1" max="1" width="73" customWidth="1"/>
  </cols>
  <sheetData>
    <row r="1" spans="1:125" x14ac:dyDescent="0.25">
      <c r="A1" s="5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</row>
    <row r="2" spans="1:125" x14ac:dyDescent="0.25">
      <c r="A2" t="s">
        <v>1</v>
      </c>
    </row>
    <row r="3" spans="1:125" x14ac:dyDescent="0.25">
      <c r="A3" t="s">
        <v>2</v>
      </c>
    </row>
    <row r="4" spans="1:125" x14ac:dyDescent="0.25">
      <c r="A4" t="s">
        <v>3</v>
      </c>
    </row>
    <row r="5" spans="1:125" x14ac:dyDescent="0.25">
      <c r="A5" s="4" t="s">
        <v>4</v>
      </c>
    </row>
    <row r="6" spans="1:125" x14ac:dyDescent="0.25">
      <c r="A6" s="4" t="s">
        <v>5</v>
      </c>
    </row>
    <row r="7" spans="1:125" x14ac:dyDescent="0.25">
      <c r="A7" s="4" t="s">
        <v>6</v>
      </c>
    </row>
    <row r="8" spans="1:125" x14ac:dyDescent="0.25">
      <c r="A8" s="4" t="s">
        <v>7</v>
      </c>
    </row>
    <row r="9" spans="1:125" x14ac:dyDescent="0.25">
      <c r="A9" s="3" t="s">
        <v>8</v>
      </c>
    </row>
    <row r="10" spans="1:125" x14ac:dyDescent="0.25">
      <c r="A10" s="4" t="s">
        <v>9</v>
      </c>
    </row>
    <row r="11" spans="1:125" x14ac:dyDescent="0.25">
      <c r="A11" s="4" t="s">
        <v>10</v>
      </c>
    </row>
    <row r="12" spans="1:125" x14ac:dyDescent="0.25">
      <c r="A12" s="4" t="s">
        <v>11</v>
      </c>
    </row>
    <row r="13" spans="1:125" x14ac:dyDescent="0.25">
      <c r="A13" s="4" t="s">
        <v>12</v>
      </c>
    </row>
    <row r="14" spans="1:125" x14ac:dyDescent="0.25">
      <c r="A14" s="4" t="s">
        <v>13</v>
      </c>
    </row>
    <row r="15" spans="1:125" x14ac:dyDescent="0.25">
      <c r="A15" s="4" t="s">
        <v>32</v>
      </c>
    </row>
    <row r="17" spans="1:3" x14ac:dyDescent="0.25">
      <c r="A17" s="6" t="s">
        <v>14</v>
      </c>
      <c r="B17" s="7"/>
      <c r="C17" s="7"/>
    </row>
    <row r="18" spans="1:3" x14ac:dyDescent="0.25">
      <c r="A18" s="6" t="s">
        <v>15</v>
      </c>
      <c r="B18" s="7"/>
      <c r="C18" s="7"/>
    </row>
    <row r="19" spans="1:3" x14ac:dyDescent="0.25">
      <c r="A19" s="6" t="s">
        <v>16</v>
      </c>
      <c r="B19" s="7"/>
      <c r="C19" s="7"/>
    </row>
    <row r="20" spans="1:3" x14ac:dyDescent="0.25">
      <c r="A20" s="6" t="s">
        <v>33</v>
      </c>
      <c r="B20" s="7"/>
      <c r="C20" s="7"/>
    </row>
    <row r="21" spans="1:3" x14ac:dyDescent="0.25">
      <c r="A21" s="6" t="s">
        <v>17</v>
      </c>
      <c r="B21" s="7"/>
      <c r="C21" s="7"/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59512F-570C-4652-8810-853360CF6CB1}">
  <dimension ref="A1:J49"/>
  <sheetViews>
    <sheetView topLeftCell="A32" workbookViewId="0">
      <selection activeCell="B41" sqref="B41"/>
    </sheetView>
  </sheetViews>
  <sheetFormatPr defaultRowHeight="15" x14ac:dyDescent="0.25"/>
  <cols>
    <col min="1" max="1" width="26.42578125" customWidth="1"/>
    <col min="2" max="2" width="30.42578125" customWidth="1"/>
    <col min="3" max="3" width="11.42578125" customWidth="1"/>
    <col min="5" max="5" width="20.140625" customWidth="1"/>
    <col min="9" max="9" width="12.7109375" customWidth="1"/>
    <col min="10" max="10" width="14.5703125" customWidth="1"/>
  </cols>
  <sheetData>
    <row r="1" spans="1:7" x14ac:dyDescent="0.25">
      <c r="A1" t="s">
        <v>36</v>
      </c>
      <c r="E1">
        <v>825000</v>
      </c>
      <c r="F1" s="10" t="s">
        <v>34</v>
      </c>
    </row>
    <row r="2" spans="1:7" x14ac:dyDescent="0.25">
      <c r="A2" t="s">
        <v>35</v>
      </c>
      <c r="E2">
        <v>950000</v>
      </c>
    </row>
    <row r="3" spans="1:7" x14ac:dyDescent="0.25">
      <c r="A3" t="s">
        <v>37</v>
      </c>
      <c r="E3">
        <f>E2-E1</f>
        <v>125000</v>
      </c>
    </row>
    <row r="4" spans="1:7" x14ac:dyDescent="0.25">
      <c r="A4" t="s">
        <v>38</v>
      </c>
      <c r="E4">
        <v>75000</v>
      </c>
      <c r="F4" s="11" t="s">
        <v>39</v>
      </c>
    </row>
    <row r="5" spans="1:7" x14ac:dyDescent="0.25">
      <c r="A5" t="s">
        <v>18</v>
      </c>
      <c r="E5">
        <f>E3-E4</f>
        <v>50000</v>
      </c>
      <c r="F5" s="1"/>
    </row>
    <row r="7" spans="1:7" x14ac:dyDescent="0.25">
      <c r="A7" t="s">
        <v>40</v>
      </c>
      <c r="C7" t="s">
        <v>19</v>
      </c>
      <c r="E7">
        <f>950000</f>
        <v>950000</v>
      </c>
    </row>
    <row r="10" spans="1:7" x14ac:dyDescent="0.25">
      <c r="F10" s="1"/>
    </row>
    <row r="12" spans="1:7" x14ac:dyDescent="0.25">
      <c r="C12" t="s">
        <v>19</v>
      </c>
      <c r="F12" t="s">
        <v>54</v>
      </c>
      <c r="G12" t="s">
        <v>55</v>
      </c>
    </row>
    <row r="13" spans="1:7" x14ac:dyDescent="0.25">
      <c r="A13" s="8" t="s">
        <v>41</v>
      </c>
      <c r="B13" s="8"/>
      <c r="D13" s="8" t="s">
        <v>21</v>
      </c>
      <c r="E13" s="8"/>
      <c r="F13" s="1">
        <v>950000</v>
      </c>
      <c r="G13" s="1">
        <v>950000</v>
      </c>
    </row>
    <row r="15" spans="1:7" x14ac:dyDescent="0.25">
      <c r="A15" t="s">
        <v>23</v>
      </c>
      <c r="D15" s="1">
        <v>950000</v>
      </c>
      <c r="F15" s="1"/>
    </row>
    <row r="16" spans="1:7" x14ac:dyDescent="0.25">
      <c r="A16" t="s">
        <v>42</v>
      </c>
    </row>
    <row r="17" spans="1:7" x14ac:dyDescent="0.25">
      <c r="A17" t="s">
        <v>26</v>
      </c>
      <c r="D17">
        <f>-75000/10</f>
        <v>-7500</v>
      </c>
      <c r="E17" t="s">
        <v>56</v>
      </c>
      <c r="G17">
        <f>E4/10</f>
        <v>7500</v>
      </c>
    </row>
    <row r="18" spans="1:7" x14ac:dyDescent="0.25">
      <c r="A18" t="s">
        <v>24</v>
      </c>
      <c r="D18">
        <f>-50000/5</f>
        <v>-10000</v>
      </c>
      <c r="E18" t="s">
        <v>57</v>
      </c>
      <c r="F18" s="1"/>
      <c r="G18">
        <f>E5/5</f>
        <v>10000</v>
      </c>
    </row>
    <row r="19" spans="1:7" x14ac:dyDescent="0.25">
      <c r="A19" t="s">
        <v>43</v>
      </c>
      <c r="D19">
        <f>75%*120000</f>
        <v>90000</v>
      </c>
      <c r="F19" s="9"/>
    </row>
    <row r="20" spans="1:7" x14ac:dyDescent="0.25">
      <c r="A20" t="s">
        <v>25</v>
      </c>
      <c r="D20">
        <f>-75%*3889</f>
        <v>-2916.75</v>
      </c>
      <c r="F20" s="9"/>
    </row>
    <row r="21" spans="1:7" x14ac:dyDescent="0.25">
      <c r="A21" t="s">
        <v>22</v>
      </c>
      <c r="D21" s="1">
        <f>D15+D17+D18+D19+D20</f>
        <v>1019583.25</v>
      </c>
      <c r="F21" s="1"/>
    </row>
    <row r="23" spans="1:7" x14ac:dyDescent="0.25">
      <c r="A23" t="s">
        <v>58</v>
      </c>
      <c r="F23" s="1">
        <f>D21-D15</f>
        <v>69583.25</v>
      </c>
    </row>
    <row r="24" spans="1:7" x14ac:dyDescent="0.25">
      <c r="G24" s="1"/>
    </row>
    <row r="26" spans="1:7" x14ac:dyDescent="0.25">
      <c r="A26" t="s">
        <v>44</v>
      </c>
      <c r="C26">
        <f>75%*120000</f>
        <v>90000</v>
      </c>
    </row>
    <row r="27" spans="1:7" x14ac:dyDescent="0.25">
      <c r="A27" t="s">
        <v>25</v>
      </c>
      <c r="C27">
        <f>-75%*3889</f>
        <v>-2916.75</v>
      </c>
    </row>
    <row r="28" spans="1:7" x14ac:dyDescent="0.25">
      <c r="A28" t="s">
        <v>45</v>
      </c>
      <c r="C28">
        <f>-7500</f>
        <v>-7500</v>
      </c>
      <c r="F28" s="1"/>
    </row>
    <row r="29" spans="1:7" x14ac:dyDescent="0.25">
      <c r="A29" t="s">
        <v>24</v>
      </c>
      <c r="C29" s="1">
        <v>-10000</v>
      </c>
      <c r="F29" s="1"/>
    </row>
    <row r="30" spans="1:7" x14ac:dyDescent="0.25">
      <c r="A30" t="s">
        <v>27</v>
      </c>
      <c r="C30" s="1">
        <f>C26+C27+C28+C29</f>
        <v>69583.25</v>
      </c>
      <c r="F30" s="1"/>
    </row>
    <row r="31" spans="1:7" x14ac:dyDescent="0.25">
      <c r="F31" s="1"/>
    </row>
    <row r="32" spans="1:7" x14ac:dyDescent="0.25">
      <c r="A32" s="12" t="s">
        <v>48</v>
      </c>
      <c r="B32" s="12"/>
      <c r="C32" s="12"/>
      <c r="D32" s="12"/>
      <c r="E32" s="12"/>
      <c r="F32" s="13"/>
      <c r="G32" s="12"/>
    </row>
    <row r="33" spans="1:10" x14ac:dyDescent="0.25">
      <c r="A33" s="12"/>
      <c r="B33" s="12"/>
      <c r="C33" s="12"/>
      <c r="D33" s="12"/>
      <c r="E33" s="12"/>
      <c r="F33" s="12" t="s">
        <v>54</v>
      </c>
      <c r="G33" s="12" t="s">
        <v>55</v>
      </c>
    </row>
    <row r="34" spans="1:10" x14ac:dyDescent="0.25">
      <c r="A34" s="14" t="s">
        <v>46</v>
      </c>
      <c r="B34" s="14"/>
      <c r="C34" s="12" t="s">
        <v>20</v>
      </c>
      <c r="D34" s="14" t="s">
        <v>47</v>
      </c>
      <c r="E34" s="14"/>
      <c r="F34" s="12">
        <v>69583</v>
      </c>
      <c r="G34" s="13">
        <v>69583</v>
      </c>
    </row>
    <row r="35" spans="1:10" x14ac:dyDescent="0.25">
      <c r="A35" s="15"/>
      <c r="B35" s="15"/>
      <c r="C35" s="12"/>
      <c r="D35" s="15"/>
      <c r="E35" s="15"/>
      <c r="F35" s="12"/>
      <c r="G35" s="12"/>
    </row>
    <row r="36" spans="1:10" x14ac:dyDescent="0.25">
      <c r="A36" s="12"/>
      <c r="B36" s="12"/>
      <c r="C36" s="12"/>
      <c r="D36" s="12"/>
      <c r="E36" s="12"/>
      <c r="F36" s="12" t="s">
        <v>54</v>
      </c>
      <c r="G36" s="12" t="s">
        <v>55</v>
      </c>
    </row>
    <row r="37" spans="1:10" x14ac:dyDescent="0.25">
      <c r="A37" s="14" t="s">
        <v>49</v>
      </c>
      <c r="B37" s="14"/>
      <c r="C37" s="12" t="s">
        <v>20</v>
      </c>
      <c r="D37" s="14" t="s">
        <v>29</v>
      </c>
      <c r="E37" s="14"/>
      <c r="F37" s="12">
        <v>69583</v>
      </c>
      <c r="G37" s="13">
        <v>69583</v>
      </c>
    </row>
    <row r="39" spans="1:10" x14ac:dyDescent="0.25">
      <c r="A39" t="s">
        <v>50</v>
      </c>
      <c r="I39" s="18" t="s">
        <v>29</v>
      </c>
      <c r="J39" s="18"/>
    </row>
    <row r="40" spans="1:10" x14ac:dyDescent="0.25">
      <c r="F40" t="s">
        <v>54</v>
      </c>
      <c r="G40" t="s">
        <v>55</v>
      </c>
      <c r="I40" s="17">
        <v>50000</v>
      </c>
      <c r="J40" s="19">
        <v>69583</v>
      </c>
    </row>
    <row r="41" spans="1:10" x14ac:dyDescent="0.25">
      <c r="A41" s="8" t="s">
        <v>51</v>
      </c>
      <c r="B41" s="8"/>
      <c r="D41" s="8" t="s">
        <v>29</v>
      </c>
      <c r="E41" s="8"/>
      <c r="F41">
        <v>69583</v>
      </c>
      <c r="G41" s="1">
        <v>69583</v>
      </c>
      <c r="J41" s="20"/>
    </row>
    <row r="42" spans="1:10" x14ac:dyDescent="0.25">
      <c r="J42" s="20"/>
    </row>
    <row r="43" spans="1:10" x14ac:dyDescent="0.25">
      <c r="A43" t="s">
        <v>30</v>
      </c>
      <c r="J43" s="20">
        <v>19583</v>
      </c>
    </row>
    <row r="44" spans="1:10" x14ac:dyDescent="0.25">
      <c r="J44" s="20"/>
    </row>
    <row r="45" spans="1:10" x14ac:dyDescent="0.25">
      <c r="F45" t="s">
        <v>54</v>
      </c>
      <c r="G45" t="s">
        <v>55</v>
      </c>
      <c r="I45" s="1"/>
    </row>
    <row r="46" spans="1:10" x14ac:dyDescent="0.25">
      <c r="A46" s="8" t="s">
        <v>52</v>
      </c>
      <c r="B46" s="8"/>
      <c r="C46" t="s">
        <v>20</v>
      </c>
      <c r="D46" s="8" t="s">
        <v>28</v>
      </c>
      <c r="E46" s="8"/>
      <c r="F46" s="1">
        <v>50000</v>
      </c>
      <c r="G46" s="1">
        <v>50000</v>
      </c>
    </row>
    <row r="47" spans="1:10" x14ac:dyDescent="0.25">
      <c r="A47" s="16"/>
      <c r="B47" s="16"/>
      <c r="D47" s="16"/>
      <c r="E47" s="16"/>
      <c r="F47" s="1"/>
      <c r="G47" s="1"/>
    </row>
    <row r="48" spans="1:10" x14ac:dyDescent="0.25">
      <c r="F48" t="s">
        <v>54</v>
      </c>
      <c r="G48" t="s">
        <v>55</v>
      </c>
    </row>
    <row r="49" spans="1:7" x14ac:dyDescent="0.25">
      <c r="A49" s="8" t="s">
        <v>53</v>
      </c>
      <c r="B49" s="8"/>
      <c r="C49" t="s">
        <v>20</v>
      </c>
      <c r="D49" s="8" t="s">
        <v>31</v>
      </c>
      <c r="E49" s="8"/>
      <c r="F49" s="1">
        <v>50000</v>
      </c>
      <c r="G49" s="1">
        <v>50000</v>
      </c>
    </row>
  </sheetData>
  <mergeCells count="1">
    <mergeCell ref="I39:J3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AD5531-9BFA-43B5-BBA7-9224952AFEB7}">
  <dimension ref="A1:D20"/>
  <sheetViews>
    <sheetView topLeftCell="A2" workbookViewId="0">
      <selection activeCell="B17" sqref="B17"/>
    </sheetView>
  </sheetViews>
  <sheetFormatPr defaultRowHeight="15" x14ac:dyDescent="0.25"/>
  <cols>
    <col min="1" max="1" width="18.28515625" customWidth="1"/>
    <col min="2" max="2" width="18.85546875" customWidth="1"/>
  </cols>
  <sheetData>
    <row r="1" spans="1:4" x14ac:dyDescent="0.25">
      <c r="A1" t="s">
        <v>59</v>
      </c>
    </row>
    <row r="2" spans="1:4" x14ac:dyDescent="0.25">
      <c r="A2" t="s">
        <v>60</v>
      </c>
    </row>
    <row r="4" spans="1:4" x14ac:dyDescent="0.25">
      <c r="A4" t="s">
        <v>61</v>
      </c>
      <c r="B4" t="s">
        <v>62</v>
      </c>
      <c r="C4" t="s">
        <v>63</v>
      </c>
      <c r="D4" t="s">
        <v>64</v>
      </c>
    </row>
    <row r="5" spans="1:4" x14ac:dyDescent="0.25">
      <c r="A5" t="s">
        <v>65</v>
      </c>
      <c r="B5" t="s">
        <v>66</v>
      </c>
      <c r="C5">
        <v>40</v>
      </c>
      <c r="D5">
        <v>500</v>
      </c>
    </row>
    <row r="6" spans="1:4" x14ac:dyDescent="0.25">
      <c r="A6" t="s">
        <v>67</v>
      </c>
      <c r="B6" t="s">
        <v>68</v>
      </c>
      <c r="C6">
        <v>200</v>
      </c>
      <c r="D6">
        <v>520</v>
      </c>
    </row>
    <row r="7" spans="1:4" x14ac:dyDescent="0.25">
      <c r="A7" t="s">
        <v>71</v>
      </c>
      <c r="B7" t="s">
        <v>69</v>
      </c>
      <c r="C7">
        <v>-210</v>
      </c>
    </row>
    <row r="8" spans="1:4" x14ac:dyDescent="0.25">
      <c r="A8" t="s">
        <v>70</v>
      </c>
      <c r="B8" t="s">
        <v>68</v>
      </c>
      <c r="C8">
        <v>100</v>
      </c>
      <c r="D8">
        <v>530</v>
      </c>
    </row>
    <row r="9" spans="1:4" x14ac:dyDescent="0.25">
      <c r="A9" t="s">
        <v>72</v>
      </c>
      <c r="B9" t="s">
        <v>68</v>
      </c>
      <c r="C9">
        <v>70</v>
      </c>
      <c r="D9">
        <v>540</v>
      </c>
    </row>
    <row r="10" spans="1:4" x14ac:dyDescent="0.25">
      <c r="A10" t="s">
        <v>73</v>
      </c>
      <c r="B10" t="s">
        <v>69</v>
      </c>
      <c r="C10">
        <v>-80</v>
      </c>
    </row>
    <row r="11" spans="1:4" x14ac:dyDescent="0.25">
      <c r="A11" s="21">
        <v>44561</v>
      </c>
      <c r="B11" t="s">
        <v>74</v>
      </c>
      <c r="C11">
        <v>120</v>
      </c>
    </row>
    <row r="13" spans="1:4" x14ac:dyDescent="0.25">
      <c r="A13" t="s">
        <v>75</v>
      </c>
    </row>
    <row r="14" spans="1:4" x14ac:dyDescent="0.25">
      <c r="A14" t="s">
        <v>76</v>
      </c>
    </row>
    <row r="15" spans="1:4" x14ac:dyDescent="0.25">
      <c r="A15" s="10" t="s">
        <v>110</v>
      </c>
    </row>
    <row r="16" spans="1:4" x14ac:dyDescent="0.25">
      <c r="A16" s="10" t="s">
        <v>130</v>
      </c>
    </row>
    <row r="17" spans="1:1" x14ac:dyDescent="0.25">
      <c r="A17" s="10" t="s">
        <v>77</v>
      </c>
    </row>
    <row r="18" spans="1:1" x14ac:dyDescent="0.25">
      <c r="A18" s="10" t="s">
        <v>78</v>
      </c>
    </row>
    <row r="19" spans="1:1" x14ac:dyDescent="0.25">
      <c r="A19" s="10" t="s">
        <v>79</v>
      </c>
    </row>
    <row r="20" spans="1:1" x14ac:dyDescent="0.25">
      <c r="A20" s="10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EDE06E-EB01-4930-9642-B378E37C2442}">
  <dimension ref="A1:E9"/>
  <sheetViews>
    <sheetView workbookViewId="0">
      <selection activeCell="A7" sqref="A7"/>
    </sheetView>
  </sheetViews>
  <sheetFormatPr defaultRowHeight="15" x14ac:dyDescent="0.25"/>
  <sheetData>
    <row r="1" spans="1:5" x14ac:dyDescent="0.25">
      <c r="A1" t="s">
        <v>80</v>
      </c>
    </row>
    <row r="2" spans="1:5" x14ac:dyDescent="0.25">
      <c r="A2">
        <f>(40*500+200*520+100*530+70*540)/(40+200+100+70)</f>
        <v>523.90243902439022</v>
      </c>
    </row>
    <row r="3" spans="1:5" x14ac:dyDescent="0.25">
      <c r="A3" t="s">
        <v>81</v>
      </c>
      <c r="E3">
        <f>120*A2</f>
        <v>62868.292682926825</v>
      </c>
    </row>
    <row r="5" spans="1:5" x14ac:dyDescent="0.25">
      <c r="A5" t="s">
        <v>82</v>
      </c>
    </row>
    <row r="7" spans="1:5" x14ac:dyDescent="0.25">
      <c r="A7">
        <f>(200*520+100*530+70*540)/(200+100+70)</f>
        <v>526.48648648648646</v>
      </c>
    </row>
    <row r="9" spans="1:5" x14ac:dyDescent="0.25">
      <c r="A9" t="s">
        <v>83</v>
      </c>
      <c r="D9">
        <f>120*A7</f>
        <v>63178.378378378373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7D60BC-6EA0-46A6-8838-59C52C43796E}">
  <dimension ref="A1:E35"/>
  <sheetViews>
    <sheetView topLeftCell="A18" workbookViewId="0">
      <selection activeCell="A35" sqref="A35"/>
    </sheetView>
  </sheetViews>
  <sheetFormatPr defaultRowHeight="15" x14ac:dyDescent="0.25"/>
  <cols>
    <col min="1" max="1" width="15.85546875" customWidth="1"/>
  </cols>
  <sheetData>
    <row r="1" spans="1:4" x14ac:dyDescent="0.25">
      <c r="A1" t="s">
        <v>84</v>
      </c>
    </row>
    <row r="3" spans="1:4" x14ac:dyDescent="0.25">
      <c r="A3" t="s">
        <v>85</v>
      </c>
      <c r="D3" t="s">
        <v>86</v>
      </c>
    </row>
    <row r="4" spans="1:4" x14ac:dyDescent="0.25">
      <c r="D4" t="s">
        <v>87</v>
      </c>
    </row>
    <row r="5" spans="1:4" x14ac:dyDescent="0.25">
      <c r="D5">
        <f>40*500+520*80</f>
        <v>61600</v>
      </c>
    </row>
    <row r="7" spans="1:4" x14ac:dyDescent="0.25">
      <c r="A7" t="s">
        <v>88</v>
      </c>
    </row>
    <row r="9" spans="1:4" x14ac:dyDescent="0.25">
      <c r="A9" t="s">
        <v>65</v>
      </c>
      <c r="B9" t="s">
        <v>66</v>
      </c>
      <c r="C9">
        <v>40</v>
      </c>
      <c r="D9">
        <v>500</v>
      </c>
    </row>
    <row r="10" spans="1:4" x14ac:dyDescent="0.25">
      <c r="A10" t="s">
        <v>67</v>
      </c>
      <c r="B10" t="s">
        <v>68</v>
      </c>
      <c r="C10">
        <v>200</v>
      </c>
      <c r="D10">
        <v>520</v>
      </c>
    </row>
    <row r="11" spans="1:4" x14ac:dyDescent="0.25">
      <c r="A11" t="s">
        <v>71</v>
      </c>
      <c r="B11" t="s">
        <v>69</v>
      </c>
      <c r="C11">
        <v>-210</v>
      </c>
    </row>
    <row r="13" spans="1:4" x14ac:dyDescent="0.25">
      <c r="A13" t="s">
        <v>89</v>
      </c>
      <c r="B13">
        <f>200*520+10*500</f>
        <v>109000</v>
      </c>
    </row>
    <row r="14" spans="1:4" x14ac:dyDescent="0.25">
      <c r="A14" t="s">
        <v>90</v>
      </c>
      <c r="D14">
        <f>30*500</f>
        <v>15000</v>
      </c>
    </row>
    <row r="16" spans="1:4" x14ac:dyDescent="0.25">
      <c r="A16" t="s">
        <v>70</v>
      </c>
      <c r="B16" t="s">
        <v>68</v>
      </c>
      <c r="C16">
        <v>100</v>
      </c>
      <c r="D16">
        <v>530</v>
      </c>
    </row>
    <row r="17" spans="1:5" x14ac:dyDescent="0.25">
      <c r="A17" t="s">
        <v>72</v>
      </c>
      <c r="B17" t="s">
        <v>68</v>
      </c>
      <c r="C17">
        <v>70</v>
      </c>
      <c r="D17">
        <v>540</v>
      </c>
    </row>
    <row r="18" spans="1:5" x14ac:dyDescent="0.25">
      <c r="A18" t="s">
        <v>73</v>
      </c>
      <c r="B18" t="s">
        <v>69</v>
      </c>
      <c r="C18">
        <v>-80</v>
      </c>
    </row>
    <row r="20" spans="1:5" x14ac:dyDescent="0.25">
      <c r="A20" t="s">
        <v>91</v>
      </c>
      <c r="B20">
        <f>C17*D17+10*D16</f>
        <v>43100</v>
      </c>
    </row>
    <row r="22" spans="1:5" x14ac:dyDescent="0.25">
      <c r="A22" t="s">
        <v>92</v>
      </c>
      <c r="D22">
        <f>90*530</f>
        <v>47700</v>
      </c>
    </row>
    <row r="24" spans="1:5" x14ac:dyDescent="0.25">
      <c r="A24" t="s">
        <v>93</v>
      </c>
      <c r="B24">
        <v>120</v>
      </c>
    </row>
    <row r="26" spans="1:5" x14ac:dyDescent="0.25">
      <c r="A26" t="s">
        <v>94</v>
      </c>
      <c r="E26" t="s">
        <v>95</v>
      </c>
    </row>
    <row r="27" spans="1:5" x14ac:dyDescent="0.25">
      <c r="E27" t="s">
        <v>96</v>
      </c>
    </row>
    <row r="28" spans="1:5" x14ac:dyDescent="0.25">
      <c r="E28">
        <f>30*500+90*530</f>
        <v>62700</v>
      </c>
    </row>
    <row r="30" spans="1:5" x14ac:dyDescent="0.25">
      <c r="A30" t="s">
        <v>97</v>
      </c>
    </row>
    <row r="31" spans="1:5" x14ac:dyDescent="0.25">
      <c r="A31" t="s">
        <v>98</v>
      </c>
      <c r="C31">
        <f>120-40</f>
        <v>80</v>
      </c>
    </row>
    <row r="33" spans="1:1" x14ac:dyDescent="0.25">
      <c r="A33" t="s">
        <v>99</v>
      </c>
    </row>
    <row r="34" spans="1:1" x14ac:dyDescent="0.25">
      <c r="A34" t="s">
        <v>100</v>
      </c>
    </row>
    <row r="35" spans="1:1" x14ac:dyDescent="0.25">
      <c r="A35">
        <f>40*500+80*526.49</f>
        <v>62119.199999999997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A3EFF5-D201-4682-BABA-2AF6A5B91FA6}">
  <dimension ref="A2:B15"/>
  <sheetViews>
    <sheetView workbookViewId="0">
      <selection activeCell="B15" sqref="B15"/>
    </sheetView>
  </sheetViews>
  <sheetFormatPr defaultRowHeight="15" x14ac:dyDescent="0.25"/>
  <cols>
    <col min="1" max="1" width="29.85546875" customWidth="1"/>
  </cols>
  <sheetData>
    <row r="2" spans="1:2" x14ac:dyDescent="0.25">
      <c r="A2" t="s">
        <v>102</v>
      </c>
    </row>
    <row r="4" spans="1:2" x14ac:dyDescent="0.25">
      <c r="A4" t="s">
        <v>103</v>
      </c>
      <c r="B4" t="s">
        <v>72</v>
      </c>
    </row>
    <row r="5" spans="1:2" x14ac:dyDescent="0.25">
      <c r="A5" t="s">
        <v>104</v>
      </c>
      <c r="B5" t="s">
        <v>70</v>
      </c>
    </row>
    <row r="7" spans="1:2" x14ac:dyDescent="0.25">
      <c r="A7">
        <f>70*540+50*530</f>
        <v>64300</v>
      </c>
    </row>
    <row r="9" spans="1:2" x14ac:dyDescent="0.25">
      <c r="A9" t="s">
        <v>105</v>
      </c>
    </row>
    <row r="10" spans="1:2" x14ac:dyDescent="0.25">
      <c r="A10" t="s">
        <v>106</v>
      </c>
      <c r="B10">
        <v>61600</v>
      </c>
    </row>
    <row r="11" spans="1:2" x14ac:dyDescent="0.25">
      <c r="A11" t="s">
        <v>97</v>
      </c>
      <c r="B11">
        <v>62119.199999999997</v>
      </c>
    </row>
    <row r="12" spans="1:2" x14ac:dyDescent="0.25">
      <c r="A12" t="s">
        <v>88</v>
      </c>
      <c r="B12">
        <v>62700</v>
      </c>
    </row>
    <row r="13" spans="1:2" x14ac:dyDescent="0.25">
      <c r="A13" t="s">
        <v>108</v>
      </c>
      <c r="B13">
        <v>62868</v>
      </c>
    </row>
    <row r="14" spans="1:2" x14ac:dyDescent="0.25">
      <c r="A14" t="s">
        <v>107</v>
      </c>
      <c r="B14">
        <v>63178.8</v>
      </c>
    </row>
    <row r="15" spans="1:2" x14ac:dyDescent="0.25">
      <c r="A15" t="s">
        <v>109</v>
      </c>
      <c r="B15">
        <f>A7</f>
        <v>64300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1FE698-381F-42DA-95F6-1F244EAF1A53}">
  <dimension ref="A1:T37"/>
  <sheetViews>
    <sheetView tabSelected="1" topLeftCell="C1" workbookViewId="0">
      <selection activeCell="M9" sqref="M9"/>
    </sheetView>
  </sheetViews>
  <sheetFormatPr defaultRowHeight="15" x14ac:dyDescent="0.25"/>
  <cols>
    <col min="1" max="1" width="13.5703125" customWidth="1"/>
    <col min="2" max="2" width="13" customWidth="1"/>
  </cols>
  <sheetData>
    <row r="1" spans="1:4" x14ac:dyDescent="0.25">
      <c r="A1" t="s">
        <v>111</v>
      </c>
    </row>
    <row r="3" spans="1:4" x14ac:dyDescent="0.25">
      <c r="A3" t="s">
        <v>112</v>
      </c>
    </row>
    <row r="5" spans="1:4" x14ac:dyDescent="0.25">
      <c r="A5" t="s">
        <v>61</v>
      </c>
      <c r="B5" t="s">
        <v>113</v>
      </c>
      <c r="C5" t="s">
        <v>114</v>
      </c>
      <c r="D5" t="s">
        <v>115</v>
      </c>
    </row>
    <row r="6" spans="1:4" x14ac:dyDescent="0.25">
      <c r="A6" t="s">
        <v>119</v>
      </c>
      <c r="B6" t="s">
        <v>122</v>
      </c>
      <c r="C6">
        <v>140</v>
      </c>
      <c r="D6">
        <v>400</v>
      </c>
    </row>
    <row r="7" spans="1:4" x14ac:dyDescent="0.25">
      <c r="A7" t="s">
        <v>118</v>
      </c>
      <c r="B7" t="s">
        <v>68</v>
      </c>
      <c r="C7">
        <v>300</v>
      </c>
      <c r="D7">
        <v>420</v>
      </c>
    </row>
    <row r="8" spans="1:4" x14ac:dyDescent="0.25">
      <c r="A8" t="s">
        <v>116</v>
      </c>
      <c r="B8" t="s">
        <v>123</v>
      </c>
      <c r="C8">
        <v>-310</v>
      </c>
    </row>
    <row r="9" spans="1:4" x14ac:dyDescent="0.25">
      <c r="A9" t="s">
        <v>117</v>
      </c>
      <c r="B9" t="s">
        <v>68</v>
      </c>
      <c r="C9">
        <v>200</v>
      </c>
      <c r="D9">
        <v>430</v>
      </c>
    </row>
    <row r="10" spans="1:4" x14ac:dyDescent="0.25">
      <c r="A10" t="s">
        <v>70</v>
      </c>
      <c r="B10" t="s">
        <v>68</v>
      </c>
      <c r="C10">
        <v>170</v>
      </c>
      <c r="D10">
        <v>440</v>
      </c>
    </row>
    <row r="11" spans="1:4" x14ac:dyDescent="0.25">
      <c r="A11" s="22" t="s">
        <v>120</v>
      </c>
      <c r="B11" t="s">
        <v>123</v>
      </c>
      <c r="C11">
        <v>-180</v>
      </c>
    </row>
    <row r="12" spans="1:4" x14ac:dyDescent="0.25">
      <c r="A12" s="22" t="s">
        <v>121</v>
      </c>
      <c r="B12" t="s">
        <v>124</v>
      </c>
      <c r="C12">
        <v>320</v>
      </c>
    </row>
    <row r="14" spans="1:4" x14ac:dyDescent="0.25">
      <c r="A14" t="s">
        <v>125</v>
      </c>
    </row>
    <row r="15" spans="1:4" x14ac:dyDescent="0.25">
      <c r="A15" s="10" t="s">
        <v>126</v>
      </c>
    </row>
    <row r="16" spans="1:4" x14ac:dyDescent="0.25">
      <c r="A16" s="10" t="s">
        <v>127</v>
      </c>
    </row>
    <row r="18" spans="1:6" x14ac:dyDescent="0.25">
      <c r="A18" t="s">
        <v>128</v>
      </c>
    </row>
    <row r="19" spans="1:6" x14ac:dyDescent="0.25">
      <c r="A19">
        <f>(300*420+200*430+170*440)/(300+200+170)</f>
        <v>428.05970149253733</v>
      </c>
    </row>
    <row r="20" spans="1:6" x14ac:dyDescent="0.25">
      <c r="A20" t="s">
        <v>129</v>
      </c>
      <c r="F20" s="23">
        <f>428.06*C12</f>
        <v>136979.20000000001</v>
      </c>
    </row>
    <row r="23" spans="1:6" x14ac:dyDescent="0.25">
      <c r="A23" t="s">
        <v>61</v>
      </c>
      <c r="B23" t="s">
        <v>113</v>
      </c>
      <c r="C23" t="s">
        <v>114</v>
      </c>
      <c r="D23" t="s">
        <v>115</v>
      </c>
      <c r="E23" t="s">
        <v>132</v>
      </c>
      <c r="F23" t="s">
        <v>131</v>
      </c>
    </row>
    <row r="24" spans="1:6" x14ac:dyDescent="0.25">
      <c r="A24" t="s">
        <v>119</v>
      </c>
      <c r="B24" t="s">
        <v>122</v>
      </c>
      <c r="C24">
        <v>140</v>
      </c>
      <c r="D24">
        <v>400</v>
      </c>
      <c r="E24">
        <f>C24*D24</f>
        <v>56000</v>
      </c>
    </row>
    <row r="25" spans="1:6" x14ac:dyDescent="0.25">
      <c r="A25" t="s">
        <v>118</v>
      </c>
      <c r="B25" t="s">
        <v>68</v>
      </c>
      <c r="C25">
        <v>300</v>
      </c>
      <c r="D25">
        <v>420</v>
      </c>
      <c r="E25">
        <f>C25*D25</f>
        <v>126000</v>
      </c>
    </row>
    <row r="26" spans="1:6" x14ac:dyDescent="0.25">
      <c r="E26">
        <f>SUM(E24:E25)</f>
        <v>182000</v>
      </c>
      <c r="F26">
        <f>(C24*400+C25*D25)/(140+300)</f>
        <v>413.63636363636363</v>
      </c>
    </row>
    <row r="27" spans="1:6" x14ac:dyDescent="0.25">
      <c r="A27" t="s">
        <v>116</v>
      </c>
      <c r="B27" t="s">
        <v>123</v>
      </c>
      <c r="C27">
        <v>-310</v>
      </c>
      <c r="D27">
        <v>413.64</v>
      </c>
      <c r="E27">
        <f>C27*413.64</f>
        <v>-128228.4</v>
      </c>
    </row>
    <row r="28" spans="1:6" x14ac:dyDescent="0.25">
      <c r="B28" t="s">
        <v>133</v>
      </c>
      <c r="C28">
        <f>C24+C25+C27</f>
        <v>130</v>
      </c>
      <c r="E28">
        <f>E26+E27</f>
        <v>53771.600000000006</v>
      </c>
    </row>
    <row r="29" spans="1:6" x14ac:dyDescent="0.25">
      <c r="A29" t="s">
        <v>117</v>
      </c>
      <c r="B29" t="s">
        <v>68</v>
      </c>
      <c r="C29">
        <v>200</v>
      </c>
      <c r="D29">
        <v>430</v>
      </c>
      <c r="E29">
        <f>C29*D29</f>
        <v>86000</v>
      </c>
    </row>
    <row r="30" spans="1:6" x14ac:dyDescent="0.25">
      <c r="B30" t="s">
        <v>134</v>
      </c>
      <c r="C30">
        <f>C28+C29</f>
        <v>330</v>
      </c>
      <c r="E30">
        <f>E28+E29</f>
        <v>139771.6</v>
      </c>
    </row>
    <row r="31" spans="1:6" x14ac:dyDescent="0.25">
      <c r="A31" t="s">
        <v>70</v>
      </c>
      <c r="B31" t="s">
        <v>68</v>
      </c>
      <c r="C31">
        <v>170</v>
      </c>
      <c r="D31">
        <v>440</v>
      </c>
      <c r="E31">
        <f>C31*D31</f>
        <v>74800</v>
      </c>
    </row>
    <row r="32" spans="1:6" x14ac:dyDescent="0.25">
      <c r="B32" t="s">
        <v>134</v>
      </c>
      <c r="C32">
        <f>C30+C31</f>
        <v>500</v>
      </c>
      <c r="E32">
        <f>E30+E31</f>
        <v>214571.6</v>
      </c>
    </row>
    <row r="33" spans="1:20" x14ac:dyDescent="0.25">
      <c r="A33" s="25" t="s">
        <v>120</v>
      </c>
      <c r="B33" s="26" t="s">
        <v>123</v>
      </c>
      <c r="C33" s="26">
        <v>-180</v>
      </c>
      <c r="D33" s="26">
        <v>429.15</v>
      </c>
      <c r="E33" s="26">
        <f>D33*C33</f>
        <v>-77247</v>
      </c>
      <c r="F33" s="26">
        <f>(130*413.64+200*430+170*440)/(200+170+130)</f>
        <v>429.14640000000003</v>
      </c>
      <c r="G33" t="s">
        <v>136</v>
      </c>
    </row>
    <row r="34" spans="1:20" x14ac:dyDescent="0.25">
      <c r="A34" s="25" t="s">
        <v>121</v>
      </c>
      <c r="B34" s="26" t="s">
        <v>124</v>
      </c>
      <c r="C34" s="26">
        <v>320</v>
      </c>
      <c r="D34" s="26"/>
      <c r="E34" s="26">
        <f>E32+E33</f>
        <v>137324.6</v>
      </c>
      <c r="F34" s="26"/>
      <c r="G34" t="s">
        <v>135</v>
      </c>
    </row>
    <row r="36" spans="1:20" x14ac:dyDescent="0.25">
      <c r="A36" s="24" t="s">
        <v>120</v>
      </c>
      <c r="B36" s="23" t="s">
        <v>123</v>
      </c>
      <c r="C36" s="23">
        <v>-180</v>
      </c>
      <c r="D36" s="23">
        <v>434.59</v>
      </c>
      <c r="E36" s="23">
        <f>D36*C36</f>
        <v>-78226.2</v>
      </c>
      <c r="F36" s="23">
        <f>(200*430+170*440)/(200+170)</f>
        <v>434.59459459459458</v>
      </c>
      <c r="G36" t="s">
        <v>138</v>
      </c>
    </row>
    <row r="37" spans="1:20" x14ac:dyDescent="0.25">
      <c r="A37" s="29" t="s">
        <v>121</v>
      </c>
      <c r="B37" s="30" t="s">
        <v>124</v>
      </c>
      <c r="C37" s="30">
        <v>320</v>
      </c>
      <c r="D37" s="30"/>
      <c r="E37" s="30">
        <f>E32+E36</f>
        <v>136345.40000000002</v>
      </c>
      <c r="F37" s="30"/>
      <c r="G37" s="28" t="s">
        <v>137</v>
      </c>
      <c r="H37" s="28"/>
      <c r="I37" s="28"/>
      <c r="J37" s="28"/>
      <c r="K37" s="28"/>
      <c r="L37" s="28"/>
      <c r="M37" s="28"/>
      <c r="N37" s="28"/>
      <c r="O37" s="27"/>
      <c r="P37" s="27"/>
      <c r="Q37" s="27"/>
      <c r="R37" s="27"/>
      <c r="S37" s="27"/>
      <c r="T37" s="27"/>
    </row>
  </sheetData>
  <mergeCells count="1">
    <mergeCell ref="G37:N37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7</vt:i4>
      </vt:variant>
    </vt:vector>
  </HeadingPairs>
  <TitlesOfParts>
    <vt:vector size="7" baseType="lpstr">
      <vt:lpstr>Testo </vt:lpstr>
      <vt:lpstr>Soluzione</vt:lpstr>
      <vt:lpstr>ES.1 RM</vt:lpstr>
      <vt:lpstr>Costo medio ponderato</vt:lpstr>
      <vt:lpstr>Lifo </vt:lpstr>
      <vt:lpstr>Fifo</vt:lpstr>
      <vt:lpstr>Es.2 RM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Paola Rossi</dc:creator>
  <cp:lastModifiedBy>Paola Rossi</cp:lastModifiedBy>
  <dcterms:created xsi:type="dcterms:W3CDTF">2015-06-05T18:19:34Z</dcterms:created>
  <dcterms:modified xsi:type="dcterms:W3CDTF">2021-04-22T11:14:02Z</dcterms:modified>
</cp:coreProperties>
</file>