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bedu-my.sharepoint.com/personal/modugno_mib_edu/Documents/MATERIALE/ANALISI BILANCIO INDICI E FLUSSI/CASI/CASI IN ITALIANO/MARINA STYLE/"/>
    </mc:Choice>
  </mc:AlternateContent>
  <xr:revisionPtr revIDLastSave="571" documentId="8_{D68BB7B3-9D7C-9B46-9935-5B736BDBFA55}" xr6:coauthVersionLast="45" xr6:coauthVersionMax="45" xr10:uidLastSave="{9B7C4D1D-C311-C443-BE40-EB996DC261FB}"/>
  <bookViews>
    <workbookView xWindow="0" yWindow="460" windowWidth="28800" windowHeight="16720" xr2:uid="{59F8384D-6399-AF41-A71E-B1106734EBE7}"/>
  </bookViews>
  <sheets>
    <sheet name="prev infrannuale" sheetId="1" r:id="rId1"/>
    <sheet name="metodo sintet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" l="1"/>
  <c r="F3" i="2"/>
  <c r="E45" i="2"/>
  <c r="E44" i="2"/>
  <c r="E43" i="2"/>
  <c r="E48" i="2"/>
  <c r="B45" i="2"/>
  <c r="B50" i="2" s="1"/>
  <c r="B44" i="2"/>
  <c r="B43" i="2"/>
  <c r="B42" i="2"/>
  <c r="F50" i="2"/>
  <c r="C50" i="2"/>
  <c r="B15" i="2"/>
  <c r="B32" i="2"/>
  <c r="B19" i="2"/>
  <c r="B33" i="2" s="1"/>
  <c r="B34" i="2" s="1"/>
  <c r="B28" i="2"/>
  <c r="F24" i="2"/>
  <c r="B24" i="2" s="1"/>
  <c r="B20" i="2" s="1"/>
  <c r="B25" i="2"/>
  <c r="G30" i="2"/>
  <c r="G29" i="2"/>
  <c r="G28" i="2"/>
  <c r="F4" i="2"/>
  <c r="F5" i="2" s="1"/>
  <c r="F2" i="2"/>
  <c r="F30" i="2"/>
  <c r="F23" i="2"/>
  <c r="B23" i="2"/>
  <c r="B21" i="2"/>
  <c r="B13" i="2"/>
  <c r="B12" i="2"/>
  <c r="B11" i="2"/>
  <c r="B9" i="2"/>
  <c r="B8" i="2"/>
  <c r="B7" i="2"/>
  <c r="B6" i="2"/>
  <c r="B4" i="2"/>
  <c r="B5" i="2"/>
  <c r="B10" i="2"/>
  <c r="B35" i="2" l="1"/>
  <c r="B16" i="2" s="1"/>
  <c r="B17" i="2" s="1"/>
  <c r="E49" i="2" s="1"/>
  <c r="C33" i="1"/>
  <c r="D33" i="1"/>
  <c r="E33" i="1"/>
  <c r="F33" i="1"/>
  <c r="G33" i="1"/>
  <c r="B33" i="1"/>
  <c r="O8" i="1"/>
  <c r="M12" i="1"/>
  <c r="P12" i="1"/>
  <c r="O10" i="1"/>
  <c r="O9" i="1"/>
  <c r="O7" i="1"/>
  <c r="O6" i="1"/>
  <c r="N24" i="1"/>
  <c r="H39" i="1"/>
  <c r="H40" i="1"/>
  <c r="H41" i="1"/>
  <c r="H42" i="1"/>
  <c r="H43" i="1"/>
  <c r="H38" i="1"/>
  <c r="N25" i="1"/>
  <c r="O5" i="1" s="1"/>
  <c r="N23" i="1"/>
  <c r="N22" i="1"/>
  <c r="H44" i="1"/>
  <c r="N21" i="1"/>
  <c r="N15" i="1"/>
  <c r="N14" i="1"/>
  <c r="B36" i="2" l="1"/>
  <c r="E42" i="2" s="1"/>
  <c r="E50" i="2" s="1"/>
  <c r="E52" i="2" s="1"/>
  <c r="C49" i="1"/>
  <c r="D49" i="1"/>
  <c r="E49" i="1"/>
  <c r="F49" i="1"/>
  <c r="G49" i="1"/>
  <c r="B49" i="1"/>
  <c r="C46" i="1"/>
  <c r="D46" i="1"/>
  <c r="E46" i="1"/>
  <c r="F46" i="1"/>
  <c r="G46" i="1"/>
  <c r="B46" i="1"/>
  <c r="B25" i="1"/>
  <c r="C37" i="1" s="1"/>
  <c r="C42" i="1"/>
  <c r="D42" i="1"/>
  <c r="E42" i="1"/>
  <c r="F42" i="1"/>
  <c r="G42" i="1"/>
  <c r="C43" i="1"/>
  <c r="D43" i="1"/>
  <c r="E43" i="1"/>
  <c r="F43" i="1"/>
  <c r="G43" i="1"/>
  <c r="B43" i="1"/>
  <c r="B42" i="1"/>
  <c r="C41" i="1"/>
  <c r="D41" i="1"/>
  <c r="E41" i="1"/>
  <c r="F41" i="1"/>
  <c r="G41" i="1"/>
  <c r="B41" i="1"/>
  <c r="C38" i="1"/>
  <c r="B38" i="1"/>
  <c r="E40" i="1"/>
  <c r="F40" i="1"/>
  <c r="G40" i="1"/>
  <c r="D40" i="1"/>
  <c r="C39" i="1"/>
  <c r="D39" i="1"/>
  <c r="E39" i="1"/>
  <c r="F39" i="1"/>
  <c r="G39" i="1"/>
  <c r="F34" i="1"/>
  <c r="E34" i="1"/>
  <c r="E30" i="1" s="1"/>
  <c r="D34" i="1"/>
  <c r="C31" i="1"/>
  <c r="B31" i="1"/>
  <c r="B30" i="1" s="1"/>
  <c r="C23" i="1"/>
  <c r="C44" i="1" s="1"/>
  <c r="D23" i="1"/>
  <c r="D44" i="1" s="1"/>
  <c r="E23" i="1"/>
  <c r="E44" i="1" s="1"/>
  <c r="F23" i="1"/>
  <c r="F44" i="1" s="1"/>
  <c r="G23" i="1"/>
  <c r="G44" i="1" s="1"/>
  <c r="B23" i="1"/>
  <c r="B44" i="1" s="1"/>
  <c r="C7" i="1"/>
  <c r="D7" i="1"/>
  <c r="E7" i="1"/>
  <c r="F7" i="1"/>
  <c r="G7" i="1"/>
  <c r="C22" i="1"/>
  <c r="D22" i="1"/>
  <c r="D35" i="1" s="1"/>
  <c r="E22" i="1"/>
  <c r="E35" i="1" s="1"/>
  <c r="F22" i="1"/>
  <c r="G22" i="1"/>
  <c r="B22" i="1"/>
  <c r="B35" i="1" s="1"/>
  <c r="H15" i="1"/>
  <c r="L8" i="1" s="1"/>
  <c r="H13" i="1"/>
  <c r="H12" i="1"/>
  <c r="G11" i="1"/>
  <c r="G9" i="1" s="1"/>
  <c r="F11" i="1"/>
  <c r="F14" i="1" s="1"/>
  <c r="F16" i="1" s="1"/>
  <c r="E11" i="1"/>
  <c r="E14" i="1" s="1"/>
  <c r="E16" i="1" s="1"/>
  <c r="D11" i="1"/>
  <c r="D14" i="1" s="1"/>
  <c r="D16" i="1" s="1"/>
  <c r="C11" i="1"/>
  <c r="C14" i="1" s="1"/>
  <c r="C16" i="1" s="1"/>
  <c r="B11" i="1"/>
  <c r="B14" i="1" s="1"/>
  <c r="B16" i="1" s="1"/>
  <c r="B7" i="1"/>
  <c r="H6" i="1"/>
  <c r="H5" i="1"/>
  <c r="H4" i="1"/>
  <c r="H2" i="1"/>
  <c r="N16" i="1" s="1"/>
  <c r="D30" i="1" l="1"/>
  <c r="D29" i="1" s="1"/>
  <c r="D28" i="1" s="1"/>
  <c r="B36" i="1"/>
  <c r="G25" i="1"/>
  <c r="G35" i="1"/>
  <c r="C25" i="1"/>
  <c r="D37" i="1" s="1"/>
  <c r="D36" i="1" s="1"/>
  <c r="C35" i="1"/>
  <c r="C30" i="1" s="1"/>
  <c r="C29" i="1" s="1"/>
  <c r="C28" i="1" s="1"/>
  <c r="F30" i="1"/>
  <c r="C36" i="1"/>
  <c r="F25" i="1"/>
  <c r="G37" i="1" s="1"/>
  <c r="G36" i="1" s="1"/>
  <c r="F35" i="1"/>
  <c r="E25" i="1"/>
  <c r="F37" i="1" s="1"/>
  <c r="D25" i="1"/>
  <c r="B29" i="1"/>
  <c r="B28" i="1" s="1"/>
  <c r="B64" i="1" s="1"/>
  <c r="G34" i="1"/>
  <c r="G30" i="1" s="1"/>
  <c r="G8" i="1"/>
  <c r="F9" i="1"/>
  <c r="F8" i="1" s="1"/>
  <c r="H7" i="1"/>
  <c r="E9" i="1"/>
  <c r="E8" i="1" s="1"/>
  <c r="B9" i="1"/>
  <c r="B8" i="1" s="1"/>
  <c r="H11" i="1"/>
  <c r="H14" i="1" s="1"/>
  <c r="H16" i="1" s="1"/>
  <c r="G14" i="1"/>
  <c r="G16" i="1" s="1"/>
  <c r="D9" i="1"/>
  <c r="D8" i="1" s="1"/>
  <c r="C9" i="1"/>
  <c r="C8" i="1" s="1"/>
  <c r="E37" i="1" l="1"/>
  <c r="E36" i="1" s="1"/>
  <c r="E29" i="1" s="1"/>
  <c r="E28" i="1" s="1"/>
  <c r="H25" i="1"/>
  <c r="E56" i="1"/>
  <c r="E64" i="1"/>
  <c r="D56" i="1"/>
  <c r="D64" i="1"/>
  <c r="C56" i="1"/>
  <c r="C64" i="1"/>
  <c r="G29" i="1"/>
  <c r="G28" i="1" s="1"/>
  <c r="H30" i="1"/>
  <c r="N17" i="1" s="1"/>
  <c r="N18" i="1" s="1"/>
  <c r="L5" i="1" s="1"/>
  <c r="F36" i="1"/>
  <c r="F29" i="1" s="1"/>
  <c r="F28" i="1" s="1"/>
  <c r="F64" i="1" s="1"/>
  <c r="B56" i="1"/>
  <c r="B57" i="1" s="1"/>
  <c r="H8" i="1"/>
  <c r="L7" i="1" s="1"/>
  <c r="H9" i="1"/>
  <c r="G56" i="1" l="1"/>
  <c r="G64" i="1"/>
  <c r="F56" i="1"/>
  <c r="H28" i="1"/>
  <c r="B58" i="1"/>
  <c r="B59" i="1" l="1"/>
  <c r="C55" i="1" l="1"/>
  <c r="C57" i="1" s="1"/>
  <c r="B65" i="1"/>
  <c r="C58" i="1" l="1"/>
  <c r="C59" i="1" s="1"/>
  <c r="D55" i="1" l="1"/>
  <c r="D57" i="1" s="1"/>
  <c r="D58" i="1" s="1"/>
  <c r="C65" i="1"/>
  <c r="D59" i="1" l="1"/>
  <c r="E55" i="1" s="1"/>
  <c r="E57" i="1" s="1"/>
  <c r="E58" i="1" s="1"/>
  <c r="D65" i="1" l="1"/>
  <c r="E59" i="1"/>
  <c r="F55" i="1" l="1"/>
  <c r="F57" i="1" s="1"/>
  <c r="F58" i="1" s="1"/>
  <c r="E65" i="1"/>
  <c r="F59" i="1" l="1"/>
  <c r="G55" i="1" l="1"/>
  <c r="F65" i="1"/>
  <c r="G57" i="1" l="1"/>
  <c r="G58" i="1" l="1"/>
  <c r="H58" i="1" s="1"/>
  <c r="H17" i="1" s="1"/>
  <c r="H18" i="1" s="1"/>
  <c r="O11" i="1" s="1"/>
  <c r="O12" i="1" s="1"/>
  <c r="G59" i="1" l="1"/>
  <c r="L4" i="1" l="1"/>
  <c r="L12" i="1" s="1"/>
  <c r="R12" i="1" s="1"/>
  <c r="G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tc={EF3997F8-266B-1342-9D4E-15D74FC86409}</author>
    <author>tc={1635C8D7-E194-6B4C-AA9A-EAC9099179E5}</author>
  </authors>
  <commentList>
    <comment ref="B38" authorId="0" shapeId="0" xr:uid="{EF3997F8-266B-1342-9D4E-15D74FC8640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questa uscita rappresenta il pagamento delle materie acquistate a MARZO (-188) nonchè dei servizi acquistati a FEBBRAIO (-50)</t>
      </text>
    </comment>
    <comment ref="C38" authorId="1" shapeId="0" xr:uid="{1635C8D7-E194-6B4C-AA9A-EAC9099179E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questa uscita rappresenta il pagamento dei servizi acquistati a MARZO (-50) e quello dei debiti verso l’erario (-80)</t>
      </text>
    </comment>
  </commentList>
</comments>
</file>

<file path=xl/sharedStrings.xml><?xml version="1.0" encoding="utf-8"?>
<sst xmlns="http://schemas.openxmlformats.org/spreadsheetml/2006/main" count="149" uniqueCount="122">
  <si>
    <t>APRILE</t>
  </si>
  <si>
    <t>MAGGIO</t>
  </si>
  <si>
    <t>GIUGNO</t>
  </si>
  <si>
    <t>LUGLIO</t>
  </si>
  <si>
    <t>AGOSTO</t>
  </si>
  <si>
    <t>SETTEMBRE</t>
  </si>
  <si>
    <t>TOTALE</t>
  </si>
  <si>
    <t>ricavi di vendita</t>
  </si>
  <si>
    <t xml:space="preserve"> - costi acquisto materie</t>
  </si>
  <si>
    <t xml:space="preserve"> - costi per servizi (lav. Terzi)</t>
  </si>
  <si>
    <t xml:space="preserve"> - stipendi e contributi</t>
  </si>
  <si>
    <t xml:space="preserve"> - quota TFR</t>
  </si>
  <si>
    <t xml:space="preserve"> variazione nelle rimanenze</t>
  </si>
  <si>
    <t>TOT. COSTO DEL VENDUTO</t>
  </si>
  <si>
    <t>MARGINE SUL VENDUTO</t>
  </si>
  <si>
    <t xml:space="preserve">  - altri costi operativi</t>
  </si>
  <si>
    <t xml:space="preserve"> - compensi amministratori</t>
  </si>
  <si>
    <t xml:space="preserve">MOL  </t>
  </si>
  <si>
    <t xml:space="preserve"> ammortamento</t>
  </si>
  <si>
    <t xml:space="preserve">REDDITO OPERATIVO </t>
  </si>
  <si>
    <t xml:space="preserve"> - oneri finanziari su mutui e fidi</t>
  </si>
  <si>
    <t>REDDITO ANTE IMPOSTE</t>
  </si>
  <si>
    <t xml:space="preserve">IVA </t>
  </si>
  <si>
    <t>su vendite</t>
  </si>
  <si>
    <t>su acquisti</t>
  </si>
  <si>
    <t>SALDO</t>
  </si>
  <si>
    <t>CASH BUDGET</t>
  </si>
  <si>
    <t>ENTRATE</t>
  </si>
  <si>
    <t>FLUSSO DA ATTIVITA' OPERATIVA</t>
  </si>
  <si>
    <t>FLUSSO DA ATTIVITA' INVESTIM.</t>
  </si>
  <si>
    <t>FLUSSO DA ATTIVITA' FINANZIAM.</t>
  </si>
  <si>
    <t>da crediti inizio periodo</t>
  </si>
  <si>
    <t xml:space="preserve">da vendite del periodo </t>
  </si>
  <si>
    <t>alla consegna</t>
  </si>
  <si>
    <t>dilazionato</t>
  </si>
  <si>
    <t>USCITE</t>
  </si>
  <si>
    <t>versamenti IVA</t>
  </si>
  <si>
    <t>acquisti</t>
  </si>
  <si>
    <t>servizi</t>
  </si>
  <si>
    <t>personale</t>
  </si>
  <si>
    <t>altri costi operativi</t>
  </si>
  <si>
    <t>compensi amministratori</t>
  </si>
  <si>
    <t>debiti iniziali</t>
  </si>
  <si>
    <t>acquisti di immobilizzazioni</t>
  </si>
  <si>
    <t>su investimenti</t>
  </si>
  <si>
    <t>rate dei mutui</t>
  </si>
  <si>
    <t>dividendi</t>
  </si>
  <si>
    <t>STIMA DEGLI ONERI FINANZIARI E DEL FABBISOGNO FINANZIARIO</t>
  </si>
  <si>
    <t>flusso di liquidità del mese</t>
  </si>
  <si>
    <t>saldo di banca inizio mese</t>
  </si>
  <si>
    <t>saldo banca fine mese ante inter.</t>
  </si>
  <si>
    <t>interessi passivi</t>
  </si>
  <si>
    <t xml:space="preserve">saldo banca fine mese </t>
  </si>
  <si>
    <t>ATTIVITA'</t>
  </si>
  <si>
    <t>PASSIVO E NETTO</t>
  </si>
  <si>
    <t>30.09.20X2</t>
  </si>
  <si>
    <t>31.3.20X2</t>
  </si>
  <si>
    <t>liquidità</t>
  </si>
  <si>
    <t>altri crediti</t>
  </si>
  <si>
    <t>rimanenze</t>
  </si>
  <si>
    <t>immobilizzazioni</t>
  </si>
  <si>
    <t>banche passive</t>
  </si>
  <si>
    <t>mutui passivi</t>
  </si>
  <si>
    <t>capitale sociale</t>
  </si>
  <si>
    <t xml:space="preserve">riserve </t>
  </si>
  <si>
    <t>risultato previsto nel periodo</t>
  </si>
  <si>
    <t>crediti verso clienti*</t>
  </si>
  <si>
    <t xml:space="preserve"> + ricavi di vendita previsti</t>
  </si>
  <si>
    <t xml:space="preserve">  - entrate da ricavi e crediti nel periodo</t>
  </si>
  <si>
    <t>crediti finali</t>
  </si>
  <si>
    <t>*crediti iniziali</t>
  </si>
  <si>
    <t>IVA incassata dai clienti</t>
  </si>
  <si>
    <t>IVA pagata ai fornitori</t>
  </si>
  <si>
    <t xml:space="preserve"> + IVA su vendite previste</t>
  </si>
  <si>
    <t xml:space="preserve"> + IVA su acquisti previsti</t>
  </si>
  <si>
    <t xml:space="preserve"> + acquisti materie e servizi</t>
  </si>
  <si>
    <t xml:space="preserve"> - uscite per acquisti materie e servizi nel periodo</t>
  </si>
  <si>
    <t>debiti finali verso fornitori</t>
  </si>
  <si>
    <t>debiti vs. fornitori**</t>
  </si>
  <si>
    <t>**debiti verso fornitori iniziali</t>
  </si>
  <si>
    <t>TOTALE ATTIVO</t>
  </si>
  <si>
    <t>Debiti vs. erario</t>
  </si>
  <si>
    <t>fondi rischi, TFR</t>
  </si>
  <si>
    <t>FLUSSO DI LIQUIDITA'</t>
  </si>
  <si>
    <t>SALDO DI BANCA</t>
  </si>
  <si>
    <t>RICAVI DI VENDITA</t>
  </si>
  <si>
    <t>COSTO DEL VENDUTO</t>
  </si>
  <si>
    <t>costo delle materie</t>
  </si>
  <si>
    <t>costi per servizi</t>
  </si>
  <si>
    <t>stipendi contributi</t>
  </si>
  <si>
    <t>quota TFR</t>
  </si>
  <si>
    <t>variazione nelle rimanenze</t>
  </si>
  <si>
    <t>compensi agli amministratori</t>
  </si>
  <si>
    <t>ammortamenti</t>
  </si>
  <si>
    <t>MOL</t>
  </si>
  <si>
    <t>REDDITO OPERATIVO</t>
  </si>
  <si>
    <t>FLUSSO DALLA GESTIONE OPERATIVA</t>
  </si>
  <si>
    <t>mol</t>
  </si>
  <si>
    <t xml:space="preserve"> - variazione CCN operativo</t>
  </si>
  <si>
    <t>variazione rimanenze</t>
  </si>
  <si>
    <t>variazione crediti operativi</t>
  </si>
  <si>
    <t>variazione debiti operativi</t>
  </si>
  <si>
    <t>crediti clienti finali</t>
  </si>
  <si>
    <t>debiti operativi iniziali</t>
  </si>
  <si>
    <t>fornitori</t>
  </si>
  <si>
    <t>erario</t>
  </si>
  <si>
    <t>fondi</t>
  </si>
  <si>
    <t>debiti operativi finali</t>
  </si>
  <si>
    <t>iva a debito</t>
  </si>
  <si>
    <t>iva a credito</t>
  </si>
  <si>
    <t>SALDO IVA NEL SEMESTRE</t>
  </si>
  <si>
    <t>DEBITO IVA A FINE SETT</t>
  </si>
  <si>
    <t>FLUSSO DA ATT. DI INVESTIMENTO</t>
  </si>
  <si>
    <t>FLUSSO DA ATT. DI FINANZIAMENTO</t>
  </si>
  <si>
    <t>crediti clienti iniziali</t>
  </si>
  <si>
    <t>stima degli oneri finanziari e del saldo di banca finale</t>
  </si>
  <si>
    <t>saldo di banca iniziale</t>
  </si>
  <si>
    <t>flusso di liquidità</t>
  </si>
  <si>
    <t>saldo di banca finale ante interessi</t>
  </si>
  <si>
    <t>oneri finanziari</t>
  </si>
  <si>
    <t>saldo di banca finale con interessi</t>
  </si>
  <si>
    <t xml:space="preserve"> - oneri finanziari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</si>
</sst>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1" applyNumberFormat="1" applyFont="1"/>
    <xf numFmtId="164" fontId="0" fillId="2" borderId="0" xfId="1" applyNumberFormat="1" applyFont="1" applyFill="1"/>
    <xf numFmtId="0" fontId="2" fillId="0" borderId="1" xfId="2"/>
    <xf numFmtId="164" fontId="2" fillId="0" borderId="1" xfId="2" applyNumberFormat="1"/>
    <xf numFmtId="164" fontId="2" fillId="2" borderId="1" xfId="2" applyNumberFormat="1" applyFill="1"/>
    <xf numFmtId="164" fontId="0" fillId="2" borderId="0" xfId="0" applyNumberFormat="1" applyFill="1"/>
    <xf numFmtId="0" fontId="2" fillId="0" borderId="1" xfId="2" applyFill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5" fillId="0" borderId="0" xfId="1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164" fontId="6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164" fontId="7" fillId="0" borderId="0" xfId="0" applyNumberFormat="1" applyFont="1"/>
    <xf numFmtId="0" fontId="8" fillId="0" borderId="0" xfId="0" applyFont="1"/>
    <xf numFmtId="164" fontId="8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3" xfId="3" applyNumberFormat="1" applyFont="1" applyBorder="1"/>
    <xf numFmtId="165" fontId="0" fillId="0" borderId="4" xfId="3" applyNumberFormat="1" applyFont="1" applyBorder="1"/>
    <xf numFmtId="165" fontId="0" fillId="0" borderId="5" xfId="3" applyNumberFormat="1" applyFont="1" applyBorder="1"/>
    <xf numFmtId="165" fontId="0" fillId="0" borderId="0" xfId="0" applyNumberFormat="1"/>
    <xf numFmtId="44" fontId="0" fillId="0" borderId="0" xfId="1" applyFont="1"/>
    <xf numFmtId="44" fontId="2" fillId="0" borderId="1" xfId="2" applyNumberFormat="1"/>
    <xf numFmtId="0" fontId="7" fillId="0" borderId="0" xfId="0" applyFont="1"/>
    <xf numFmtId="164" fontId="7" fillId="0" borderId="0" xfId="1" applyNumberFormat="1" applyFont="1"/>
    <xf numFmtId="0" fontId="0" fillId="0" borderId="0" xfId="0" applyAlignment="1">
      <alignment horizontal="left"/>
    </xf>
    <xf numFmtId="44" fontId="8" fillId="0" borderId="0" xfId="1" applyNumberFormat="1" applyFont="1"/>
    <xf numFmtId="0" fontId="0" fillId="0" borderId="2" xfId="0" applyBorder="1"/>
    <xf numFmtId="165" fontId="0" fillId="0" borderId="2" xfId="0" applyNumberForma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2" fillId="0" borderId="1" xfId="2" applyAlignment="1">
      <alignment horizontal="left"/>
    </xf>
    <xf numFmtId="0" fontId="9" fillId="0" borderId="0" xfId="0" applyFont="1" applyAlignment="1">
      <alignment horizontal="left" indent="1"/>
    </xf>
    <xf numFmtId="44" fontId="9" fillId="0" borderId="0" xfId="1" applyFont="1" applyAlignment="1">
      <alignment horizontal="left" indent="1"/>
    </xf>
    <xf numFmtId="0" fontId="0" fillId="0" borderId="0" xfId="0" applyFont="1" applyAlignment="1">
      <alignment horizontal="left" indent="1"/>
    </xf>
    <xf numFmtId="4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44" fontId="0" fillId="2" borderId="0" xfId="0" applyNumberFormat="1" applyFill="1"/>
    <xf numFmtId="44" fontId="0" fillId="2" borderId="0" xfId="1" applyFont="1" applyFill="1"/>
    <xf numFmtId="0" fontId="3" fillId="4" borderId="0" xfId="0" applyFont="1" applyFill="1"/>
    <xf numFmtId="44" fontId="3" fillId="4" borderId="0" xfId="0" applyNumberFormat="1" applyFont="1" applyFill="1"/>
    <xf numFmtId="0" fontId="0" fillId="0" borderId="0" xfId="0" applyFill="1"/>
    <xf numFmtId="0" fontId="3" fillId="5" borderId="0" xfId="0" applyFont="1" applyFill="1"/>
    <xf numFmtId="44" fontId="5" fillId="0" borderId="0" xfId="1" applyFont="1"/>
  </cellXfs>
  <cellStyles count="4">
    <cellStyle name="Migliaia" xfId="3" builtinId="3"/>
    <cellStyle name="Normale" xfId="0" builtinId="0"/>
    <cellStyle name="Totale" xfId="2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PREVISIONI</a:t>
            </a:r>
            <a:r>
              <a:rPr lang="it-IT" baseline="0"/>
              <a:t> LIQUIDITA'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 infrannuale'!$A$64</c:f>
              <c:strCache>
                <c:ptCount val="1"/>
                <c:pt idx="0">
                  <c:v>FLUSSO DI LIQUIDITA'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'prev infrannuale'!$B$64:$G$64</c:f>
              <c:numCache>
                <c:formatCode>_-* #,##0\ "€"_-;\-* #,##0\ "€"_-;_-* "-"??\ "€"_-;_-@_-</c:formatCode>
                <c:ptCount val="6"/>
                <c:pt idx="0">
                  <c:v>-78040</c:v>
                </c:pt>
                <c:pt idx="1">
                  <c:v>-25500</c:v>
                </c:pt>
                <c:pt idx="2">
                  <c:v>-383500</c:v>
                </c:pt>
                <c:pt idx="3">
                  <c:v>192000</c:v>
                </c:pt>
                <c:pt idx="4">
                  <c:v>505500</c:v>
                </c:pt>
                <c:pt idx="5">
                  <c:v>177500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F-FC46-B609-B33429947582}"/>
            </c:ext>
          </c:extLst>
        </c:ser>
        <c:ser>
          <c:idx val="1"/>
          <c:order val="1"/>
          <c:tx>
            <c:strRef>
              <c:f>'prev infrannuale'!$A$65</c:f>
              <c:strCache>
                <c:ptCount val="1"/>
                <c:pt idx="0">
                  <c:v>SALDO DI BANCA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'prev infrannuale'!$B$65:$G$65</c:f>
              <c:numCache>
                <c:formatCode>_-* #,##0\ "€"_-;\-* #,##0\ "€"_-;_-* "-"??\ "€"_-;_-@_-</c:formatCode>
                <c:ptCount val="6"/>
                <c:pt idx="0">
                  <c:v>-304360.09999999998</c:v>
                </c:pt>
                <c:pt idx="1">
                  <c:v>-331445.65049999999</c:v>
                </c:pt>
                <c:pt idx="2">
                  <c:v>-717561.62875249994</c:v>
                </c:pt>
                <c:pt idx="3">
                  <c:v>-528669.43689626246</c:v>
                </c:pt>
                <c:pt idx="4">
                  <c:v>-24549.034080743771</c:v>
                </c:pt>
                <c:pt idx="5">
                  <c:v>152952.14441122182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F-FC46-B609-B33429947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112496"/>
        <c:axId val="1042059840"/>
      </c:lineChart>
      <c:catAx>
        <c:axId val="986112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2059840"/>
        <c:crosses val="autoZero"/>
        <c:auto val="1"/>
        <c:lblAlgn val="ctr"/>
        <c:lblOffset val="100"/>
        <c:noMultiLvlLbl val="0"/>
      </c:catAx>
      <c:valAx>
        <c:axId val="10420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1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414135</xdr:colOff>
      <xdr:row>66</xdr:row>
      <xdr:rowOff>96261</xdr:rowOff>
    </xdr:from>
    <xdr:to>
      <xdr:col>7</xdr:col>
      <xdr:colOff>432536</xdr:colOff>
      <xdr:row>82</xdr:row>
      <xdr:rowOff>9202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6D957F1-BD3A-504B-90BD-BD31A4AD2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dugno Guido" id="{6907643D-8C58-604D-A90F-9DBFA10449B7}" userId="S::modugno@mib.edu::ffb9e820-5e1e-4d25-9262-be26467d8eb3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8" dT="2020-04-28T13:00:41.59" personId="{6907643D-8C58-604D-A90F-9DBFA10449B7}" id="{EF3997F8-266B-1342-9D4E-15D74FC86409}">
    <text>questa uscita rappresenta il pagamento delle materie acquistate a MARZO (-188) nonchè dei servizi acquistati a FEBBRAIO (-50)</text>
  </threadedComment>
  <threadedComment ref="C38" dT="2020-04-28T12:59:26.02" personId="{6907643D-8C58-604D-A90F-9DBFA10449B7}" id="{1635C8D7-E194-6B4C-AA9A-EAC9099179E5}">
    <text>questa uscita rappresenta il pagamento dei servizi acquistati a MARZO (-50) e quello dei debiti verso l’erario (-80)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361A-17FC-7D49-A013-541C406708E3}">
  <dimension ref="A1:R65"/>
  <sheetViews>
    <sheetView tabSelected="1" zoomScale="138" zoomScaleNormal="153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A22" sqref="A22:G23"/>
    </sheetView>
  </sheetViews>
  <sheetFormatPr baseColWidth="10" defaultRowHeight="16" x14ac:dyDescent="0.2"/>
  <cols>
    <col min="1" max="1" width="28" bestFit="1" customWidth="1"/>
    <col min="2" max="3" width="13.1640625" bestFit="1" customWidth="1"/>
    <col min="4" max="7" width="13" bestFit="1" customWidth="1"/>
    <col min="8" max="8" width="13.6640625" customWidth="1"/>
    <col min="10" max="10" width="6.1640625" customWidth="1"/>
    <col min="11" max="11" width="17.83203125" customWidth="1"/>
    <col min="14" max="14" width="25" bestFit="1" customWidth="1"/>
    <col min="16" max="16" width="12" bestFit="1" customWidth="1"/>
  </cols>
  <sheetData>
    <row r="1" spans="1:18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1:18" x14ac:dyDescent="0.2">
      <c r="A2" t="s">
        <v>7</v>
      </c>
      <c r="B2" s="3">
        <v>300000</v>
      </c>
      <c r="C2" s="3">
        <v>625000</v>
      </c>
      <c r="D2" s="3">
        <v>1000000</v>
      </c>
      <c r="E2" s="3">
        <v>700000</v>
      </c>
      <c r="F2" s="3">
        <v>575000</v>
      </c>
      <c r="G2" s="3">
        <v>300000</v>
      </c>
      <c r="H2" s="4">
        <f>SUM(B2:G2)</f>
        <v>3500000</v>
      </c>
      <c r="K2" s="45" t="s">
        <v>53</v>
      </c>
      <c r="L2" s="45"/>
      <c r="M2" s="45"/>
      <c r="N2" s="45" t="s">
        <v>54</v>
      </c>
      <c r="O2" s="45"/>
      <c r="P2" s="45"/>
    </row>
    <row r="3" spans="1:18" x14ac:dyDescent="0.2">
      <c r="B3" s="3"/>
      <c r="C3" s="3"/>
      <c r="D3" s="3"/>
      <c r="E3" s="3"/>
      <c r="F3" s="3"/>
      <c r="G3" s="3"/>
      <c r="H3" s="4"/>
      <c r="L3" s="13" t="s">
        <v>55</v>
      </c>
      <c r="M3" s="13" t="s">
        <v>56</v>
      </c>
      <c r="O3" s="13" t="s">
        <v>55</v>
      </c>
      <c r="P3" s="13" t="s">
        <v>56</v>
      </c>
    </row>
    <row r="4" spans="1:18" x14ac:dyDescent="0.2">
      <c r="A4" t="s">
        <v>8</v>
      </c>
      <c r="B4" s="3">
        <v>-188000</v>
      </c>
      <c r="C4" s="3">
        <v>-188000</v>
      </c>
      <c r="D4" s="3">
        <v>-188000</v>
      </c>
      <c r="E4" s="3">
        <v>-188000</v>
      </c>
      <c r="F4" s="3">
        <v>-188000</v>
      </c>
      <c r="G4" s="3">
        <v>-188000</v>
      </c>
      <c r="H4" s="4">
        <f t="shared" ref="H4:H11" si="0">SUM(B4:G4)</f>
        <v>-1128000</v>
      </c>
      <c r="K4" s="29" t="s">
        <v>57</v>
      </c>
      <c r="L4" s="32">
        <f>25000+G59</f>
        <v>177952.14441122182</v>
      </c>
      <c r="M4" s="32">
        <v>25000</v>
      </c>
      <c r="N4" s="29" t="s">
        <v>61</v>
      </c>
      <c r="O4" s="32">
        <v>0</v>
      </c>
      <c r="P4" s="32">
        <v>225000</v>
      </c>
    </row>
    <row r="5" spans="1:18" x14ac:dyDescent="0.2">
      <c r="A5" t="s">
        <v>9</v>
      </c>
      <c r="B5" s="3">
        <v>-50000</v>
      </c>
      <c r="C5" s="3">
        <v>-50000</v>
      </c>
      <c r="D5" s="3">
        <v>-50000</v>
      </c>
      <c r="E5" s="3">
        <v>-50000</v>
      </c>
      <c r="F5" s="3">
        <v>-50000</v>
      </c>
      <c r="G5" s="3">
        <v>-50000</v>
      </c>
      <c r="H5" s="4">
        <f t="shared" si="0"/>
        <v>-300000</v>
      </c>
      <c r="K5" s="30" t="s">
        <v>66</v>
      </c>
      <c r="L5" s="33">
        <f>N18</f>
        <v>700000</v>
      </c>
      <c r="M5" s="33">
        <v>480000</v>
      </c>
      <c r="N5" s="30" t="s">
        <v>78</v>
      </c>
      <c r="O5" s="33">
        <f>N25</f>
        <v>288000</v>
      </c>
      <c r="P5" s="33">
        <v>288000</v>
      </c>
    </row>
    <row r="6" spans="1:18" x14ac:dyDescent="0.2">
      <c r="A6" t="s">
        <v>10</v>
      </c>
      <c r="B6" s="3">
        <v>-90000</v>
      </c>
      <c r="C6" s="3">
        <v>-90000</v>
      </c>
      <c r="D6" s="3">
        <v>-90000</v>
      </c>
      <c r="E6" s="3">
        <v>-90000</v>
      </c>
      <c r="F6" s="3">
        <v>-90000</v>
      </c>
      <c r="G6" s="3">
        <v>-90000</v>
      </c>
      <c r="H6" s="4">
        <f t="shared" si="0"/>
        <v>-540000</v>
      </c>
      <c r="K6" s="30" t="s">
        <v>58</v>
      </c>
      <c r="L6" s="33">
        <v>50000</v>
      </c>
      <c r="M6" s="33">
        <v>50000</v>
      </c>
      <c r="N6" s="30" t="s">
        <v>81</v>
      </c>
      <c r="O6" s="33">
        <f>G25</f>
        <v>3960</v>
      </c>
      <c r="P6" s="33">
        <v>80000</v>
      </c>
    </row>
    <row r="7" spans="1:18" x14ac:dyDescent="0.2">
      <c r="A7" t="s">
        <v>11</v>
      </c>
      <c r="B7" s="3">
        <f>B6/13.5</f>
        <v>-6666.666666666667</v>
      </c>
      <c r="C7" s="3">
        <f t="shared" ref="C7:G7" si="1">C6/13.5</f>
        <v>-6666.666666666667</v>
      </c>
      <c r="D7" s="3">
        <f t="shared" si="1"/>
        <v>-6666.666666666667</v>
      </c>
      <c r="E7" s="3">
        <f t="shared" si="1"/>
        <v>-6666.666666666667</v>
      </c>
      <c r="F7" s="3">
        <f t="shared" si="1"/>
        <v>-6666.666666666667</v>
      </c>
      <c r="G7" s="3">
        <f t="shared" si="1"/>
        <v>-6666.666666666667</v>
      </c>
      <c r="H7" s="4">
        <f t="shared" si="0"/>
        <v>-40000</v>
      </c>
      <c r="K7" s="30" t="s">
        <v>59</v>
      </c>
      <c r="L7" s="33">
        <f>M7+H8</f>
        <v>758000.00000000023</v>
      </c>
      <c r="M7" s="33">
        <v>1200000</v>
      </c>
      <c r="N7" s="30" t="s">
        <v>62</v>
      </c>
      <c r="O7" s="33">
        <f>P7-10000+6500</f>
        <v>286500</v>
      </c>
      <c r="P7" s="33">
        <v>290000</v>
      </c>
    </row>
    <row r="8" spans="1:18" x14ac:dyDescent="0.2">
      <c r="A8" t="s">
        <v>12</v>
      </c>
      <c r="B8" s="3">
        <f>-(SUM(B4:B7)-B9)</f>
        <v>124666.66666666669</v>
      </c>
      <c r="C8" s="3">
        <f t="shared" ref="C8:G8" si="2">-(SUM(C4:C7)-C9)</f>
        <v>-102833.33333333331</v>
      </c>
      <c r="D8" s="3">
        <f t="shared" si="2"/>
        <v>-365333.33333333331</v>
      </c>
      <c r="E8" s="3">
        <f t="shared" si="2"/>
        <v>-155333.33333333331</v>
      </c>
      <c r="F8" s="3">
        <f t="shared" si="2"/>
        <v>-67833.333333333314</v>
      </c>
      <c r="G8" s="3">
        <f t="shared" si="2"/>
        <v>124666.66666666669</v>
      </c>
      <c r="H8" s="4">
        <f t="shared" si="0"/>
        <v>-441999.99999999983</v>
      </c>
      <c r="K8" s="30" t="s">
        <v>60</v>
      </c>
      <c r="L8" s="33">
        <f>M8+H15+500000</f>
        <v>1014000</v>
      </c>
      <c r="M8" s="33">
        <v>574000</v>
      </c>
      <c r="N8" s="30" t="s">
        <v>82</v>
      </c>
      <c r="O8" s="33">
        <f>P8-H7</f>
        <v>90000</v>
      </c>
      <c r="P8" s="33">
        <v>50000</v>
      </c>
    </row>
    <row r="9" spans="1:18" x14ac:dyDescent="0.2">
      <c r="A9" t="s">
        <v>13</v>
      </c>
      <c r="B9" s="3">
        <f>B11-B2</f>
        <v>-210000</v>
      </c>
      <c r="C9" s="3">
        <f t="shared" ref="C9:G9" si="3">C11-C2</f>
        <v>-437500</v>
      </c>
      <c r="D9" s="3">
        <f t="shared" si="3"/>
        <v>-700000</v>
      </c>
      <c r="E9" s="3">
        <f t="shared" si="3"/>
        <v>-490000</v>
      </c>
      <c r="F9" s="3">
        <f t="shared" si="3"/>
        <v>-402500</v>
      </c>
      <c r="G9" s="3">
        <f t="shared" si="3"/>
        <v>-210000</v>
      </c>
      <c r="H9" s="4">
        <f t="shared" si="0"/>
        <v>-2450000</v>
      </c>
      <c r="K9" s="30"/>
      <c r="L9" s="33"/>
      <c r="M9" s="33"/>
      <c r="N9" s="30" t="s">
        <v>63</v>
      </c>
      <c r="O9" s="33">
        <f>P9</f>
        <v>950000</v>
      </c>
      <c r="P9" s="33">
        <v>950000</v>
      </c>
    </row>
    <row r="10" spans="1:18" x14ac:dyDescent="0.2">
      <c r="B10" s="3"/>
      <c r="C10" s="3"/>
      <c r="D10" s="3"/>
      <c r="E10" s="3"/>
      <c r="F10" s="3"/>
      <c r="G10" s="3"/>
      <c r="H10" s="4"/>
      <c r="K10" s="30"/>
      <c r="L10" s="33"/>
      <c r="M10" s="33"/>
      <c r="N10" s="30" t="s">
        <v>64</v>
      </c>
      <c r="O10" s="33">
        <f>P10+D51</f>
        <v>432000</v>
      </c>
      <c r="P10" s="33">
        <v>446000</v>
      </c>
    </row>
    <row r="11" spans="1:18" ht="17" thickBot="1" x14ac:dyDescent="0.25">
      <c r="A11" s="5" t="s">
        <v>14</v>
      </c>
      <c r="B11" s="6">
        <f>B2*0.3</f>
        <v>90000</v>
      </c>
      <c r="C11" s="6">
        <f t="shared" ref="C11:G11" si="4">C2*0.3</f>
        <v>187500</v>
      </c>
      <c r="D11" s="6">
        <f t="shared" si="4"/>
        <v>300000</v>
      </c>
      <c r="E11" s="6">
        <f t="shared" si="4"/>
        <v>210000</v>
      </c>
      <c r="F11" s="6">
        <f t="shared" si="4"/>
        <v>172500</v>
      </c>
      <c r="G11" s="6">
        <f t="shared" si="4"/>
        <v>90000</v>
      </c>
      <c r="H11" s="7">
        <f t="shared" si="0"/>
        <v>1050000</v>
      </c>
      <c r="K11" s="31"/>
      <c r="L11" s="34"/>
      <c r="M11" s="34"/>
      <c r="N11" s="31" t="s">
        <v>65</v>
      </c>
      <c r="O11" s="34">
        <f>H18</f>
        <v>649492.14441122173</v>
      </c>
      <c r="P11" s="34"/>
    </row>
    <row r="12" spans="1:18" ht="17" thickTop="1" x14ac:dyDescent="0.2">
      <c r="A12" t="s">
        <v>15</v>
      </c>
      <c r="B12" s="3">
        <v>-44000</v>
      </c>
      <c r="C12" s="3">
        <v>-44000</v>
      </c>
      <c r="D12" s="3">
        <v>-44000</v>
      </c>
      <c r="E12" s="3">
        <v>-44000</v>
      </c>
      <c r="F12" s="3">
        <v>-44000</v>
      </c>
      <c r="G12" s="3">
        <v>-44000</v>
      </c>
      <c r="H12" s="4">
        <f>SUM(B12:G12)</f>
        <v>-264000</v>
      </c>
      <c r="K12" s="42" t="s">
        <v>80</v>
      </c>
      <c r="L12" s="43">
        <f>SUM(L4:L11)</f>
        <v>2699952.1444112221</v>
      </c>
      <c r="M12" s="43">
        <f>SUM(M4:M11)</f>
        <v>2329000</v>
      </c>
      <c r="N12" s="42"/>
      <c r="O12" s="43">
        <f>SUM(O4:O11)</f>
        <v>2699952.1444112216</v>
      </c>
      <c r="P12" s="43">
        <f>SUM(P4:P11)</f>
        <v>2329000</v>
      </c>
      <c r="R12" s="35">
        <f>L12-O12</f>
        <v>0</v>
      </c>
    </row>
    <row r="13" spans="1:18" x14ac:dyDescent="0.2">
      <c r="A13" t="s">
        <v>16</v>
      </c>
      <c r="B13" s="3">
        <v>-10000</v>
      </c>
      <c r="C13" s="3">
        <v>-10000</v>
      </c>
      <c r="D13" s="3">
        <v>-10000</v>
      </c>
      <c r="E13" s="3">
        <v>-10000</v>
      </c>
      <c r="F13" s="3">
        <v>-10000</v>
      </c>
      <c r="G13" s="3">
        <v>-10000</v>
      </c>
      <c r="H13" s="4">
        <f>SUM(B13:G13)</f>
        <v>-60000</v>
      </c>
    </row>
    <row r="14" spans="1:18" ht="17" thickBot="1" x14ac:dyDescent="0.25">
      <c r="A14" s="5" t="s">
        <v>17</v>
      </c>
      <c r="B14" s="6">
        <f>B11+B12+B13</f>
        <v>36000</v>
      </c>
      <c r="C14" s="6">
        <f t="shared" ref="C14:H14" si="5">C11+C12+C13</f>
        <v>133500</v>
      </c>
      <c r="D14" s="6">
        <f t="shared" si="5"/>
        <v>246000</v>
      </c>
      <c r="E14" s="6">
        <f t="shared" si="5"/>
        <v>156000</v>
      </c>
      <c r="F14" s="6">
        <f t="shared" si="5"/>
        <v>118500</v>
      </c>
      <c r="G14" s="6">
        <f t="shared" si="5"/>
        <v>36000</v>
      </c>
      <c r="H14" s="7">
        <f t="shared" si="5"/>
        <v>726000</v>
      </c>
      <c r="K14" s="46" t="s">
        <v>70</v>
      </c>
      <c r="L14" s="46"/>
      <c r="M14" s="46"/>
      <c r="N14" s="36">
        <f>M5</f>
        <v>480000</v>
      </c>
    </row>
    <row r="15" spans="1:18" ht="17" thickTop="1" x14ac:dyDescent="0.2">
      <c r="A15" t="s">
        <v>18</v>
      </c>
      <c r="B15" s="3">
        <v>-10000</v>
      </c>
      <c r="C15" s="3">
        <v>-10000</v>
      </c>
      <c r="D15" s="3">
        <v>-10000</v>
      </c>
      <c r="E15" s="3">
        <v>-10000</v>
      </c>
      <c r="F15" s="3">
        <v>-10000</v>
      </c>
      <c r="G15" s="3">
        <v>-10000</v>
      </c>
      <c r="H15" s="4">
        <f>SUM(B15:G15)</f>
        <v>-60000</v>
      </c>
      <c r="K15" s="46" t="s">
        <v>73</v>
      </c>
      <c r="L15" s="46"/>
      <c r="M15" s="46"/>
      <c r="N15" s="36">
        <f>SUM(B22:G22)</f>
        <v>770000</v>
      </c>
    </row>
    <row r="16" spans="1:18" ht="17" thickBot="1" x14ac:dyDescent="0.25">
      <c r="A16" s="5" t="s">
        <v>19</v>
      </c>
      <c r="B16" s="6">
        <f>SUM(B14:B15)</f>
        <v>26000</v>
      </c>
      <c r="C16" s="6">
        <f t="shared" ref="C16:H16" si="6">SUM(C14:C15)</f>
        <v>123500</v>
      </c>
      <c r="D16" s="6">
        <f t="shared" si="6"/>
        <v>236000</v>
      </c>
      <c r="E16" s="6">
        <f t="shared" si="6"/>
        <v>146000</v>
      </c>
      <c r="F16" s="6">
        <f t="shared" si="6"/>
        <v>108500</v>
      </c>
      <c r="G16" s="6">
        <f t="shared" si="6"/>
        <v>26000</v>
      </c>
      <c r="H16" s="7">
        <f t="shared" si="6"/>
        <v>666000</v>
      </c>
      <c r="K16" s="46" t="s">
        <v>67</v>
      </c>
      <c r="L16" s="46"/>
      <c r="M16" s="46"/>
      <c r="N16" s="36">
        <f>H2</f>
        <v>3500000</v>
      </c>
    </row>
    <row r="17" spans="1:14" ht="17" thickTop="1" x14ac:dyDescent="0.2">
      <c r="A17" t="s">
        <v>20</v>
      </c>
      <c r="H17" s="8">
        <f>-6500+H58</f>
        <v>-16507.855588778228</v>
      </c>
      <c r="K17" s="47" t="s">
        <v>68</v>
      </c>
      <c r="L17" s="47"/>
      <c r="M17" s="47"/>
      <c r="N17" s="36">
        <f>-H30</f>
        <v>-4050000</v>
      </c>
    </row>
    <row r="18" spans="1:14" ht="17" thickBot="1" x14ac:dyDescent="0.25">
      <c r="A18" s="9" t="s">
        <v>21</v>
      </c>
      <c r="B18" s="5"/>
      <c r="C18" s="5"/>
      <c r="D18" s="5"/>
      <c r="E18" s="5"/>
      <c r="F18" s="5"/>
      <c r="G18" s="5"/>
      <c r="H18" s="7">
        <f>SUM(H16:H17)</f>
        <v>649492.14441122173</v>
      </c>
      <c r="K18" s="5" t="s">
        <v>69</v>
      </c>
      <c r="L18" s="5"/>
      <c r="M18" s="5"/>
      <c r="N18" s="37">
        <f>SUM(N14:N17)</f>
        <v>700000</v>
      </c>
    </row>
    <row r="19" spans="1:14" ht="17" thickTop="1" x14ac:dyDescent="0.2"/>
    <row r="21" spans="1:14" x14ac:dyDescent="0.2">
      <c r="A21" s="13" t="s">
        <v>22</v>
      </c>
      <c r="K21" s="46" t="s">
        <v>79</v>
      </c>
      <c r="L21" s="46"/>
      <c r="M21" s="46"/>
      <c r="N21" s="3">
        <f>P5</f>
        <v>288000</v>
      </c>
    </row>
    <row r="22" spans="1:14" x14ac:dyDescent="0.2">
      <c r="A22" t="s">
        <v>23</v>
      </c>
      <c r="B22" s="10">
        <f>0.22*B2</f>
        <v>66000</v>
      </c>
      <c r="C22" s="10">
        <f t="shared" ref="C22:G22" si="7">0.22*C2</f>
        <v>137500</v>
      </c>
      <c r="D22" s="10">
        <f t="shared" si="7"/>
        <v>220000</v>
      </c>
      <c r="E22" s="10">
        <f t="shared" si="7"/>
        <v>154000</v>
      </c>
      <c r="F22" s="10">
        <f t="shared" si="7"/>
        <v>126500</v>
      </c>
      <c r="G22" s="10">
        <f t="shared" si="7"/>
        <v>66000</v>
      </c>
      <c r="K22" s="46" t="s">
        <v>74</v>
      </c>
      <c r="L22" s="46"/>
      <c r="M22" s="46"/>
      <c r="N22" s="10">
        <f>-H44</f>
        <v>372240</v>
      </c>
    </row>
    <row r="23" spans="1:14" x14ac:dyDescent="0.2">
      <c r="A23" t="s">
        <v>24</v>
      </c>
      <c r="B23" s="10">
        <f>0.22*(B4+B5+B12)</f>
        <v>-62040</v>
      </c>
      <c r="C23" s="10">
        <f t="shared" ref="C23:G23" si="8">0.22*(C4+C5+C12)</f>
        <v>-62040</v>
      </c>
      <c r="D23" s="10">
        <f t="shared" si="8"/>
        <v>-62040</v>
      </c>
      <c r="E23" s="10">
        <f t="shared" si="8"/>
        <v>-62040</v>
      </c>
      <c r="F23" s="10">
        <f t="shared" si="8"/>
        <v>-62040</v>
      </c>
      <c r="G23" s="10">
        <f t="shared" si="8"/>
        <v>-62040</v>
      </c>
      <c r="K23" s="46" t="s">
        <v>75</v>
      </c>
      <c r="L23" s="46"/>
      <c r="M23" s="46"/>
      <c r="N23" s="3">
        <f>-H4-H5</f>
        <v>1428000</v>
      </c>
    </row>
    <row r="24" spans="1:14" x14ac:dyDescent="0.2">
      <c r="A24" t="s">
        <v>44</v>
      </c>
      <c r="B24" s="10"/>
      <c r="C24" s="10"/>
      <c r="D24" s="10"/>
      <c r="E24" s="10"/>
      <c r="F24" s="10"/>
      <c r="G24" s="10"/>
      <c r="K24" s="40" t="s">
        <v>76</v>
      </c>
      <c r="L24" s="40"/>
      <c r="M24" s="40"/>
      <c r="N24" s="3">
        <f>H38+H39+H40+H44+80000</f>
        <v>-1800240</v>
      </c>
    </row>
    <row r="25" spans="1:14" ht="17" thickBot="1" x14ac:dyDescent="0.25">
      <c r="A25" s="11" t="s">
        <v>25</v>
      </c>
      <c r="B25" s="12">
        <f>SUM(B22:B24)</f>
        <v>3960</v>
      </c>
      <c r="C25" s="12">
        <f t="shared" ref="C25:G25" si="9">SUM(C22:C24)</f>
        <v>75460</v>
      </c>
      <c r="D25" s="12">
        <f t="shared" si="9"/>
        <v>157960</v>
      </c>
      <c r="E25" s="12">
        <f t="shared" si="9"/>
        <v>91960</v>
      </c>
      <c r="F25" s="12">
        <f t="shared" si="9"/>
        <v>64460</v>
      </c>
      <c r="G25" s="12">
        <f t="shared" si="9"/>
        <v>3960</v>
      </c>
      <c r="H25" s="10">
        <f>SUM(B25:G25)</f>
        <v>397760</v>
      </c>
      <c r="K25" s="48" t="s">
        <v>77</v>
      </c>
      <c r="L25" s="48"/>
      <c r="M25" s="48"/>
      <c r="N25" s="6">
        <f>SUM(N21:N24)</f>
        <v>288000</v>
      </c>
    </row>
    <row r="26" spans="1:14" ht="17" thickTop="1" x14ac:dyDescent="0.2"/>
    <row r="28" spans="1:14" s="11" customFormat="1" x14ac:dyDescent="0.2">
      <c r="A28" s="23" t="s">
        <v>26</v>
      </c>
      <c r="B28" s="24">
        <f>B29+B46+B49</f>
        <v>-78040</v>
      </c>
      <c r="C28" s="24">
        <f t="shared" ref="C28:G28" si="10">C29+C46+C49</f>
        <v>-25500</v>
      </c>
      <c r="D28" s="24">
        <f t="shared" si="10"/>
        <v>-383500</v>
      </c>
      <c r="E28" s="24">
        <f t="shared" si="10"/>
        <v>192000</v>
      </c>
      <c r="F28" s="24">
        <f t="shared" si="10"/>
        <v>505500</v>
      </c>
      <c r="G28" s="24">
        <f t="shared" si="10"/>
        <v>177500</v>
      </c>
      <c r="H28" s="25">
        <f>SUM(B28:G28)</f>
        <v>387960</v>
      </c>
      <c r="K28"/>
      <c r="L28"/>
      <c r="M28"/>
      <c r="N28"/>
    </row>
    <row r="29" spans="1:14" x14ac:dyDescent="0.2">
      <c r="A29" s="21" t="s">
        <v>28</v>
      </c>
      <c r="B29" s="22">
        <f>B30+B36</f>
        <v>-78040</v>
      </c>
      <c r="C29" s="22">
        <f t="shared" ref="C29:G29" si="11">C30+C36</f>
        <v>-25500</v>
      </c>
      <c r="D29" s="22">
        <f t="shared" si="11"/>
        <v>140500</v>
      </c>
      <c r="E29" s="22">
        <f t="shared" si="11"/>
        <v>192000</v>
      </c>
      <c r="F29" s="22">
        <f t="shared" si="11"/>
        <v>505500</v>
      </c>
      <c r="G29" s="22">
        <f t="shared" si="11"/>
        <v>177500</v>
      </c>
      <c r="H29" s="14"/>
      <c r="K29" s="11"/>
      <c r="L29" s="11"/>
      <c r="M29" s="11"/>
      <c r="N29" s="11"/>
    </row>
    <row r="30" spans="1:14" x14ac:dyDescent="0.2">
      <c r="A30" s="38" t="s">
        <v>27</v>
      </c>
      <c r="B30" s="25">
        <f>SUM(B31:B35)</f>
        <v>366000</v>
      </c>
      <c r="C30" s="25">
        <f t="shared" ref="C30:G30" si="12">SUM(C31:C35)</f>
        <v>502500</v>
      </c>
      <c r="D30" s="25">
        <f t="shared" si="12"/>
        <v>660000</v>
      </c>
      <c r="E30" s="25">
        <f t="shared" si="12"/>
        <v>794000</v>
      </c>
      <c r="F30" s="25">
        <f t="shared" si="12"/>
        <v>1041500</v>
      </c>
      <c r="G30" s="25">
        <f t="shared" si="12"/>
        <v>686000</v>
      </c>
      <c r="H30" s="15">
        <f>SUM(B30:G30)</f>
        <v>4050000</v>
      </c>
    </row>
    <row r="31" spans="1:14" x14ac:dyDescent="0.2">
      <c r="A31" s="18" t="s">
        <v>31</v>
      </c>
      <c r="B31" s="19">
        <f>480000/2</f>
        <v>240000</v>
      </c>
      <c r="C31" s="19">
        <f>480000/2</f>
        <v>240000</v>
      </c>
      <c r="D31" s="18"/>
      <c r="E31" s="18"/>
      <c r="F31" s="18"/>
      <c r="G31" s="18"/>
      <c r="H31" s="14"/>
    </row>
    <row r="32" spans="1:14" x14ac:dyDescent="0.2">
      <c r="A32" s="18" t="s">
        <v>32</v>
      </c>
      <c r="B32" s="18"/>
      <c r="C32" s="18"/>
      <c r="D32" s="18"/>
      <c r="E32" s="18"/>
      <c r="F32" s="18"/>
      <c r="G32" s="18"/>
      <c r="H32" s="14"/>
    </row>
    <row r="33" spans="1:8" x14ac:dyDescent="0.2">
      <c r="A33" s="17" t="s">
        <v>33</v>
      </c>
      <c r="B33" s="20">
        <f>0.2*B2</f>
        <v>60000</v>
      </c>
      <c r="C33" s="20">
        <f t="shared" ref="C33:G33" si="13">0.2*C2</f>
        <v>125000</v>
      </c>
      <c r="D33" s="20">
        <f t="shared" si="13"/>
        <v>200000</v>
      </c>
      <c r="E33" s="20">
        <f t="shared" si="13"/>
        <v>140000</v>
      </c>
      <c r="F33" s="20">
        <f t="shared" si="13"/>
        <v>115000</v>
      </c>
      <c r="G33" s="20">
        <f t="shared" si="13"/>
        <v>60000</v>
      </c>
      <c r="H33" s="14"/>
    </row>
    <row r="34" spans="1:8" x14ac:dyDescent="0.2">
      <c r="A34" s="17" t="s">
        <v>34</v>
      </c>
      <c r="B34" s="18"/>
      <c r="C34" s="18"/>
      <c r="D34" s="20">
        <f>B2-B33</f>
        <v>240000</v>
      </c>
      <c r="E34" s="20">
        <f t="shared" ref="E34:G34" si="14">C2-C33</f>
        <v>500000</v>
      </c>
      <c r="F34" s="20">
        <f t="shared" si="14"/>
        <v>800000</v>
      </c>
      <c r="G34" s="20">
        <f t="shared" si="14"/>
        <v>560000</v>
      </c>
      <c r="H34" s="14"/>
    </row>
    <row r="35" spans="1:8" x14ac:dyDescent="0.2">
      <c r="A35" s="17" t="s">
        <v>71</v>
      </c>
      <c r="B35" s="20">
        <f>B22</f>
        <v>66000</v>
      </c>
      <c r="C35" s="20">
        <f t="shared" ref="C35:G35" si="15">C22</f>
        <v>137500</v>
      </c>
      <c r="D35" s="20">
        <f t="shared" si="15"/>
        <v>220000</v>
      </c>
      <c r="E35" s="20">
        <f t="shared" si="15"/>
        <v>154000</v>
      </c>
      <c r="F35" s="20">
        <f t="shared" si="15"/>
        <v>126500</v>
      </c>
      <c r="G35" s="20">
        <f t="shared" si="15"/>
        <v>66000</v>
      </c>
      <c r="H35" s="14"/>
    </row>
    <row r="36" spans="1:8" x14ac:dyDescent="0.2">
      <c r="A36" s="38" t="s">
        <v>35</v>
      </c>
      <c r="B36" s="39">
        <f>SUM(B37:B44)</f>
        <v>-444040</v>
      </c>
      <c r="C36" s="39">
        <f t="shared" ref="C36:G36" si="16">SUM(C37:C44)</f>
        <v>-528000</v>
      </c>
      <c r="D36" s="39">
        <f t="shared" si="16"/>
        <v>-519500</v>
      </c>
      <c r="E36" s="39">
        <f t="shared" si="16"/>
        <v>-602000</v>
      </c>
      <c r="F36" s="39">
        <f t="shared" si="16"/>
        <v>-536000</v>
      </c>
      <c r="G36" s="39">
        <f t="shared" si="16"/>
        <v>-508500</v>
      </c>
      <c r="H36" s="14"/>
    </row>
    <row r="37" spans="1:8" x14ac:dyDescent="0.2">
      <c r="A37" s="18" t="s">
        <v>36</v>
      </c>
      <c r="B37" s="18"/>
      <c r="C37" s="20">
        <f>-B25</f>
        <v>-3960</v>
      </c>
      <c r="D37" s="20">
        <f t="shared" ref="D37:G37" si="17">-C25</f>
        <v>-75460</v>
      </c>
      <c r="E37" s="20">
        <f>-D25</f>
        <v>-157960</v>
      </c>
      <c r="F37" s="20">
        <f t="shared" si="17"/>
        <v>-91960</v>
      </c>
      <c r="G37" s="20">
        <f t="shared" si="17"/>
        <v>-64460</v>
      </c>
      <c r="H37" s="15"/>
    </row>
    <row r="38" spans="1:8" x14ac:dyDescent="0.2">
      <c r="A38" s="18" t="s">
        <v>42</v>
      </c>
      <c r="B38" s="18">
        <f>-188000-50000</f>
        <v>-238000</v>
      </c>
      <c r="C38" s="20">
        <f>-50000-80000</f>
        <v>-130000</v>
      </c>
      <c r="D38" s="20"/>
      <c r="E38" s="20"/>
      <c r="F38" s="20"/>
      <c r="G38" s="20"/>
      <c r="H38" s="14">
        <f>SUM(B38:G38)</f>
        <v>-368000</v>
      </c>
    </row>
    <row r="39" spans="1:8" x14ac:dyDescent="0.2">
      <c r="A39" s="18" t="s">
        <v>37</v>
      </c>
      <c r="B39" s="20"/>
      <c r="C39" s="20">
        <f t="shared" ref="C39:G39" si="18">C4</f>
        <v>-188000</v>
      </c>
      <c r="D39" s="20">
        <f t="shared" si="18"/>
        <v>-188000</v>
      </c>
      <c r="E39" s="20">
        <f t="shared" si="18"/>
        <v>-188000</v>
      </c>
      <c r="F39" s="20">
        <f t="shared" si="18"/>
        <v>-188000</v>
      </c>
      <c r="G39" s="20">
        <f t="shared" si="18"/>
        <v>-188000</v>
      </c>
      <c r="H39" s="14">
        <f t="shared" ref="H39:H43" si="19">SUM(B39:G39)</f>
        <v>-940000</v>
      </c>
    </row>
    <row r="40" spans="1:8" x14ac:dyDescent="0.2">
      <c r="A40" s="18" t="s">
        <v>38</v>
      </c>
      <c r="B40" s="18"/>
      <c r="C40" s="18"/>
      <c r="D40" s="20">
        <f>B5</f>
        <v>-50000</v>
      </c>
      <c r="E40" s="20">
        <f t="shared" ref="E40:G40" si="20">C5</f>
        <v>-50000</v>
      </c>
      <c r="F40" s="20">
        <f t="shared" si="20"/>
        <v>-50000</v>
      </c>
      <c r="G40" s="20">
        <f t="shared" si="20"/>
        <v>-50000</v>
      </c>
      <c r="H40" s="14">
        <f t="shared" si="19"/>
        <v>-200000</v>
      </c>
    </row>
    <row r="41" spans="1:8" x14ac:dyDescent="0.2">
      <c r="A41" s="18" t="s">
        <v>39</v>
      </c>
      <c r="B41" s="20">
        <f>B6</f>
        <v>-90000</v>
      </c>
      <c r="C41" s="20">
        <f t="shared" ref="C41:G41" si="21">C6</f>
        <v>-90000</v>
      </c>
      <c r="D41" s="20">
        <f t="shared" si="21"/>
        <v>-90000</v>
      </c>
      <c r="E41" s="20">
        <f t="shared" si="21"/>
        <v>-90000</v>
      </c>
      <c r="F41" s="20">
        <f t="shared" si="21"/>
        <v>-90000</v>
      </c>
      <c r="G41" s="20">
        <f t="shared" si="21"/>
        <v>-90000</v>
      </c>
      <c r="H41" s="14">
        <f t="shared" si="19"/>
        <v>-540000</v>
      </c>
    </row>
    <row r="42" spans="1:8" x14ac:dyDescent="0.2">
      <c r="A42" s="18" t="s">
        <v>40</v>
      </c>
      <c r="B42" s="20">
        <f>B12</f>
        <v>-44000</v>
      </c>
      <c r="C42" s="20">
        <f t="shared" ref="C42:G42" si="22">C12</f>
        <v>-44000</v>
      </c>
      <c r="D42" s="20">
        <f t="shared" si="22"/>
        <v>-44000</v>
      </c>
      <c r="E42" s="20">
        <f t="shared" si="22"/>
        <v>-44000</v>
      </c>
      <c r="F42" s="20">
        <f t="shared" si="22"/>
        <v>-44000</v>
      </c>
      <c r="G42" s="20">
        <f t="shared" si="22"/>
        <v>-44000</v>
      </c>
      <c r="H42" s="14">
        <f t="shared" si="19"/>
        <v>-264000</v>
      </c>
    </row>
    <row r="43" spans="1:8" x14ac:dyDescent="0.2">
      <c r="A43" s="18" t="s">
        <v>41</v>
      </c>
      <c r="B43" s="20">
        <f>B13</f>
        <v>-10000</v>
      </c>
      <c r="C43" s="20">
        <f t="shared" ref="C43:G43" si="23">C13</f>
        <v>-10000</v>
      </c>
      <c r="D43" s="20">
        <f t="shared" si="23"/>
        <v>-10000</v>
      </c>
      <c r="E43" s="20">
        <f t="shared" si="23"/>
        <v>-10000</v>
      </c>
      <c r="F43" s="20">
        <f t="shared" si="23"/>
        <v>-10000</v>
      </c>
      <c r="G43" s="20">
        <f t="shared" si="23"/>
        <v>-10000</v>
      </c>
      <c r="H43" s="14">
        <f t="shared" si="19"/>
        <v>-60000</v>
      </c>
    </row>
    <row r="44" spans="1:8" x14ac:dyDescent="0.2">
      <c r="A44" s="18" t="s">
        <v>72</v>
      </c>
      <c r="B44" s="20">
        <f>B23</f>
        <v>-62040</v>
      </c>
      <c r="C44" s="20">
        <f t="shared" ref="C44:G44" si="24">C23</f>
        <v>-62040</v>
      </c>
      <c r="D44" s="20">
        <f t="shared" si="24"/>
        <v>-62040</v>
      </c>
      <c r="E44" s="20">
        <f t="shared" si="24"/>
        <v>-62040</v>
      </c>
      <c r="F44" s="20">
        <f t="shared" si="24"/>
        <v>-62040</v>
      </c>
      <c r="G44" s="20">
        <f t="shared" si="24"/>
        <v>-62040</v>
      </c>
      <c r="H44" s="15">
        <f>SUM(B44:G44)</f>
        <v>-372240</v>
      </c>
    </row>
    <row r="45" spans="1:8" x14ac:dyDescent="0.2">
      <c r="A45" s="18"/>
      <c r="B45" s="20"/>
      <c r="C45" s="20"/>
      <c r="D45" s="20"/>
      <c r="E45" s="20"/>
      <c r="F45" s="20"/>
      <c r="G45" s="20"/>
      <c r="H45" s="14"/>
    </row>
    <row r="46" spans="1:8" x14ac:dyDescent="0.2">
      <c r="A46" s="21" t="s">
        <v>29</v>
      </c>
      <c r="B46" s="22">
        <f>B47</f>
        <v>0</v>
      </c>
      <c r="C46" s="22">
        <f t="shared" ref="C46:G46" si="25">C47</f>
        <v>0</v>
      </c>
      <c r="D46" s="22">
        <f t="shared" si="25"/>
        <v>-500000</v>
      </c>
      <c r="E46" s="22">
        <f t="shared" si="25"/>
        <v>0</v>
      </c>
      <c r="F46" s="22">
        <f t="shared" si="25"/>
        <v>0</v>
      </c>
      <c r="G46" s="22">
        <f t="shared" si="25"/>
        <v>0</v>
      </c>
      <c r="H46" s="14"/>
    </row>
    <row r="47" spans="1:8" x14ac:dyDescent="0.2">
      <c r="A47" s="14" t="s">
        <v>43</v>
      </c>
      <c r="B47" s="16"/>
      <c r="C47" s="16"/>
      <c r="D47" s="16">
        <v>-500000</v>
      </c>
      <c r="E47" s="16"/>
      <c r="F47" s="16"/>
      <c r="G47" s="16"/>
      <c r="H47" s="14"/>
    </row>
    <row r="48" spans="1:8" x14ac:dyDescent="0.2">
      <c r="A48" s="14"/>
      <c r="B48" s="16"/>
      <c r="C48" s="16"/>
      <c r="D48" s="16"/>
      <c r="E48" s="16"/>
      <c r="F48" s="16"/>
      <c r="G48" s="16"/>
      <c r="H48" s="14"/>
    </row>
    <row r="49" spans="1:8" x14ac:dyDescent="0.2">
      <c r="A49" s="21" t="s">
        <v>30</v>
      </c>
      <c r="B49" s="22">
        <f>B50+B51</f>
        <v>0</v>
      </c>
      <c r="C49" s="22">
        <f t="shared" ref="C49:G49" si="26">C50+C51</f>
        <v>0</v>
      </c>
      <c r="D49" s="22">
        <f t="shared" si="26"/>
        <v>-24000</v>
      </c>
      <c r="E49" s="22">
        <f t="shared" si="26"/>
        <v>0</v>
      </c>
      <c r="F49" s="22">
        <f t="shared" si="26"/>
        <v>0</v>
      </c>
      <c r="G49" s="22">
        <f t="shared" si="26"/>
        <v>0</v>
      </c>
      <c r="H49" s="14"/>
    </row>
    <row r="50" spans="1:8" x14ac:dyDescent="0.2">
      <c r="A50" s="14" t="s">
        <v>45</v>
      </c>
      <c r="B50" s="16"/>
      <c r="C50" s="16"/>
      <c r="D50" s="16">
        <v>-10000</v>
      </c>
      <c r="E50" s="16"/>
      <c r="F50" s="16"/>
      <c r="G50" s="16"/>
      <c r="H50" s="14"/>
    </row>
    <row r="51" spans="1:8" x14ac:dyDescent="0.2">
      <c r="A51" s="14" t="s">
        <v>46</v>
      </c>
      <c r="B51" s="16"/>
      <c r="C51" s="16"/>
      <c r="D51" s="16">
        <v>-14000</v>
      </c>
      <c r="E51" s="16"/>
      <c r="F51" s="16"/>
      <c r="G51" s="16"/>
      <c r="H51" s="14"/>
    </row>
    <row r="52" spans="1:8" x14ac:dyDescent="0.2">
      <c r="A52" s="14"/>
      <c r="B52" s="14"/>
      <c r="C52" s="14"/>
      <c r="D52" s="14"/>
      <c r="E52" s="14"/>
      <c r="F52" s="14"/>
      <c r="G52" s="14"/>
      <c r="H52" s="14"/>
    </row>
    <row r="54" spans="1:8" x14ac:dyDescent="0.2">
      <c r="A54" s="44" t="s">
        <v>47</v>
      </c>
      <c r="B54" s="44"/>
      <c r="C54" s="44"/>
      <c r="D54" s="44"/>
      <c r="E54" s="26"/>
      <c r="F54" s="26"/>
      <c r="G54" s="26"/>
    </row>
    <row r="55" spans="1:8" x14ac:dyDescent="0.2">
      <c r="A55" s="26" t="s">
        <v>49</v>
      </c>
      <c r="B55" s="27">
        <v>-225000</v>
      </c>
      <c r="C55" s="27">
        <f>B59</f>
        <v>-304360.09999999998</v>
      </c>
      <c r="D55" s="27">
        <f t="shared" ref="D55:G55" si="27">C59</f>
        <v>-331445.65049999999</v>
      </c>
      <c r="E55" s="27">
        <f t="shared" si="27"/>
        <v>-717561.62875249994</v>
      </c>
      <c r="F55" s="27">
        <f t="shared" si="27"/>
        <v>-528669.43689626246</v>
      </c>
      <c r="G55" s="27">
        <f t="shared" si="27"/>
        <v>-24549.034080743771</v>
      </c>
    </row>
    <row r="56" spans="1:8" x14ac:dyDescent="0.2">
      <c r="A56" s="26" t="s">
        <v>48</v>
      </c>
      <c r="B56" s="27">
        <f>B28</f>
        <v>-78040</v>
      </c>
      <c r="C56" s="27">
        <f t="shared" ref="C56:G56" si="28">C28</f>
        <v>-25500</v>
      </c>
      <c r="D56" s="27">
        <f t="shared" si="28"/>
        <v>-383500</v>
      </c>
      <c r="E56" s="27">
        <f t="shared" si="28"/>
        <v>192000</v>
      </c>
      <c r="F56" s="27">
        <f t="shared" si="28"/>
        <v>505500</v>
      </c>
      <c r="G56" s="27">
        <f t="shared" si="28"/>
        <v>177500</v>
      </c>
    </row>
    <row r="57" spans="1:8" x14ac:dyDescent="0.2">
      <c r="A57" s="26" t="s">
        <v>50</v>
      </c>
      <c r="B57" s="27">
        <f>B55+B56</f>
        <v>-303040</v>
      </c>
      <c r="C57" s="27">
        <f t="shared" ref="C57:G57" si="29">C55+C56</f>
        <v>-329860.09999999998</v>
      </c>
      <c r="D57" s="27">
        <f t="shared" si="29"/>
        <v>-714945.65049999999</v>
      </c>
      <c r="E57" s="27">
        <f t="shared" si="29"/>
        <v>-525561.62875249994</v>
      </c>
      <c r="F57" s="27">
        <f t="shared" si="29"/>
        <v>-23169.436896262458</v>
      </c>
      <c r="G57" s="27">
        <f t="shared" si="29"/>
        <v>152950.96591925624</v>
      </c>
    </row>
    <row r="58" spans="1:8" x14ac:dyDescent="0.2">
      <c r="A58" s="26" t="s">
        <v>51</v>
      </c>
      <c r="B58" s="27">
        <f>0.06/12*(B55+B57)/2</f>
        <v>-1320.1000000000001</v>
      </c>
      <c r="C58" s="27">
        <f>0.06/12*(C55+C57)/2</f>
        <v>-1585.5504999999998</v>
      </c>
      <c r="D58" s="27">
        <f t="shared" ref="D58:F58" si="30">0.06/12*(D55+D57)/2</f>
        <v>-2615.9782525000001</v>
      </c>
      <c r="E58" s="27">
        <f t="shared" si="30"/>
        <v>-3107.8081437624996</v>
      </c>
      <c r="F58" s="27">
        <f t="shared" si="30"/>
        <v>-1379.5971844813123</v>
      </c>
      <c r="G58" s="41">
        <f>0.06/24*(G55)/2+0.01/24*G57/2</f>
        <v>1.1784919655820048</v>
      </c>
      <c r="H58" s="10">
        <f>SUM(B58:G58)</f>
        <v>-10007.85558877823</v>
      </c>
    </row>
    <row r="59" spans="1:8" x14ac:dyDescent="0.2">
      <c r="A59" s="26" t="s">
        <v>52</v>
      </c>
      <c r="B59" s="27">
        <f>B57+B58</f>
        <v>-304360.09999999998</v>
      </c>
      <c r="C59" s="27">
        <f>C57+C58</f>
        <v>-331445.65049999999</v>
      </c>
      <c r="D59" s="27">
        <f t="shared" ref="D59:G59" si="31">D57+D58</f>
        <v>-717561.62875249994</v>
      </c>
      <c r="E59" s="27">
        <f t="shared" si="31"/>
        <v>-528669.43689626246</v>
      </c>
      <c r="F59" s="27">
        <f t="shared" si="31"/>
        <v>-24549.034080743771</v>
      </c>
      <c r="G59" s="27">
        <f t="shared" si="31"/>
        <v>152952.14441122182</v>
      </c>
    </row>
    <row r="60" spans="1:8" x14ac:dyDescent="0.2">
      <c r="A60" s="26"/>
      <c r="B60" s="27"/>
      <c r="C60" s="27"/>
      <c r="D60" s="27"/>
      <c r="E60" s="27"/>
      <c r="F60" s="27"/>
      <c r="G60" s="27"/>
    </row>
    <row r="64" spans="1:8" x14ac:dyDescent="0.2">
      <c r="A64" t="s">
        <v>83</v>
      </c>
      <c r="B64" s="10">
        <f>B28</f>
        <v>-78040</v>
      </c>
      <c r="C64" s="10">
        <f t="shared" ref="C64:G64" si="32">C28</f>
        <v>-25500</v>
      </c>
      <c r="D64" s="10">
        <f t="shared" si="32"/>
        <v>-383500</v>
      </c>
      <c r="E64" s="10">
        <f t="shared" si="32"/>
        <v>192000</v>
      </c>
      <c r="F64" s="10">
        <f t="shared" si="32"/>
        <v>505500</v>
      </c>
      <c r="G64" s="10">
        <f t="shared" si="32"/>
        <v>177500</v>
      </c>
    </row>
    <row r="65" spans="1:7" x14ac:dyDescent="0.2">
      <c r="A65" t="s">
        <v>84</v>
      </c>
      <c r="B65" s="10">
        <f>B59</f>
        <v>-304360.09999999998</v>
      </c>
      <c r="C65" s="10">
        <f t="shared" ref="C65:G65" si="33">C59</f>
        <v>-331445.65049999999</v>
      </c>
      <c r="D65" s="10">
        <f t="shared" si="33"/>
        <v>-717561.62875249994</v>
      </c>
      <c r="E65" s="10">
        <f t="shared" si="33"/>
        <v>-528669.43689626246</v>
      </c>
      <c r="F65" s="10">
        <f t="shared" si="33"/>
        <v>-24549.034080743771</v>
      </c>
      <c r="G65" s="10">
        <f t="shared" si="33"/>
        <v>152952.14441122182</v>
      </c>
    </row>
  </sheetData>
  <mergeCells count="11">
    <mergeCell ref="A54:D54"/>
    <mergeCell ref="K2:M2"/>
    <mergeCell ref="N2:P2"/>
    <mergeCell ref="K14:M14"/>
    <mergeCell ref="K17:M17"/>
    <mergeCell ref="K16:M16"/>
    <mergeCell ref="K15:M15"/>
    <mergeCell ref="K23:M23"/>
    <mergeCell ref="K22:M22"/>
    <mergeCell ref="K21:M21"/>
    <mergeCell ref="K25:M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A8CE-C4B5-6746-A864-65FF06D0138C}">
  <dimension ref="A2:H52"/>
  <sheetViews>
    <sheetView topLeftCell="A30" zoomScale="139" zoomScaleNormal="139" workbookViewId="0">
      <selection activeCell="B36" sqref="B36"/>
    </sheetView>
  </sheetViews>
  <sheetFormatPr baseColWidth="10" defaultRowHeight="16" x14ac:dyDescent="0.2"/>
  <cols>
    <col min="1" max="1" width="33" bestFit="1" customWidth="1"/>
    <col min="2" max="2" width="16.83203125" bestFit="1" customWidth="1"/>
    <col min="4" max="4" width="25.6640625" bestFit="1" customWidth="1"/>
    <col min="5" max="5" width="23.33203125" bestFit="1" customWidth="1"/>
    <col min="6" max="6" width="19.5" bestFit="1" customWidth="1"/>
    <col min="7" max="7" width="18.33203125" bestFit="1" customWidth="1"/>
    <col min="8" max="8" width="13" bestFit="1" customWidth="1"/>
  </cols>
  <sheetData>
    <row r="2" spans="1:7" x14ac:dyDescent="0.2">
      <c r="A2" t="s">
        <v>85</v>
      </c>
      <c r="B2" s="36">
        <v>3500000</v>
      </c>
      <c r="E2" t="s">
        <v>108</v>
      </c>
      <c r="F2" s="52">
        <f>0.22*B2</f>
        <v>770000</v>
      </c>
    </row>
    <row r="3" spans="1:7" x14ac:dyDescent="0.2">
      <c r="B3" s="36"/>
      <c r="E3" t="s">
        <v>109</v>
      </c>
      <c r="F3" s="52">
        <f>0.22*(B5+B6+B11)-110000</f>
        <v>-482240</v>
      </c>
      <c r="G3" s="52"/>
    </row>
    <row r="4" spans="1:7" x14ac:dyDescent="0.2">
      <c r="A4" t="s">
        <v>86</v>
      </c>
      <c r="B4" s="36">
        <f>-(B2-B10)</f>
        <v>-2450000</v>
      </c>
      <c r="E4" t="s">
        <v>110</v>
      </c>
      <c r="F4" s="52">
        <f>F2+F3</f>
        <v>287760</v>
      </c>
    </row>
    <row r="5" spans="1:7" x14ac:dyDescent="0.2">
      <c r="A5" s="49" t="s">
        <v>87</v>
      </c>
      <c r="B5" s="50">
        <f>-188000*6</f>
        <v>-1128000</v>
      </c>
      <c r="E5" t="s">
        <v>111</v>
      </c>
      <c r="F5" s="52">
        <f>F4/6</f>
        <v>47960</v>
      </c>
    </row>
    <row r="6" spans="1:7" x14ac:dyDescent="0.2">
      <c r="A6" s="49" t="s">
        <v>88</v>
      </c>
      <c r="B6" s="50">
        <f>-50000*6</f>
        <v>-300000</v>
      </c>
    </row>
    <row r="7" spans="1:7" x14ac:dyDescent="0.2">
      <c r="A7" s="49" t="s">
        <v>89</v>
      </c>
      <c r="B7" s="50">
        <f>-90000*6</f>
        <v>-540000</v>
      </c>
    </row>
    <row r="8" spans="1:7" x14ac:dyDescent="0.2">
      <c r="A8" s="49" t="s">
        <v>90</v>
      </c>
      <c r="B8" s="50">
        <f>B7/13.5</f>
        <v>-40000</v>
      </c>
    </row>
    <row r="9" spans="1:7" x14ac:dyDescent="0.2">
      <c r="A9" s="49" t="s">
        <v>91</v>
      </c>
      <c r="B9" s="50">
        <f>B4-SUM(B5:B8)</f>
        <v>-442000</v>
      </c>
    </row>
    <row r="10" spans="1:7" ht="17" thickBot="1" x14ac:dyDescent="0.25">
      <c r="A10" s="5" t="s">
        <v>14</v>
      </c>
      <c r="B10" s="37">
        <f>0.3*B2</f>
        <v>1050000</v>
      </c>
    </row>
    <row r="11" spans="1:7" ht="17" thickTop="1" x14ac:dyDescent="0.2">
      <c r="A11" s="51" t="s">
        <v>40</v>
      </c>
      <c r="B11" s="36">
        <f>-44000*6</f>
        <v>-264000</v>
      </c>
    </row>
    <row r="12" spans="1:7" x14ac:dyDescent="0.2">
      <c r="A12" s="49" t="s">
        <v>92</v>
      </c>
      <c r="B12" s="36">
        <f>-10000*6</f>
        <v>-60000</v>
      </c>
    </row>
    <row r="13" spans="1:7" ht="17" thickBot="1" x14ac:dyDescent="0.25">
      <c r="A13" s="5" t="s">
        <v>94</v>
      </c>
      <c r="B13" s="37">
        <f>B10+B11+B12</f>
        <v>726000</v>
      </c>
    </row>
    <row r="14" spans="1:7" ht="17" thickTop="1" x14ac:dyDescent="0.2">
      <c r="A14" t="s">
        <v>93</v>
      </c>
      <c r="B14" s="36">
        <v>-60000</v>
      </c>
    </row>
    <row r="15" spans="1:7" ht="17" thickBot="1" x14ac:dyDescent="0.25">
      <c r="A15" s="5" t="s">
        <v>95</v>
      </c>
      <c r="B15" s="37">
        <f>B13+B14</f>
        <v>666000</v>
      </c>
      <c r="F15" s="59"/>
    </row>
    <row r="16" spans="1:7" ht="17" thickTop="1" x14ac:dyDescent="0.2">
      <c r="A16" t="s">
        <v>121</v>
      </c>
      <c r="B16" s="36">
        <f>-6500+B35</f>
        <v>-13350.599999999995</v>
      </c>
      <c r="F16" s="59"/>
    </row>
    <row r="17" spans="1:8" ht="17" thickBot="1" x14ac:dyDescent="0.25">
      <c r="A17" s="5" t="s">
        <v>21</v>
      </c>
      <c r="B17" s="37">
        <f>B15+B16</f>
        <v>652649.4</v>
      </c>
      <c r="F17" s="59"/>
    </row>
    <row r="18" spans="1:8" ht="17" thickTop="1" x14ac:dyDescent="0.2">
      <c r="F18" s="59"/>
    </row>
    <row r="19" spans="1:8" x14ac:dyDescent="0.2">
      <c r="A19" s="57" t="s">
        <v>83</v>
      </c>
      <c r="B19" s="58">
        <f>B20+B27+B28</f>
        <v>-6706.6666666662786</v>
      </c>
    </row>
    <row r="20" spans="1:8" x14ac:dyDescent="0.2">
      <c r="A20" s="54" t="s">
        <v>96</v>
      </c>
      <c r="B20" s="55">
        <f>SUM(B21:B25)</f>
        <v>517293.33333333372</v>
      </c>
    </row>
    <row r="21" spans="1:8" x14ac:dyDescent="0.2">
      <c r="A21" t="s">
        <v>97</v>
      </c>
      <c r="B21" s="52">
        <f>B13</f>
        <v>726000</v>
      </c>
    </row>
    <row r="22" spans="1:8" x14ac:dyDescent="0.2">
      <c r="A22" t="s">
        <v>98</v>
      </c>
    </row>
    <row r="23" spans="1:8" x14ac:dyDescent="0.2">
      <c r="A23" t="s">
        <v>99</v>
      </c>
      <c r="B23" s="52">
        <f>-(B9)</f>
        <v>442000</v>
      </c>
      <c r="E23" t="s">
        <v>114</v>
      </c>
      <c r="F23" s="36">
        <f>480000</f>
        <v>480000</v>
      </c>
    </row>
    <row r="24" spans="1:8" x14ac:dyDescent="0.2">
      <c r="A24" t="s">
        <v>100</v>
      </c>
      <c r="B24" s="52">
        <f>-(F24-F23)</f>
        <v>-658666.66666666628</v>
      </c>
      <c r="E24" t="s">
        <v>102</v>
      </c>
      <c r="F24" s="52">
        <f>(B2-(B2*0.2+(B2/6*4*0.8)))*1.22</f>
        <v>1138666.6666666663</v>
      </c>
      <c r="H24" s="52"/>
    </row>
    <row r="25" spans="1:8" x14ac:dyDescent="0.2">
      <c r="A25" t="s">
        <v>101</v>
      </c>
      <c r="B25" s="52">
        <f>G30-F30</f>
        <v>7960</v>
      </c>
    </row>
    <row r="26" spans="1:8" x14ac:dyDescent="0.2">
      <c r="F26" t="s">
        <v>103</v>
      </c>
      <c r="G26" t="s">
        <v>107</v>
      </c>
    </row>
    <row r="27" spans="1:8" x14ac:dyDescent="0.2">
      <c r="A27" s="54" t="s">
        <v>112</v>
      </c>
      <c r="B27" s="56">
        <v>-500000</v>
      </c>
      <c r="E27" s="53" t="s">
        <v>104</v>
      </c>
      <c r="F27" s="36">
        <v>288000</v>
      </c>
      <c r="G27" s="36">
        <v>288000</v>
      </c>
    </row>
    <row r="28" spans="1:8" x14ac:dyDescent="0.2">
      <c r="A28" s="54" t="s">
        <v>113</v>
      </c>
      <c r="B28" s="56">
        <f>-10000-14000</f>
        <v>-24000</v>
      </c>
      <c r="E28" s="53" t="s">
        <v>105</v>
      </c>
      <c r="F28" s="36">
        <v>80000</v>
      </c>
      <c r="G28" s="52">
        <f>F5</f>
        <v>47960</v>
      </c>
    </row>
    <row r="29" spans="1:8" x14ac:dyDescent="0.2">
      <c r="E29" s="53" t="s">
        <v>106</v>
      </c>
      <c r="F29" s="36">
        <v>50000</v>
      </c>
      <c r="G29" s="52">
        <f>F29-B8</f>
        <v>90000</v>
      </c>
    </row>
    <row r="30" spans="1:8" x14ac:dyDescent="0.2">
      <c r="E30" s="53" t="s">
        <v>6</v>
      </c>
      <c r="F30" s="36">
        <f>SUM(F27:F29)</f>
        <v>418000</v>
      </c>
      <c r="G30" s="52">
        <f>SUM(G27:G29)</f>
        <v>425960</v>
      </c>
    </row>
    <row r="31" spans="1:8" x14ac:dyDescent="0.2">
      <c r="A31" s="60" t="s">
        <v>115</v>
      </c>
      <c r="B31" s="60"/>
    </row>
    <row r="32" spans="1:8" x14ac:dyDescent="0.2">
      <c r="A32" s="14" t="s">
        <v>116</v>
      </c>
      <c r="B32" s="61">
        <f>-225000</f>
        <v>-225000</v>
      </c>
    </row>
    <row r="33" spans="1:6" x14ac:dyDescent="0.2">
      <c r="A33" s="14" t="s">
        <v>117</v>
      </c>
      <c r="B33" s="61">
        <f>B19</f>
        <v>-6706.6666666662786</v>
      </c>
    </row>
    <row r="34" spans="1:6" x14ac:dyDescent="0.2">
      <c r="A34" s="14" t="s">
        <v>118</v>
      </c>
      <c r="B34" s="61">
        <f>B32+B33</f>
        <v>-231706.66666666628</v>
      </c>
    </row>
    <row r="35" spans="1:6" x14ac:dyDescent="0.2">
      <c r="A35" s="14" t="s">
        <v>119</v>
      </c>
      <c r="B35" s="61">
        <f>0.06/2*(B32+B34)/2</f>
        <v>-6850.599999999994</v>
      </c>
    </row>
    <row r="36" spans="1:6" ht="17" thickBot="1" x14ac:dyDescent="0.25">
      <c r="A36" s="5" t="s">
        <v>120</v>
      </c>
      <c r="B36" s="37">
        <f>B34+B35</f>
        <v>-238557.26666666628</v>
      </c>
    </row>
    <row r="37" spans="1:6" ht="17" thickTop="1" x14ac:dyDescent="0.2"/>
    <row r="40" spans="1:6" x14ac:dyDescent="0.2">
      <c r="A40" s="45" t="s">
        <v>53</v>
      </c>
      <c r="B40" s="45"/>
      <c r="C40" s="45"/>
      <c r="D40" s="45" t="s">
        <v>54</v>
      </c>
      <c r="E40" s="45"/>
      <c r="F40" s="45"/>
    </row>
    <row r="41" spans="1:6" x14ac:dyDescent="0.2">
      <c r="B41" s="28" t="s">
        <v>55</v>
      </c>
      <c r="C41" s="28" t="s">
        <v>56</v>
      </c>
      <c r="E41" s="28" t="s">
        <v>55</v>
      </c>
      <c r="F41" s="28" t="s">
        <v>56</v>
      </c>
    </row>
    <row r="42" spans="1:6" x14ac:dyDescent="0.2">
      <c r="A42" s="29" t="s">
        <v>57</v>
      </c>
      <c r="B42" s="32">
        <f>C42</f>
        <v>25000</v>
      </c>
      <c r="C42" s="32">
        <v>25000</v>
      </c>
      <c r="D42" s="29" t="s">
        <v>61</v>
      </c>
      <c r="E42" s="32">
        <f>-B36</f>
        <v>238557.26666666628</v>
      </c>
      <c r="F42" s="32">
        <v>225000</v>
      </c>
    </row>
    <row r="43" spans="1:6" x14ac:dyDescent="0.2">
      <c r="A43" s="30" t="s">
        <v>66</v>
      </c>
      <c r="B43" s="33">
        <f>F24</f>
        <v>1138666.6666666663</v>
      </c>
      <c r="C43" s="33">
        <v>480000</v>
      </c>
      <c r="D43" s="30" t="s">
        <v>78</v>
      </c>
      <c r="E43" s="33">
        <f>G27</f>
        <v>288000</v>
      </c>
      <c r="F43" s="33">
        <v>288000</v>
      </c>
    </row>
    <row r="44" spans="1:6" x14ac:dyDescent="0.2">
      <c r="A44" s="30" t="s">
        <v>58</v>
      </c>
      <c r="B44" s="33">
        <f>C44</f>
        <v>50000</v>
      </c>
      <c r="C44" s="33">
        <v>50000</v>
      </c>
      <c r="D44" s="30" t="s">
        <v>81</v>
      </c>
      <c r="E44" s="33">
        <f>G28</f>
        <v>47960</v>
      </c>
      <c r="F44" s="33">
        <v>80000</v>
      </c>
    </row>
    <row r="45" spans="1:6" x14ac:dyDescent="0.2">
      <c r="A45" s="30" t="s">
        <v>59</v>
      </c>
      <c r="B45" s="33">
        <f>C45-B23</f>
        <v>758000</v>
      </c>
      <c r="C45" s="33">
        <v>1200000</v>
      </c>
      <c r="D45" s="30" t="s">
        <v>62</v>
      </c>
      <c r="E45" s="33">
        <f>F45-3500</f>
        <v>286500</v>
      </c>
      <c r="F45" s="33">
        <v>290000</v>
      </c>
    </row>
    <row r="46" spans="1:6" x14ac:dyDescent="0.2">
      <c r="A46" s="30" t="s">
        <v>60</v>
      </c>
      <c r="B46" s="33">
        <f>C46+500000+B14</f>
        <v>1014000</v>
      </c>
      <c r="C46" s="33">
        <v>574000</v>
      </c>
      <c r="D46" s="30" t="s">
        <v>82</v>
      </c>
      <c r="E46" s="33">
        <v>90000</v>
      </c>
      <c r="F46" s="33">
        <v>50000</v>
      </c>
    </row>
    <row r="47" spans="1:6" x14ac:dyDescent="0.2">
      <c r="A47" s="30"/>
      <c r="B47" s="33"/>
      <c r="C47" s="33"/>
      <c r="D47" s="30" t="s">
        <v>63</v>
      </c>
      <c r="E47" s="33">
        <v>950000</v>
      </c>
      <c r="F47" s="33">
        <v>950000</v>
      </c>
    </row>
    <row r="48" spans="1:6" x14ac:dyDescent="0.2">
      <c r="A48" s="30"/>
      <c r="B48" s="33"/>
      <c r="C48" s="33"/>
      <c r="D48" s="30" t="s">
        <v>64</v>
      </c>
      <c r="E48" s="33">
        <f>F48-14000</f>
        <v>432000</v>
      </c>
      <c r="F48" s="33">
        <v>446000</v>
      </c>
    </row>
    <row r="49" spans="1:6" x14ac:dyDescent="0.2">
      <c r="A49" s="31"/>
      <c r="B49" s="34"/>
      <c r="C49" s="34"/>
      <c r="D49" s="31" t="s">
        <v>65</v>
      </c>
      <c r="E49" s="34">
        <f>B17</f>
        <v>652649.4</v>
      </c>
      <c r="F49" s="34"/>
    </row>
    <row r="50" spans="1:6" x14ac:dyDescent="0.2">
      <c r="A50" s="42" t="s">
        <v>80</v>
      </c>
      <c r="B50" s="43">
        <f>SUM(B42:B49)</f>
        <v>2985666.666666666</v>
      </c>
      <c r="C50" s="43">
        <f>SUM(C42:C49)</f>
        <v>2329000</v>
      </c>
      <c r="D50" s="42"/>
      <c r="E50" s="43">
        <f>SUM(E42:E49)</f>
        <v>2985666.666666666</v>
      </c>
      <c r="F50" s="43">
        <f>SUM(F42:F49)</f>
        <v>2329000</v>
      </c>
    </row>
    <row r="52" spans="1:6" x14ac:dyDescent="0.2">
      <c r="E52" s="35">
        <f>E50-B50</f>
        <v>0</v>
      </c>
    </row>
  </sheetData>
  <mergeCells count="2">
    <mergeCell ref="A40:C40"/>
    <mergeCell ref="D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 infrannuale</vt:lpstr>
      <vt:lpstr>metodo sintetico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Modugno Guido</cp:lastModifiedBy>
  <dcterms:created xsi:type="dcterms:W3CDTF">2020-04-28T12:06:16Z</dcterms:created>
  <dcterms:modified xsi:type="dcterms:W3CDTF">2020-04-30T10:52:14Z</dcterms:modified>
</cp:coreProperties>
</file>