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i\Dropbox\AnalisiDatiCategoriali\"/>
    </mc:Choice>
  </mc:AlternateContent>
  <bookViews>
    <workbookView xWindow="0" yWindow="0" windowWidth="28740" windowHeight="11640"/>
  </bookViews>
  <sheets>
    <sheet name="Logit 1 covariata" sheetId="2" r:id="rId1"/>
    <sheet name="Logit 2 Covaria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23" i="3" l="1"/>
  <c r="BU31" i="2"/>
  <c r="C15" i="3"/>
  <c r="C14" i="3"/>
  <c r="C13" i="3"/>
  <c r="CC116" i="3"/>
  <c r="CB53" i="2"/>
  <c r="CD96" i="3"/>
  <c r="CD97" i="3"/>
  <c r="CA75" i="3"/>
  <c r="CJ69" i="3"/>
  <c r="CJ68" i="3"/>
  <c r="CI67" i="3"/>
  <c r="CI69" i="3"/>
  <c r="CI68" i="3"/>
  <c r="C12" i="3"/>
  <c r="BV67" i="3"/>
  <c r="BT51" i="2"/>
  <c r="BT50" i="2"/>
  <c r="BS51" i="2"/>
  <c r="BS50" i="2"/>
  <c r="BR51" i="2"/>
  <c r="BR50" i="2"/>
  <c r="BL12" i="2"/>
  <c r="BK11" i="2"/>
  <c r="BJ10" i="2"/>
  <c r="CC123" i="3" l="1"/>
  <c r="BS12" i="2"/>
  <c r="BS11" i="2"/>
  <c r="BS10" i="2"/>
  <c r="BS9" i="2"/>
  <c r="BS8" i="2"/>
  <c r="BS7" i="2"/>
  <c r="BS6" i="2"/>
  <c r="BS5" i="2"/>
  <c r="BS4" i="2"/>
  <c r="BS3" i="2"/>
  <c r="BG12" i="2"/>
  <c r="BG11" i="2"/>
  <c r="BG10" i="2"/>
  <c r="BG9" i="2"/>
  <c r="BG8" i="2"/>
  <c r="BG7" i="2"/>
  <c r="BG6" i="2"/>
  <c r="BG5" i="2"/>
  <c r="BG4" i="2"/>
  <c r="BG3" i="2"/>
  <c r="AU12" i="2"/>
  <c r="AU11" i="2"/>
  <c r="AU10" i="2"/>
  <c r="AU9" i="2"/>
  <c r="AU8" i="2"/>
  <c r="AU7" i="2"/>
  <c r="AU6" i="2"/>
  <c r="AU5" i="2"/>
  <c r="AU4" i="2"/>
  <c r="AU3" i="2"/>
  <c r="AI4" i="2"/>
  <c r="AI5" i="2"/>
  <c r="AI6" i="2"/>
  <c r="AI7" i="2"/>
  <c r="AI8" i="2"/>
  <c r="AI9" i="2"/>
  <c r="AI10" i="2"/>
  <c r="AI11" i="2"/>
  <c r="AI12" i="2"/>
  <c r="AI3" i="2"/>
  <c r="W4" i="2"/>
  <c r="W5" i="2"/>
  <c r="W6" i="2"/>
  <c r="W7" i="2"/>
  <c r="W8" i="2"/>
  <c r="W9" i="2"/>
  <c r="W10" i="2"/>
  <c r="W11" i="2"/>
  <c r="W12" i="2"/>
  <c r="W3" i="2"/>
  <c r="K4" i="2"/>
  <c r="K5" i="2"/>
  <c r="K6" i="2"/>
  <c r="K7" i="2"/>
  <c r="K8" i="2"/>
  <c r="K9" i="2"/>
  <c r="K10" i="2"/>
  <c r="K11" i="2"/>
  <c r="K12" i="2"/>
  <c r="K3" i="2"/>
  <c r="CG125" i="3"/>
  <c r="CE123" i="3"/>
  <c r="CE125" i="3"/>
  <c r="K23" i="3"/>
  <c r="K14" i="3"/>
  <c r="CB116" i="3" a="1"/>
  <c r="CB116" i="3" s="1"/>
  <c r="K15" i="3"/>
  <c r="K16" i="3"/>
  <c r="K17" i="3"/>
  <c r="K18" i="3"/>
  <c r="K19" i="3"/>
  <c r="K20" i="3"/>
  <c r="K21" i="3"/>
  <c r="K22" i="3"/>
  <c r="K14" i="2"/>
  <c r="I5" i="2"/>
  <c r="I14" i="3"/>
  <c r="O46" i="3" s="1"/>
  <c r="I6" i="3"/>
  <c r="G38" i="3" s="1"/>
  <c r="I7" i="3"/>
  <c r="I20" i="3" s="1"/>
  <c r="I8" i="3"/>
  <c r="I21" i="3" s="1"/>
  <c r="I9" i="3"/>
  <c r="I22" i="3" s="1"/>
  <c r="I10" i="3"/>
  <c r="I11" i="3"/>
  <c r="K9" i="3" s="1"/>
  <c r="I12" i="3"/>
  <c r="K10" i="3" s="1"/>
  <c r="I13" i="3"/>
  <c r="I26" i="3" s="1"/>
  <c r="I5" i="3"/>
  <c r="I18" i="3" s="1"/>
  <c r="F3" i="3"/>
  <c r="F2" i="3"/>
  <c r="K3" i="3" l="1"/>
  <c r="K25" i="3" s="1"/>
  <c r="K12" i="3"/>
  <c r="K34" i="3" s="1"/>
  <c r="K6" i="3"/>
  <c r="K28" i="3" s="1"/>
  <c r="K11" i="3"/>
  <c r="K33" i="3" s="1"/>
  <c r="K4" i="3"/>
  <c r="K26" i="3" s="1"/>
  <c r="K8" i="3"/>
  <c r="K30" i="3" s="1"/>
  <c r="K5" i="3"/>
  <c r="K27" i="3" s="1"/>
  <c r="K7" i="3"/>
  <c r="K29" i="3" s="1"/>
  <c r="K31" i="3"/>
  <c r="I27" i="3"/>
  <c r="CB101" i="3" a="1"/>
  <c r="CB101" i="3" s="1"/>
  <c r="I19" i="3"/>
  <c r="K32" i="3"/>
  <c r="I25" i="3"/>
  <c r="I23" i="3"/>
  <c r="I24" i="3"/>
  <c r="F37" i="3"/>
  <c r="CG23" i="2"/>
  <c r="I9" i="2"/>
  <c r="I6" i="2"/>
  <c r="I7" i="2"/>
  <c r="I8" i="2"/>
  <c r="I10" i="2"/>
  <c r="I11" i="2"/>
  <c r="I12" i="2"/>
  <c r="I13" i="2"/>
  <c r="I14" i="2"/>
  <c r="F3" i="2"/>
  <c r="F2" i="2"/>
  <c r="I33" i="3" l="1" a="1"/>
  <c r="I34" i="3" s="1"/>
  <c r="I31" i="3"/>
  <c r="I28" i="3"/>
  <c r="CF24" i="2"/>
  <c r="CF23" i="2"/>
  <c r="I35" i="3" l="1"/>
  <c r="I33" i="3"/>
  <c r="H39" i="3"/>
  <c r="I40" i="3"/>
  <c r="N44" i="2"/>
  <c r="L42" i="2"/>
  <c r="J40" i="2"/>
  <c r="I26" i="2"/>
  <c r="I25" i="2"/>
  <c r="K23" i="2"/>
  <c r="K22" i="2"/>
  <c r="K21" i="2"/>
  <c r="K20" i="2"/>
  <c r="K19" i="2"/>
  <c r="K18" i="2"/>
  <c r="K17" i="2"/>
  <c r="K16" i="2"/>
  <c r="K15" i="2"/>
  <c r="K32" i="2"/>
  <c r="I24" i="2"/>
  <c r="K30" i="2"/>
  <c r="K31" i="2"/>
  <c r="I22" i="2"/>
  <c r="K29" i="2"/>
  <c r="I20" i="2"/>
  <c r="G37" i="2"/>
  <c r="F36" i="2"/>
  <c r="K25" i="2"/>
  <c r="J41" i="3" l="1"/>
  <c r="K34" i="2"/>
  <c r="K28" i="2"/>
  <c r="K26" i="2"/>
  <c r="K27" i="2"/>
  <c r="K33" i="2"/>
  <c r="I19" i="2"/>
  <c r="I21" i="2"/>
  <c r="I23" i="2"/>
  <c r="I39" i="2"/>
  <c r="M43" i="2"/>
  <c r="H38" i="2"/>
  <c r="I47" i="2" s="1" a="1"/>
  <c r="I18" i="2"/>
  <c r="K41" i="2"/>
  <c r="O45" i="2"/>
  <c r="I27" i="2"/>
  <c r="I31" i="2" l="1"/>
  <c r="K42" i="3"/>
  <c r="J48" i="2"/>
  <c r="I48" i="2"/>
  <c r="J47" i="2"/>
  <c r="I47" i="2"/>
  <c r="I28" i="2"/>
  <c r="I33" i="2" a="1"/>
  <c r="L43" i="3" l="1"/>
  <c r="I34" i="2"/>
  <c r="I33" i="2"/>
  <c r="I50" i="2" a="1"/>
  <c r="M44" i="3" l="1"/>
  <c r="I51" i="2"/>
  <c r="U3" i="2" s="1"/>
  <c r="I50" i="2"/>
  <c r="U2" i="2" s="1"/>
  <c r="N45" i="3" l="1"/>
  <c r="I48" i="3" s="1" a="1"/>
  <c r="U12" i="2"/>
  <c r="U10" i="2"/>
  <c r="U8" i="2"/>
  <c r="U6" i="2"/>
  <c r="U11" i="2"/>
  <c r="U9" i="2"/>
  <c r="U5" i="2"/>
  <c r="W22" i="2"/>
  <c r="W23" i="2"/>
  <c r="W21" i="2"/>
  <c r="W19" i="2"/>
  <c r="W15" i="2"/>
  <c r="W18" i="2"/>
  <c r="U7" i="2"/>
  <c r="W16" i="2"/>
  <c r="W14" i="2"/>
  <c r="U13" i="2"/>
  <c r="W20" i="2"/>
  <c r="W17" i="2"/>
  <c r="U14" i="2"/>
  <c r="J48" i="3" l="1"/>
  <c r="I48" i="3"/>
  <c r="I49" i="3"/>
  <c r="K48" i="3"/>
  <c r="K50" i="3"/>
  <c r="I50" i="3"/>
  <c r="J49" i="3"/>
  <c r="J50" i="3"/>
  <c r="K49" i="3"/>
  <c r="U18" i="2"/>
  <c r="W25" i="2"/>
  <c r="R36" i="2"/>
  <c r="W32" i="2"/>
  <c r="U25" i="2"/>
  <c r="Y43" i="2"/>
  <c r="U20" i="2"/>
  <c r="T38" i="2"/>
  <c r="W27" i="2"/>
  <c r="U22" i="2"/>
  <c r="W29" i="2"/>
  <c r="V40" i="2"/>
  <c r="AA45" i="2"/>
  <c r="U27" i="2"/>
  <c r="W34" i="2"/>
  <c r="S37" i="2"/>
  <c r="W26" i="2"/>
  <c r="U19" i="2"/>
  <c r="U21" i="2"/>
  <c r="W28" i="2"/>
  <c r="U39" i="2"/>
  <c r="U24" i="2"/>
  <c r="X42" i="2"/>
  <c r="W31" i="2"/>
  <c r="Z44" i="2"/>
  <c r="W33" i="2"/>
  <c r="U26" i="2"/>
  <c r="W41" i="2"/>
  <c r="W30" i="2"/>
  <c r="U23" i="2"/>
  <c r="I52" i="3" l="1" a="1"/>
  <c r="U47" i="2" a="1"/>
  <c r="U31" i="2"/>
  <c r="T53" i="2" s="1"/>
  <c r="U33" i="2" a="1"/>
  <c r="U28" i="2"/>
  <c r="I53" i="3" l="1"/>
  <c r="U3" i="3" s="1"/>
  <c r="R3" i="3" s="1"/>
  <c r="I54" i="3"/>
  <c r="U4" i="3" s="1"/>
  <c r="I52" i="3"/>
  <c r="U2" i="3" s="1"/>
  <c r="U34" i="2"/>
  <c r="U33" i="2"/>
  <c r="V48" i="2"/>
  <c r="U48" i="2"/>
  <c r="V47" i="2"/>
  <c r="U47" i="2"/>
  <c r="U50" i="2" s="1" a="1"/>
  <c r="W23" i="3" l="1"/>
  <c r="W14" i="3"/>
  <c r="U9" i="3"/>
  <c r="W7" i="3" s="1"/>
  <c r="U10" i="3"/>
  <c r="W8" i="3" s="1"/>
  <c r="W17" i="3"/>
  <c r="W21" i="3"/>
  <c r="U14" i="3"/>
  <c r="W12" i="3" s="1"/>
  <c r="U6" i="3"/>
  <c r="W4" i="3" s="1"/>
  <c r="U12" i="3"/>
  <c r="W10" i="3" s="1"/>
  <c r="W20" i="3"/>
  <c r="W15" i="3"/>
  <c r="U5" i="3"/>
  <c r="W3" i="3" s="1"/>
  <c r="W18" i="3"/>
  <c r="U8" i="3"/>
  <c r="W6" i="3" s="1"/>
  <c r="U13" i="3"/>
  <c r="W11" i="3" s="1"/>
  <c r="U11" i="3"/>
  <c r="W9" i="3" s="1"/>
  <c r="W19" i="3"/>
  <c r="W16" i="3"/>
  <c r="U7" i="3"/>
  <c r="W5" i="3" s="1"/>
  <c r="W22" i="3"/>
  <c r="R2" i="3"/>
  <c r="U51" i="2"/>
  <c r="AG3" i="2" s="1"/>
  <c r="U50" i="2"/>
  <c r="AG2" i="2" s="1"/>
  <c r="U20" i="3" l="1"/>
  <c r="W27" i="3"/>
  <c r="T39" i="3"/>
  <c r="X43" i="3"/>
  <c r="W31" i="3"/>
  <c r="U24" i="3"/>
  <c r="W26" i="3"/>
  <c r="U19" i="3"/>
  <c r="S38" i="3"/>
  <c r="W42" i="3"/>
  <c r="U23" i="3"/>
  <c r="W30" i="3"/>
  <c r="U26" i="3"/>
  <c r="W33" i="3"/>
  <c r="Z45" i="3"/>
  <c r="W34" i="3"/>
  <c r="U27" i="3"/>
  <c r="AA46" i="3"/>
  <c r="W29" i="3"/>
  <c r="U22" i="3"/>
  <c r="V41" i="3"/>
  <c r="U40" i="3"/>
  <c r="U48" i="3" s="1" a="1"/>
  <c r="W28" i="3"/>
  <c r="U21" i="3"/>
  <c r="R37" i="3"/>
  <c r="W25" i="3"/>
  <c r="U18" i="3"/>
  <c r="U25" i="3"/>
  <c r="Y44" i="3"/>
  <c r="W32" i="3"/>
  <c r="AI23" i="2"/>
  <c r="AI21" i="2"/>
  <c r="AI19" i="2"/>
  <c r="AG11" i="2"/>
  <c r="AG7" i="2"/>
  <c r="AG14" i="2"/>
  <c r="AI15" i="2"/>
  <c r="AG9" i="2"/>
  <c r="AG5" i="2"/>
  <c r="AI16" i="2"/>
  <c r="AI14" i="2"/>
  <c r="AG13" i="2"/>
  <c r="AI22" i="2"/>
  <c r="AI20" i="2"/>
  <c r="AI18" i="2"/>
  <c r="AI17" i="2"/>
  <c r="AG12" i="2"/>
  <c r="AG10" i="2"/>
  <c r="AG8" i="2"/>
  <c r="AG6" i="2"/>
  <c r="V48" i="3" l="1"/>
  <c r="W49" i="3"/>
  <c r="V50" i="3"/>
  <c r="U48" i="3"/>
  <c r="U50" i="3"/>
  <c r="W50" i="3"/>
  <c r="U49" i="3"/>
  <c r="W48" i="3"/>
  <c r="V49" i="3"/>
  <c r="U33" i="3" a="1"/>
  <c r="U28" i="3"/>
  <c r="U31" i="3"/>
  <c r="U55" i="3" s="1"/>
  <c r="AM45" i="2"/>
  <c r="AG27" i="2"/>
  <c r="AI34" i="2"/>
  <c r="AI27" i="2"/>
  <c r="AF38" i="2"/>
  <c r="AG20" i="2"/>
  <c r="AI33" i="2"/>
  <c r="AG26" i="2"/>
  <c r="AL44" i="2"/>
  <c r="AG24" i="2"/>
  <c r="AI31" i="2"/>
  <c r="AJ42" i="2"/>
  <c r="AE37" i="2"/>
  <c r="AG19" i="2"/>
  <c r="AI26" i="2"/>
  <c r="AI41" i="2"/>
  <c r="AG23" i="2"/>
  <c r="AI30" i="2"/>
  <c r="AG25" i="2"/>
  <c r="AK43" i="2"/>
  <c r="AI32" i="2"/>
  <c r="AI25" i="2"/>
  <c r="AD36" i="2"/>
  <c r="AG47" i="2" s="1" a="1"/>
  <c r="AG18" i="2"/>
  <c r="AG21" i="2"/>
  <c r="AG39" i="2"/>
  <c r="AI28" i="2"/>
  <c r="AI29" i="2"/>
  <c r="AH40" i="2"/>
  <c r="AG22" i="2"/>
  <c r="U35" i="3" l="1"/>
  <c r="U34" i="3"/>
  <c r="U33" i="3"/>
  <c r="U52" i="3" a="1"/>
  <c r="AG28" i="2"/>
  <c r="AG33" i="2" a="1"/>
  <c r="AG31" i="2"/>
  <c r="AF53" i="2" s="1"/>
  <c r="AH47" i="2"/>
  <c r="AG47" i="2"/>
  <c r="AH48" i="2"/>
  <c r="AG48" i="2"/>
  <c r="U54" i="3" l="1"/>
  <c r="AG4" i="3" s="1"/>
  <c r="U53" i="3"/>
  <c r="AG3" i="3" s="1"/>
  <c r="AD3" i="3" s="1"/>
  <c r="U52" i="3"/>
  <c r="AG2" i="3" s="1"/>
  <c r="AG34" i="2"/>
  <c r="AG33" i="2"/>
  <c r="AG50" i="2" a="1"/>
  <c r="AI20" i="3" l="1"/>
  <c r="AD2" i="3"/>
  <c r="AG5" i="3"/>
  <c r="AI3" i="3" s="1"/>
  <c r="AG13" i="3"/>
  <c r="AI11" i="3" s="1"/>
  <c r="AG9" i="3"/>
  <c r="AI7" i="3" s="1"/>
  <c r="AG10" i="3"/>
  <c r="AI8" i="3" s="1"/>
  <c r="AG6" i="3"/>
  <c r="AI4" i="3" s="1"/>
  <c r="AI14" i="3"/>
  <c r="AI21" i="3"/>
  <c r="AI18" i="3"/>
  <c r="AI15" i="3"/>
  <c r="AI17" i="3"/>
  <c r="AI22" i="3"/>
  <c r="AG14" i="3"/>
  <c r="AI12" i="3" s="1"/>
  <c r="AG7" i="3"/>
  <c r="AI5" i="3" s="1"/>
  <c r="AI19" i="3"/>
  <c r="AI16" i="3"/>
  <c r="AG11" i="3"/>
  <c r="AI9" i="3" s="1"/>
  <c r="AG8" i="3"/>
  <c r="AI6" i="3" s="1"/>
  <c r="AI23" i="3"/>
  <c r="AG12" i="3"/>
  <c r="AI10" i="3" s="1"/>
  <c r="AG50" i="2"/>
  <c r="AS2" i="2" s="1"/>
  <c r="AG51" i="2"/>
  <c r="AS3" i="2" s="1"/>
  <c r="AI42" i="3" l="1"/>
  <c r="AI30" i="3"/>
  <c r="AG23" i="3"/>
  <c r="AH41" i="3"/>
  <c r="AI29" i="3"/>
  <c r="AG22" i="3"/>
  <c r="AG25" i="3"/>
  <c r="AI32" i="3"/>
  <c r="AK44" i="3"/>
  <c r="AL45" i="3"/>
  <c r="AI33" i="3"/>
  <c r="AG26" i="3"/>
  <c r="AG20" i="3"/>
  <c r="AF39" i="3"/>
  <c r="AI27" i="3"/>
  <c r="AI28" i="3"/>
  <c r="AG21" i="3"/>
  <c r="AG40" i="3"/>
  <c r="AD37" i="3"/>
  <c r="AI25" i="3"/>
  <c r="AG18" i="3"/>
  <c r="AG19" i="3"/>
  <c r="AE38" i="3"/>
  <c r="AG48" i="3" s="1" a="1"/>
  <c r="AI26" i="3"/>
  <c r="AG24" i="3"/>
  <c r="AI31" i="3"/>
  <c r="AJ43" i="3"/>
  <c r="AI34" i="3"/>
  <c r="AM46" i="3"/>
  <c r="AG27" i="3"/>
  <c r="AS11" i="2"/>
  <c r="AS9" i="2"/>
  <c r="AS7" i="2"/>
  <c r="AS5" i="2"/>
  <c r="AU15" i="2"/>
  <c r="AU14" i="2"/>
  <c r="AS14" i="2"/>
  <c r="AS10" i="2"/>
  <c r="AS8" i="2"/>
  <c r="AS6" i="2"/>
  <c r="AS12" i="2"/>
  <c r="AU19" i="2"/>
  <c r="AU22" i="2"/>
  <c r="AU20" i="2"/>
  <c r="AU18" i="2"/>
  <c r="AU16" i="2"/>
  <c r="AS13" i="2"/>
  <c r="AU23" i="2"/>
  <c r="AU17" i="2"/>
  <c r="AU21" i="2"/>
  <c r="AH50" i="3" l="1"/>
  <c r="AH48" i="3"/>
  <c r="AI50" i="3"/>
  <c r="AG48" i="3"/>
  <c r="AG50" i="3"/>
  <c r="AH49" i="3"/>
  <c r="AI49" i="3"/>
  <c r="AI48" i="3"/>
  <c r="AG49" i="3"/>
  <c r="AG28" i="3"/>
  <c r="AG33" i="3" a="1"/>
  <c r="AG31" i="3"/>
  <c r="AG55" i="3" s="1"/>
  <c r="AS23" i="2"/>
  <c r="AU30" i="2"/>
  <c r="AU41" i="2"/>
  <c r="AU34" i="2"/>
  <c r="AY45" i="2"/>
  <c r="AS27" i="2"/>
  <c r="AU25" i="2"/>
  <c r="AS18" i="2"/>
  <c r="AP36" i="2"/>
  <c r="AR38" i="2"/>
  <c r="AU27" i="2"/>
  <c r="AS20" i="2"/>
  <c r="AW43" i="2"/>
  <c r="AU32" i="2"/>
  <c r="AS25" i="2"/>
  <c r="AS19" i="2"/>
  <c r="AU26" i="2"/>
  <c r="AQ37" i="2"/>
  <c r="AS22" i="2"/>
  <c r="AT40" i="2"/>
  <c r="AU29" i="2"/>
  <c r="AS26" i="2"/>
  <c r="AU33" i="2"/>
  <c r="AX44" i="2"/>
  <c r="AS21" i="2"/>
  <c r="AS39" i="2"/>
  <c r="AU28" i="2"/>
  <c r="AV42" i="2"/>
  <c r="AS24" i="2"/>
  <c r="AU31" i="2"/>
  <c r="AS31" i="2" l="1"/>
  <c r="AR53" i="2" s="1"/>
  <c r="AG35" i="3"/>
  <c r="AG33" i="3"/>
  <c r="AG34" i="3"/>
  <c r="AG52" i="3" a="1"/>
  <c r="AS33" i="2" a="1"/>
  <c r="AS28" i="2"/>
  <c r="AS47" i="2" a="1"/>
  <c r="AG53" i="3" l="1"/>
  <c r="AS3" i="3" s="1"/>
  <c r="AP3" i="3" s="1"/>
  <c r="AG52" i="3"/>
  <c r="AS2" i="3" s="1"/>
  <c r="AG54" i="3"/>
  <c r="AS4" i="3" s="1"/>
  <c r="AT48" i="2"/>
  <c r="AS48" i="2"/>
  <c r="AT47" i="2"/>
  <c r="AS47" i="2"/>
  <c r="AS50" i="2" s="1" a="1"/>
  <c r="AS34" i="2"/>
  <c r="AS33" i="2"/>
  <c r="AU20" i="3" l="1"/>
  <c r="AP2" i="3"/>
  <c r="AS5" i="3"/>
  <c r="AU3" i="3" s="1"/>
  <c r="AS9" i="3"/>
  <c r="AU7" i="3" s="1"/>
  <c r="AS13" i="3"/>
  <c r="AU11" i="3" s="1"/>
  <c r="AS11" i="3"/>
  <c r="AU9" i="3" s="1"/>
  <c r="AS8" i="3"/>
  <c r="AU6" i="3" s="1"/>
  <c r="AU19" i="3"/>
  <c r="AU16" i="3"/>
  <c r="AS12" i="3"/>
  <c r="AU10" i="3" s="1"/>
  <c r="AU23" i="3"/>
  <c r="AS6" i="3"/>
  <c r="AU4" i="3" s="1"/>
  <c r="AU18" i="3"/>
  <c r="AU14" i="3"/>
  <c r="AU15" i="3"/>
  <c r="AU17" i="3"/>
  <c r="AU22" i="3"/>
  <c r="AU21" i="3"/>
  <c r="AS10" i="3"/>
  <c r="AU8" i="3" s="1"/>
  <c r="AS7" i="3"/>
  <c r="AU5" i="3" s="1"/>
  <c r="AS14" i="3"/>
  <c r="AU12" i="3" s="1"/>
  <c r="AS51" i="2"/>
  <c r="BE3" i="2" s="1"/>
  <c r="AS50" i="2"/>
  <c r="BE2" i="2" s="1"/>
  <c r="AU28" i="3" l="1"/>
  <c r="AS21" i="3"/>
  <c r="AS40" i="3"/>
  <c r="AV43" i="3"/>
  <c r="AU31" i="3"/>
  <c r="AS24" i="3"/>
  <c r="AS27" i="3"/>
  <c r="AY46" i="3"/>
  <c r="AU34" i="3"/>
  <c r="AX45" i="3"/>
  <c r="AU33" i="3"/>
  <c r="AS26" i="3"/>
  <c r="AU27" i="3"/>
  <c r="AR39" i="3"/>
  <c r="AS20" i="3"/>
  <c r="AU26" i="3"/>
  <c r="AS19" i="3"/>
  <c r="AQ38" i="3"/>
  <c r="AT41" i="3"/>
  <c r="AU29" i="3"/>
  <c r="AS22" i="3"/>
  <c r="AU42" i="3"/>
  <c r="AU30" i="3"/>
  <c r="AS23" i="3"/>
  <c r="AP37" i="3"/>
  <c r="AU25" i="3"/>
  <c r="AS18" i="3"/>
  <c r="AS25" i="3"/>
  <c r="AU32" i="3"/>
  <c r="AW44" i="3"/>
  <c r="BG15" i="2"/>
  <c r="BE14" i="2"/>
  <c r="BG22" i="2"/>
  <c r="BG20" i="2"/>
  <c r="BG18" i="2"/>
  <c r="BE10" i="2"/>
  <c r="BE6" i="2"/>
  <c r="BG17" i="2"/>
  <c r="BG16" i="2"/>
  <c r="BE13" i="2"/>
  <c r="BE12" i="2"/>
  <c r="BE8" i="2"/>
  <c r="BG23" i="2"/>
  <c r="BG21" i="2"/>
  <c r="BG19" i="2"/>
  <c r="BE11" i="2"/>
  <c r="BE9" i="2"/>
  <c r="BE7" i="2"/>
  <c r="BE5" i="2"/>
  <c r="BG14" i="2"/>
  <c r="AS31" i="3" l="1"/>
  <c r="AS55" i="3" s="1"/>
  <c r="AS28" i="3"/>
  <c r="AS33" i="3" a="1"/>
  <c r="AS48" i="3" a="1"/>
  <c r="BG26" i="2"/>
  <c r="BC37" i="2"/>
  <c r="BE19" i="2"/>
  <c r="BG30" i="2"/>
  <c r="BG41" i="2"/>
  <c r="BE23" i="2"/>
  <c r="BG28" i="2"/>
  <c r="BE39" i="2"/>
  <c r="BE21" i="2"/>
  <c r="BG32" i="2"/>
  <c r="BI43" i="2"/>
  <c r="BE25" i="2"/>
  <c r="BD38" i="2"/>
  <c r="BE20" i="2"/>
  <c r="BG27" i="2"/>
  <c r="BE22" i="2"/>
  <c r="BF40" i="2"/>
  <c r="BG29" i="2"/>
  <c r="BG34" i="2"/>
  <c r="BE27" i="2"/>
  <c r="BK45" i="2"/>
  <c r="BE18" i="2"/>
  <c r="BB36" i="2"/>
  <c r="BE47" i="2" s="1" a="1"/>
  <c r="BG25" i="2"/>
  <c r="BE26" i="2"/>
  <c r="BJ44" i="2"/>
  <c r="BG33" i="2"/>
  <c r="BH42" i="2"/>
  <c r="BG31" i="2"/>
  <c r="BE24" i="2"/>
  <c r="AT50" i="3" l="1"/>
  <c r="AS50" i="3"/>
  <c r="AT49" i="3"/>
  <c r="AT48" i="3"/>
  <c r="AU49" i="3"/>
  <c r="AU48" i="3"/>
  <c r="AS49" i="3"/>
  <c r="AS48" i="3"/>
  <c r="AS52" i="3" s="1" a="1"/>
  <c r="AU50" i="3"/>
  <c r="AS33" i="3"/>
  <c r="AS34" i="3"/>
  <c r="AS35" i="3"/>
  <c r="BE31" i="2"/>
  <c r="BD53" i="2" s="1"/>
  <c r="BF48" i="2"/>
  <c r="BE48" i="2"/>
  <c r="BF47" i="2"/>
  <c r="BE47" i="2"/>
  <c r="BE28" i="2"/>
  <c r="BE33" i="2" a="1"/>
  <c r="AS52" i="3" l="1"/>
  <c r="BE2" i="3" s="1"/>
  <c r="AS54" i="3"/>
  <c r="BE4" i="3" s="1"/>
  <c r="AS53" i="3"/>
  <c r="BE3" i="3" s="1"/>
  <c r="BB3" i="3" s="1"/>
  <c r="BE34" i="2"/>
  <c r="BE33" i="2"/>
  <c r="BE50" i="2" a="1"/>
  <c r="BG20" i="3" l="1"/>
  <c r="BE5" i="3"/>
  <c r="BG3" i="3" s="1"/>
  <c r="BB2" i="3"/>
  <c r="BE9" i="3"/>
  <c r="BG7" i="3" s="1"/>
  <c r="BE13" i="3"/>
  <c r="BG11" i="3" s="1"/>
  <c r="BG21" i="3"/>
  <c r="BE14" i="3"/>
  <c r="BG12" i="3" s="1"/>
  <c r="BE7" i="3"/>
  <c r="BG5" i="3" s="1"/>
  <c r="BG23" i="3"/>
  <c r="BE11" i="3"/>
  <c r="BG9" i="3" s="1"/>
  <c r="BE8" i="3"/>
  <c r="BG6" i="3" s="1"/>
  <c r="BE6" i="3"/>
  <c r="BG4" i="3" s="1"/>
  <c r="BG16" i="3"/>
  <c r="BE12" i="3"/>
  <c r="BG10" i="3" s="1"/>
  <c r="BE10" i="3"/>
  <c r="BG8" i="3" s="1"/>
  <c r="BG14" i="3"/>
  <c r="BG19" i="3"/>
  <c r="BG22" i="3"/>
  <c r="BG18" i="3"/>
  <c r="BG15" i="3"/>
  <c r="BG17" i="3"/>
  <c r="BE51" i="2"/>
  <c r="BQ3" i="2" s="1"/>
  <c r="BE50" i="2"/>
  <c r="BQ2" i="2" s="1"/>
  <c r="BD39" i="3" l="1"/>
  <c r="BE20" i="3"/>
  <c r="BG27" i="3"/>
  <c r="BE25" i="3"/>
  <c r="BG32" i="3"/>
  <c r="BI44" i="3"/>
  <c r="BG42" i="3"/>
  <c r="BG30" i="3"/>
  <c r="BE23" i="3"/>
  <c r="BK46" i="3"/>
  <c r="BE27" i="3"/>
  <c r="BG34" i="3"/>
  <c r="BJ45" i="3"/>
  <c r="BE26" i="3"/>
  <c r="BG33" i="3"/>
  <c r="BG26" i="3"/>
  <c r="BC38" i="3"/>
  <c r="BE19" i="3"/>
  <c r="BF41" i="3"/>
  <c r="BG29" i="3"/>
  <c r="BE22" i="3"/>
  <c r="BE21" i="3"/>
  <c r="BE40" i="3"/>
  <c r="BG28" i="3"/>
  <c r="BE24" i="3"/>
  <c r="BH43" i="3"/>
  <c r="BG31" i="3"/>
  <c r="BB37" i="3"/>
  <c r="BE18" i="3"/>
  <c r="BG25" i="3"/>
  <c r="BZ29" i="2"/>
  <c r="BZ37" i="2"/>
  <c r="BZ45" i="2"/>
  <c r="BZ53" i="2"/>
  <c r="BZ61" i="2"/>
  <c r="BZ39" i="2"/>
  <c r="BZ55" i="2"/>
  <c r="BZ63" i="2"/>
  <c r="BZ32" i="2"/>
  <c r="BZ48" i="2"/>
  <c r="BZ23" i="2"/>
  <c r="BZ33" i="2"/>
  <c r="BZ49" i="2"/>
  <c r="BQ14" i="2"/>
  <c r="BZ34" i="2"/>
  <c r="BZ58" i="2"/>
  <c r="BZ27" i="2"/>
  <c r="BZ43" i="2"/>
  <c r="BZ59" i="2"/>
  <c r="BZ44" i="2"/>
  <c r="BZ60" i="2"/>
  <c r="BZ30" i="2"/>
  <c r="BZ38" i="2"/>
  <c r="BZ46" i="2"/>
  <c r="BZ54" i="2"/>
  <c r="BZ62" i="2"/>
  <c r="BZ31" i="2"/>
  <c r="BZ47" i="2"/>
  <c r="BZ24" i="2"/>
  <c r="BZ40" i="2"/>
  <c r="BZ56" i="2"/>
  <c r="BZ25" i="2"/>
  <c r="BZ41" i="2"/>
  <c r="BZ57" i="2"/>
  <c r="BZ26" i="2"/>
  <c r="BZ42" i="2"/>
  <c r="BZ50" i="2"/>
  <c r="BQ5" i="2"/>
  <c r="BZ35" i="2"/>
  <c r="BZ51" i="2"/>
  <c r="BZ28" i="2"/>
  <c r="BZ52" i="2"/>
  <c r="CA23" i="2" a="1"/>
  <c r="BZ36" i="2"/>
  <c r="BQ12" i="2"/>
  <c r="BQ10" i="2"/>
  <c r="BQ8" i="2"/>
  <c r="BQ6" i="2"/>
  <c r="BS16" i="2"/>
  <c r="BQ13" i="2"/>
  <c r="BQ11" i="2"/>
  <c r="BS20" i="2"/>
  <c r="BS18" i="2"/>
  <c r="BQ7" i="2"/>
  <c r="BS23" i="2"/>
  <c r="BS21" i="2"/>
  <c r="BS19" i="2"/>
  <c r="BS17" i="2"/>
  <c r="BQ9" i="2"/>
  <c r="BS15" i="2"/>
  <c r="BS14" i="2"/>
  <c r="BS22" i="2"/>
  <c r="BE28" i="3" l="1"/>
  <c r="BE31" i="3"/>
  <c r="BE55" i="3" s="1"/>
  <c r="BE33" i="3" a="1"/>
  <c r="BE48" i="3" a="1"/>
  <c r="CA23" i="2"/>
  <c r="CA29" i="2"/>
  <c r="CA32" i="2"/>
  <c r="CA46" i="2"/>
  <c r="CA52" i="2"/>
  <c r="CA27" i="2"/>
  <c r="CA55" i="2"/>
  <c r="CA30" i="2"/>
  <c r="CA50" i="2"/>
  <c r="CA57" i="2"/>
  <c r="CA63" i="2"/>
  <c r="CA38" i="2"/>
  <c r="CA44" i="2"/>
  <c r="CA58" i="2"/>
  <c r="CA49" i="2"/>
  <c r="CA41" i="2"/>
  <c r="CA33" i="2"/>
  <c r="CA39" i="2"/>
  <c r="CA53" i="2"/>
  <c r="CA59" i="2"/>
  <c r="CA34" i="2"/>
  <c r="CA36" i="2"/>
  <c r="CA56" i="2"/>
  <c r="CA31" i="2"/>
  <c r="CA45" i="2"/>
  <c r="CA51" i="2"/>
  <c r="CA26" i="2"/>
  <c r="CA47" i="2"/>
  <c r="CA42" i="2"/>
  <c r="CA48" i="2"/>
  <c r="CA62" i="2"/>
  <c r="CA37" i="2"/>
  <c r="CA43" i="2"/>
  <c r="CA25" i="2"/>
  <c r="CA28" i="2"/>
  <c r="CA40" i="2"/>
  <c r="CA54" i="2"/>
  <c r="CA60" i="2"/>
  <c r="CA35" i="2"/>
  <c r="CA24" i="2"/>
  <c r="CA61" i="2"/>
  <c r="BT42" i="2"/>
  <c r="BS31" i="2"/>
  <c r="BQ24" i="2"/>
  <c r="BV44" i="2"/>
  <c r="BS33" i="2"/>
  <c r="BQ26" i="2"/>
  <c r="BQ22" i="2"/>
  <c r="BR40" i="2"/>
  <c r="BS29" i="2"/>
  <c r="BQ18" i="2"/>
  <c r="BN36" i="2"/>
  <c r="BS25" i="2"/>
  <c r="BS34" i="2"/>
  <c r="BQ27" i="2"/>
  <c r="BW45" i="2"/>
  <c r="BQ39" i="2"/>
  <c r="BQ21" i="2"/>
  <c r="BS28" i="2"/>
  <c r="BQ20" i="2"/>
  <c r="BS27" i="2"/>
  <c r="BP38" i="2"/>
  <c r="BQ23" i="2"/>
  <c r="BS41" i="2"/>
  <c r="BS30" i="2"/>
  <c r="BQ19" i="2"/>
  <c r="BO37" i="2"/>
  <c r="BS26" i="2"/>
  <c r="BU43" i="2"/>
  <c r="BQ25" i="2"/>
  <c r="BS32" i="2"/>
  <c r="BG48" i="3" l="1"/>
  <c r="BE49" i="3"/>
  <c r="BG50" i="3"/>
  <c r="BF48" i="3"/>
  <c r="BE48" i="3"/>
  <c r="BF50" i="3"/>
  <c r="BE50" i="3"/>
  <c r="BG49" i="3"/>
  <c r="BF49" i="3"/>
  <c r="BE34" i="3"/>
  <c r="BE35" i="3"/>
  <c r="BE33" i="3"/>
  <c r="BQ47" i="2" a="1"/>
  <c r="BQ48" i="2" s="1"/>
  <c r="BQ33" i="2" a="1"/>
  <c r="BQ28" i="2"/>
  <c r="BQ31" i="2"/>
  <c r="BE52" i="3" l="1" a="1"/>
  <c r="BR48" i="2"/>
  <c r="BQ47" i="2"/>
  <c r="BR47" i="2"/>
  <c r="BQ34" i="2"/>
  <c r="BQ33" i="2"/>
  <c r="BE52" i="3" l="1"/>
  <c r="BQ2" i="3" s="1"/>
  <c r="BE54" i="3"/>
  <c r="BQ4" i="3" s="1"/>
  <c r="BE53" i="3"/>
  <c r="BQ3" i="3" s="1"/>
  <c r="BN3" i="3" s="1"/>
  <c r="BQ53" i="2" a="1"/>
  <c r="BQ50" i="2" a="1"/>
  <c r="BQ50" i="2" s="1"/>
  <c r="BS14" i="3" l="1"/>
  <c r="BS22" i="3"/>
  <c r="BS16" i="3"/>
  <c r="BQ13" i="3"/>
  <c r="BS11" i="3" s="1"/>
  <c r="BQ5" i="3"/>
  <c r="BS3" i="3" s="1"/>
  <c r="BQ9" i="3"/>
  <c r="BS7" i="3" s="1"/>
  <c r="BS18" i="3"/>
  <c r="BS21" i="3"/>
  <c r="BS19" i="3"/>
  <c r="BQ11" i="3"/>
  <c r="BS9" i="3" s="1"/>
  <c r="BS23" i="3"/>
  <c r="BQ8" i="3"/>
  <c r="BS6" i="3" s="1"/>
  <c r="BS15" i="3"/>
  <c r="BQ12" i="3"/>
  <c r="BS10" i="3" s="1"/>
  <c r="BS20" i="3"/>
  <c r="BQ6" i="3"/>
  <c r="BS4" i="3" s="1"/>
  <c r="BQ10" i="3"/>
  <c r="BS8" i="3" s="1"/>
  <c r="BS17" i="3"/>
  <c r="BN2" i="3"/>
  <c r="BQ14" i="3"/>
  <c r="BS12" i="3" s="1"/>
  <c r="BQ7" i="3"/>
  <c r="BS5" i="3" s="1"/>
  <c r="BQ51" i="2"/>
  <c r="BR53" i="2"/>
  <c r="BQ54" i="2"/>
  <c r="BQ53" i="2"/>
  <c r="BQ57" i="2" s="1"/>
  <c r="BQ58" i="2" s="1"/>
  <c r="BR54" i="2"/>
  <c r="BR57" i="2" s="1"/>
  <c r="BR58" i="2" s="1"/>
  <c r="BS42" i="3" l="1"/>
  <c r="BQ23" i="3"/>
  <c r="BS30" i="3"/>
  <c r="BO38" i="3"/>
  <c r="BQ19" i="3"/>
  <c r="BS26" i="3"/>
  <c r="BP39" i="3"/>
  <c r="BQ20" i="3"/>
  <c r="BS27" i="3"/>
  <c r="BQ25" i="3"/>
  <c r="BS32" i="3"/>
  <c r="BU44" i="3"/>
  <c r="BR41" i="3"/>
  <c r="BS29" i="3"/>
  <c r="BQ22" i="3"/>
  <c r="BQ21" i="3"/>
  <c r="BS28" i="3"/>
  <c r="BQ40" i="3"/>
  <c r="BW46" i="3"/>
  <c r="BQ27" i="3"/>
  <c r="BS34" i="3"/>
  <c r="BN37" i="3"/>
  <c r="BQ18" i="3"/>
  <c r="BQ33" i="3" s="1" a="1"/>
  <c r="BS25" i="3"/>
  <c r="BV45" i="3"/>
  <c r="BQ26" i="3"/>
  <c r="BS33" i="3"/>
  <c r="BQ24" i="3"/>
  <c r="BT43" i="3"/>
  <c r="BS31" i="3"/>
  <c r="BQ31" i="3" l="1"/>
  <c r="BQ55" i="3" s="1"/>
  <c r="BQ48" i="3" a="1"/>
  <c r="BQ28" i="3"/>
  <c r="BQ34" i="3"/>
  <c r="BQ35" i="3"/>
  <c r="BQ33" i="3"/>
  <c r="BR48" i="3" l="1"/>
  <c r="BS48" i="3"/>
  <c r="BS50" i="3"/>
  <c r="BQ50" i="3"/>
  <c r="BQ48" i="3"/>
  <c r="BR50" i="3"/>
  <c r="BS49" i="3"/>
  <c r="BQ49" i="3"/>
  <c r="BR49" i="3"/>
  <c r="BQ52" i="3" l="1" a="1"/>
  <c r="BQ53" i="3" l="1"/>
  <c r="CC3" i="3" s="1"/>
  <c r="BZ3" i="3" s="1"/>
  <c r="BQ52" i="3"/>
  <c r="CC2" i="3" s="1"/>
  <c r="BQ54" i="3"/>
  <c r="CC4" i="3" s="1"/>
  <c r="CE16" i="3" l="1"/>
  <c r="CE17" i="3"/>
  <c r="CE19" i="3"/>
  <c r="CE23" i="3"/>
  <c r="CE18" i="3"/>
  <c r="CE21" i="3"/>
  <c r="CE22" i="3"/>
  <c r="CC5" i="3"/>
  <c r="CE3" i="3" s="1"/>
  <c r="CE20" i="3"/>
  <c r="CE14" i="3"/>
  <c r="CE15" i="3"/>
  <c r="CC12" i="3"/>
  <c r="CE10" i="3" s="1"/>
  <c r="CC7" i="3"/>
  <c r="CE5" i="3" s="1"/>
  <c r="CC13" i="3"/>
  <c r="CE11" i="3" s="1"/>
  <c r="CC11" i="3"/>
  <c r="CE9" i="3" s="1"/>
  <c r="CC6" i="3"/>
  <c r="CE4" i="3" s="1"/>
  <c r="CE26" i="3" s="1"/>
  <c r="BZ2" i="3"/>
  <c r="CC9" i="3"/>
  <c r="CE7" i="3" s="1"/>
  <c r="CC10" i="3"/>
  <c r="CE8" i="3" s="1"/>
  <c r="CE30" i="3" s="1"/>
  <c r="CC14" i="3"/>
  <c r="CE12" i="3" s="1"/>
  <c r="CE34" i="3" s="1"/>
  <c r="CC8" i="3"/>
  <c r="CE6" i="3" s="1"/>
  <c r="CE28" i="3" s="1"/>
  <c r="CE27" i="3" l="1"/>
  <c r="CE33" i="3"/>
  <c r="CE25" i="3"/>
  <c r="CE31" i="3"/>
  <c r="CE29" i="3"/>
  <c r="CE32" i="3"/>
  <c r="CA38" i="3"/>
  <c r="CC19" i="3"/>
  <c r="CF43" i="3"/>
  <c r="CC24" i="3"/>
  <c r="CC26" i="3"/>
  <c r="CH45" i="3"/>
  <c r="CC18" i="3"/>
  <c r="BZ37" i="3"/>
  <c r="CC22" i="3"/>
  <c r="CD41" i="3"/>
  <c r="CB39" i="3"/>
  <c r="CC20" i="3"/>
  <c r="CC40" i="3"/>
  <c r="CC21" i="3"/>
  <c r="CG44" i="3"/>
  <c r="CC25" i="3"/>
  <c r="CI46" i="3"/>
  <c r="CC27" i="3"/>
  <c r="CC23" i="3"/>
  <c r="CE42" i="3"/>
  <c r="CC125" i="3" l="1"/>
  <c r="CD125" i="3" s="1"/>
  <c r="CC31" i="3"/>
  <c r="CC48" i="3" a="1"/>
  <c r="CD48" i="3" s="1"/>
  <c r="CC28" i="3"/>
  <c r="CC33" i="3" a="1"/>
  <c r="CC55" i="3" l="1"/>
  <c r="CG31" i="3"/>
  <c r="CC49" i="3"/>
  <c r="CE48" i="3"/>
  <c r="CE49" i="3"/>
  <c r="CD49" i="3"/>
  <c r="CC50" i="3"/>
  <c r="CC48" i="3"/>
  <c r="CB99" i="3" s="1" a="1"/>
  <c r="CB99" i="3" s="1"/>
  <c r="CD50" i="3"/>
  <c r="CE50" i="3"/>
  <c r="CC35" i="3"/>
  <c r="CC33" i="3"/>
  <c r="CC34" i="3"/>
  <c r="CC52" i="3" l="1" a="1"/>
  <c r="CC54" i="3" s="1"/>
  <c r="CO4" i="3" s="1"/>
  <c r="CB103" i="3"/>
  <c r="CD103" i="3" s="1"/>
  <c r="CE101" i="3"/>
  <c r="CF101" i="3" s="1"/>
  <c r="CB78" i="3" a="1"/>
  <c r="CB78" i="3" s="1"/>
  <c r="CB114" i="3" a="1"/>
  <c r="CB114" i="3" s="1"/>
  <c r="CC52" i="3" l="1"/>
  <c r="CO2" i="3" s="1"/>
  <c r="CC53" i="3"/>
  <c r="CB82" i="3"/>
  <c r="CB86" i="3" s="1"/>
  <c r="CE86" i="3" s="1"/>
  <c r="CF86" i="3" s="1"/>
  <c r="CC80" i="3"/>
  <c r="CD79" i="3"/>
  <c r="CB79" i="3"/>
  <c r="CC78" i="3"/>
  <c r="CB118" i="3"/>
  <c r="CC118" i="3" s="1"/>
  <c r="CB119" i="3"/>
  <c r="CC119" i="3" s="1"/>
  <c r="CO3" i="3"/>
  <c r="CL3" i="3" s="1"/>
  <c r="CD80" i="3"/>
  <c r="CD84" i="3" s="1"/>
  <c r="CD88" i="3" s="1"/>
  <c r="CE88" i="3" s="1"/>
  <c r="CF88" i="3" s="1"/>
  <c r="CB80" i="3"/>
  <c r="CD78" i="3"/>
  <c r="CC79" i="3"/>
  <c r="CC83" i="3" s="1"/>
  <c r="CC87" i="3" s="1"/>
  <c r="CE87" i="3" s="1"/>
  <c r="CF87" i="3" s="1"/>
  <c r="CL2" i="3"/>
  <c r="CQ23" i="3" l="1"/>
  <c r="CO13" i="3"/>
  <c r="CQ11" i="3" s="1"/>
  <c r="CQ20" i="3"/>
  <c r="CO12" i="3"/>
  <c r="CQ10" i="3" s="1"/>
  <c r="CQ22" i="3"/>
  <c r="CO10" i="3"/>
  <c r="CQ8" i="3" s="1"/>
  <c r="CQ17" i="3"/>
  <c r="CQ15" i="3"/>
  <c r="CO8" i="3"/>
  <c r="CQ6" i="3" s="1"/>
  <c r="CO7" i="3"/>
  <c r="CQ5" i="3" s="1"/>
  <c r="CO9" i="3"/>
  <c r="CQ7" i="3" s="1"/>
  <c r="CO11" i="3"/>
  <c r="CQ9" i="3" s="1"/>
  <c r="CO6" i="3"/>
  <c r="CQ4" i="3" s="1"/>
  <c r="CO5" i="3"/>
  <c r="CQ3" i="3" s="1"/>
  <c r="CQ16" i="3"/>
  <c r="CQ18" i="3"/>
  <c r="CO14" i="3"/>
  <c r="CQ12" i="3" s="1"/>
  <c r="CQ34" i="3" s="1"/>
  <c r="CQ14" i="3"/>
  <c r="CQ19" i="3"/>
  <c r="CQ21" i="3"/>
  <c r="CQ32" i="3" s="1"/>
  <c r="CQ33" i="3"/>
  <c r="CO26" i="3"/>
  <c r="CO25" i="3"/>
  <c r="CS44" i="3"/>
  <c r="CQ26" i="3" l="1"/>
  <c r="CQ31" i="3"/>
  <c r="CO24" i="3"/>
  <c r="CO19" i="3"/>
  <c r="CM38" i="3"/>
  <c r="CL37" i="3"/>
  <c r="CQ42" i="3"/>
  <c r="CR43" i="3"/>
  <c r="CO23" i="3"/>
  <c r="CT45" i="3"/>
  <c r="CQ28" i="3"/>
  <c r="CO27" i="3"/>
  <c r="CQ30" i="3"/>
  <c r="CQ29" i="3"/>
  <c r="CO18" i="3"/>
  <c r="CO33" i="3" s="1" a="1"/>
  <c r="CQ25" i="3"/>
  <c r="CQ27" i="3"/>
  <c r="CN39" i="3"/>
  <c r="CO22" i="3"/>
  <c r="CO40" i="3"/>
  <c r="CO21" i="3"/>
  <c r="CO20" i="3"/>
  <c r="CP41" i="3"/>
  <c r="CO48" i="3" s="1" a="1"/>
  <c r="CU46" i="3"/>
  <c r="CF125" i="3"/>
  <c r="CH125" i="3" s="1"/>
  <c r="CO31" i="3" l="1"/>
  <c r="CO55" i="3" s="1"/>
  <c r="CO28" i="3"/>
  <c r="CO49" i="3"/>
  <c r="CQ50" i="3"/>
  <c r="CQ48" i="3"/>
  <c r="CO50" i="3"/>
  <c r="CQ49" i="3"/>
  <c r="CP48" i="3"/>
  <c r="CO48" i="3"/>
  <c r="CP49" i="3"/>
  <c r="CP50" i="3"/>
  <c r="CO35" i="3"/>
  <c r="CO34" i="3"/>
  <c r="CO33" i="3"/>
  <c r="CO52" i="3" l="1" a="1"/>
  <c r="CO54" i="3" s="1"/>
  <c r="CO52" i="3" l="1"/>
  <c r="CO53" i="3"/>
</calcChain>
</file>

<file path=xl/sharedStrings.xml><?xml version="1.0" encoding="utf-8"?>
<sst xmlns="http://schemas.openxmlformats.org/spreadsheetml/2006/main" count="409" uniqueCount="110">
  <si>
    <t>x</t>
  </si>
  <si>
    <t>y</t>
  </si>
  <si>
    <t>X</t>
  </si>
  <si>
    <t>alpha</t>
  </si>
  <si>
    <t>beta</t>
  </si>
  <si>
    <t>p</t>
  </si>
  <si>
    <t>(y-p)</t>
  </si>
  <si>
    <t>u=X'(y-p)</t>
  </si>
  <si>
    <t>derivate prime</t>
  </si>
  <si>
    <t>logL</t>
  </si>
  <si>
    <t>l(beta;y,x)</t>
  </si>
  <si>
    <t xml:space="preserve"> - ln(1+exp(a+bx))</t>
  </si>
  <si>
    <t>sum of terms</t>
  </si>
  <si>
    <r>
      <t xml:space="preserve">Iterazione </t>
    </r>
    <r>
      <rPr>
        <b/>
        <sz val="11"/>
        <color theme="1"/>
        <rFont val="Calibri"/>
        <family val="2"/>
        <scheme val="minor"/>
      </rPr>
      <t>0</t>
    </r>
  </si>
  <si>
    <t>W</t>
  </si>
  <si>
    <t>Diagonale p(1-p)</t>
  </si>
  <si>
    <t>Hessiana der. seconde</t>
  </si>
  <si>
    <t>H</t>
  </si>
  <si>
    <t>aggiornamento t+1</t>
  </si>
  <si>
    <t>Iterazione 1</t>
  </si>
  <si>
    <t>Iterazione 2</t>
  </si>
  <si>
    <t>Iterazione 3</t>
  </si>
  <si>
    <t>Iterazione 4</t>
  </si>
  <si>
    <t>Iterazione 5</t>
  </si>
  <si>
    <t>Logit</t>
  </si>
  <si>
    <t>probabilità</t>
  </si>
  <si>
    <t>H=X'WX</t>
  </si>
  <si>
    <t>fRL</t>
  </si>
  <si>
    <t xml:space="preserve"> -H(^-1)</t>
  </si>
  <si>
    <t>H^(-1)</t>
  </si>
  <si>
    <t>RADQ</t>
  </si>
  <si>
    <t>X_b2</t>
  </si>
  <si>
    <t>X_b1</t>
  </si>
  <si>
    <t>b1</t>
  </si>
  <si>
    <t>b2</t>
  </si>
  <si>
    <r>
      <t xml:space="preserve">Iterazione </t>
    </r>
    <r>
      <rPr>
        <b/>
        <sz val="11"/>
        <color theme="1"/>
        <rFont val="Calibri"/>
        <family val="2"/>
        <scheme val="minor"/>
      </rPr>
      <t>1</t>
    </r>
  </si>
  <si>
    <r>
      <t xml:space="preserve">Iterazione </t>
    </r>
    <r>
      <rPr>
        <b/>
        <sz val="11"/>
        <color theme="1"/>
        <rFont val="Calibri"/>
        <family val="2"/>
        <scheme val="minor"/>
      </rPr>
      <t>2</t>
    </r>
  </si>
  <si>
    <r>
      <t xml:space="preserve">Iterazione </t>
    </r>
    <r>
      <rPr>
        <b/>
        <sz val="11"/>
        <color theme="1"/>
        <rFont val="Calibri"/>
        <family val="2"/>
        <scheme val="minor"/>
      </rPr>
      <t>3</t>
    </r>
  </si>
  <si>
    <r>
      <t xml:space="preserve">Iterazione </t>
    </r>
    <r>
      <rPr>
        <b/>
        <sz val="11"/>
        <color theme="1"/>
        <rFont val="Calibri"/>
        <family val="2"/>
        <scheme val="minor"/>
      </rPr>
      <t>4</t>
    </r>
  </si>
  <si>
    <r>
      <t xml:space="preserve">Iterazione </t>
    </r>
    <r>
      <rPr>
        <b/>
        <sz val="11"/>
        <color theme="1"/>
        <rFont val="Calibri"/>
        <family val="2"/>
        <scheme val="minor"/>
      </rPr>
      <t>5</t>
    </r>
  </si>
  <si>
    <t>Iterazione 6</t>
  </si>
  <si>
    <t>mod&lt;-glm(y~X[,2]+X[,3],binomial(link = "logit"))</t>
  </si>
  <si>
    <t>summary(mod)</t>
  </si>
  <si>
    <t>Call:</t>
  </si>
  <si>
    <t>glm(formula = y ~ X[, 2] + X[, 3], family = binomial(link = "logit"))</t>
  </si>
  <si>
    <t xml:space="preserve">Deviance Residuals: </t>
  </si>
  <si>
    <t xml:space="preserve">     Min        1Q    Median        3Q       Max  </t>
  </si>
  <si>
    <t xml:space="preserve">-1.38650  -0.69050  -0.09496   0.83941   1.44984  </t>
  </si>
  <si>
    <t>Coefficients:</t>
  </si>
  <si>
    <t>(Dispersion parameter for binomial family taken to be 1)</t>
  </si>
  <si>
    <t>Residual deviance:  9.3443  on 7  degrees of freedom</t>
  </si>
  <si>
    <t>AIC: 15.344</t>
  </si>
  <si>
    <t>Number of Fisher Scoring iterations: 6</t>
  </si>
  <si>
    <t>Estimate</t>
  </si>
  <si>
    <t>z</t>
  </si>
  <si>
    <t>(Intercept)</t>
  </si>
  <si>
    <t>X[, 3]</t>
  </si>
  <si>
    <t>X[, 2]</t>
  </si>
  <si>
    <t>Std.Error</t>
  </si>
  <si>
    <t>Pr(&gt;|z|)</t>
  </si>
  <si>
    <r>
      <t xml:space="preserve">   </t>
    </r>
    <r>
      <rPr>
        <b/>
        <sz val="12"/>
        <color theme="0" tint="-4.9989318521683403E-2"/>
        <rFont val="Courier New"/>
        <family val="3"/>
      </rPr>
      <t xml:space="preserve"> Null deviance: 13.4602  on 9  degrees of freedom</t>
    </r>
  </si>
  <si>
    <t>Errori Standard</t>
  </si>
  <si>
    <t>Matrice Var-covarianza</t>
  </si>
  <si>
    <t>Wald test (z)</t>
  </si>
  <si>
    <t>p.val</t>
  </si>
  <si>
    <t>bidir.</t>
  </si>
  <si>
    <t>Linear Hypothesis: b1-b2=0</t>
  </si>
  <si>
    <t>v</t>
  </si>
  <si>
    <t>v'(-H^-1)v</t>
  </si>
  <si>
    <t>v'Phi</t>
  </si>
  <si>
    <t>Phi</t>
  </si>
  <si>
    <t>Chisq.test</t>
  </si>
  <si>
    <t>p.valore =</t>
  </si>
  <si>
    <t>gdl = 1</t>
  </si>
  <si>
    <t>(3 x 1)</t>
  </si>
  <si>
    <t>Inf</t>
  </si>
  <si>
    <t>Sup</t>
  </si>
  <si>
    <t>C.I.95</t>
  </si>
  <si>
    <t>Intervallo fiducia per "p" (X1 = 10; X2 = 5))</t>
  </si>
  <si>
    <t>Likelihood Test (Ratio)</t>
  </si>
  <si>
    <t>H0: b2 = 0</t>
  </si>
  <si>
    <r>
      <t xml:space="preserve">H1: b2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0</t>
    </r>
  </si>
  <si>
    <t>l(phi H1;y,x)</t>
  </si>
  <si>
    <t>l(phi H0;y,x)</t>
  </si>
  <si>
    <r>
      <t xml:space="preserve">Iterazione </t>
    </r>
    <r>
      <rPr>
        <b/>
        <sz val="11"/>
        <color theme="1"/>
        <rFont val="Calibri"/>
        <family val="2"/>
        <scheme val="minor"/>
      </rPr>
      <t>6 (H0 LRT)</t>
    </r>
  </si>
  <si>
    <t>Deviance</t>
  </si>
  <si>
    <t>Chisq</t>
  </si>
  <si>
    <t>df</t>
  </si>
  <si>
    <t>diff. Gdl</t>
  </si>
  <si>
    <t>y*ln(p/(1-p)</t>
  </si>
  <si>
    <t>Wald (Z)</t>
  </si>
  <si>
    <t>p-valore</t>
  </si>
  <si>
    <t>Up</t>
  </si>
  <si>
    <t>Down</t>
  </si>
  <si>
    <t>"successo"</t>
  </si>
  <si>
    <t>z=</t>
  </si>
  <si>
    <t>&gt; 0,05</t>
  </si>
  <si>
    <t>a</t>
  </si>
  <si>
    <t>p (antilogit)</t>
  </si>
  <si>
    <t>1-p</t>
  </si>
  <si>
    <t>ln(</t>
  </si>
  <si>
    <t>)</t>
  </si>
  <si>
    <t>p =</t>
  </si>
  <si>
    <t>EXP(Logit)</t>
  </si>
  <si>
    <t>a + bX=</t>
  </si>
  <si>
    <t>Logit=</t>
  </si>
  <si>
    <t>1+EXP(Logit)</t>
  </si>
  <si>
    <t>p/(1-p)</t>
  </si>
  <si>
    <t>ln</t>
  </si>
  <si>
    <t>b2?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</si>
</sst>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Courier New"/>
      <family val="3"/>
    </font>
    <font>
      <sz val="12"/>
      <color theme="0"/>
      <name val="Courier New"/>
      <family val="3"/>
    </font>
    <font>
      <b/>
      <sz val="12"/>
      <color theme="0"/>
      <name val="Courier New"/>
      <family val="3"/>
    </font>
    <font>
      <b/>
      <sz val="12"/>
      <color theme="0" tint="-4.9989318521683403E-2"/>
      <name val="Courier New"/>
      <family val="3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66" fontId="0" fillId="0" borderId="0" xfId="0" applyNumberFormat="1"/>
    <xf numFmtId="166" fontId="0" fillId="2" borderId="0" xfId="0" applyNumberFormat="1" applyFill="1"/>
    <xf numFmtId="0" fontId="0" fillId="7" borderId="0" xfId="0" applyFill="1"/>
    <xf numFmtId="0" fontId="1" fillId="4" borderId="0" xfId="0" applyFont="1" applyFill="1"/>
    <xf numFmtId="0" fontId="0" fillId="0" borderId="0" xfId="0" applyAlignment="1">
      <alignment horizontal="center"/>
    </xf>
    <xf numFmtId="0" fontId="3" fillId="8" borderId="0" xfId="0" applyFont="1" applyFill="1" applyAlignment="1">
      <alignment horizontal="center"/>
    </xf>
    <xf numFmtId="165" fontId="0" fillId="9" borderId="0" xfId="0" applyNumberFormat="1" applyFill="1"/>
    <xf numFmtId="0" fontId="1" fillId="3" borderId="0" xfId="0" applyFont="1" applyFill="1" applyAlignment="1">
      <alignment horizontal="right"/>
    </xf>
    <xf numFmtId="166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1" fillId="1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7" borderId="0" xfId="0" applyNumberFormat="1" applyFill="1"/>
    <xf numFmtId="167" fontId="0" fillId="0" borderId="0" xfId="0" applyNumberForma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/>
    <xf numFmtId="164" fontId="0" fillId="11" borderId="0" xfId="0" applyNumberFormat="1" applyFill="1"/>
    <xf numFmtId="164" fontId="1" fillId="5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1" fontId="5" fillId="2" borderId="0" xfId="0" applyNumberFormat="1" applyFont="1" applyFill="1"/>
    <xf numFmtId="2" fontId="5" fillId="2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166" fontId="0" fillId="13" borderId="0" xfId="0" applyNumberFormat="1" applyFill="1"/>
    <xf numFmtId="2" fontId="0" fillId="0" borderId="0" xfId="0" applyNumberFormat="1"/>
    <xf numFmtId="2" fontId="0" fillId="13" borderId="0" xfId="0" applyNumberFormat="1" applyFill="1"/>
    <xf numFmtId="0" fontId="1" fillId="12" borderId="0" xfId="0" applyFont="1" applyFill="1" applyAlignment="1">
      <alignment horizontal="center"/>
    </xf>
    <xf numFmtId="164" fontId="2" fillId="14" borderId="0" xfId="0" applyNumberFormat="1" applyFont="1" applyFill="1" applyAlignment="1">
      <alignment horizontal="right"/>
    </xf>
    <xf numFmtId="0" fontId="0" fillId="0" borderId="4" xfId="0" applyBorder="1"/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0" fillId="0" borderId="5" xfId="0" applyBorder="1"/>
    <xf numFmtId="165" fontId="0" fillId="9" borderId="0" xfId="0" applyNumberFormat="1" applyFill="1" applyBorder="1"/>
    <xf numFmtId="166" fontId="0" fillId="2" borderId="0" xfId="0" applyNumberFormat="1" applyFill="1" applyBorder="1"/>
    <xf numFmtId="0" fontId="2" fillId="0" borderId="0" xfId="0" applyFont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66" fontId="0" fillId="0" borderId="0" xfId="0" applyNumberFormat="1" applyBorder="1"/>
    <xf numFmtId="0" fontId="3" fillId="8" borderId="0" xfId="0" applyFont="1" applyFill="1" applyBorder="1" applyAlignment="1">
      <alignment horizontal="center"/>
    </xf>
    <xf numFmtId="0" fontId="1" fillId="4" borderId="0" xfId="0" applyFont="1" applyFill="1" applyBorder="1"/>
    <xf numFmtId="166" fontId="0" fillId="13" borderId="0" xfId="0" applyNumberFormat="1" applyFill="1" applyBorder="1"/>
    <xf numFmtId="166" fontId="0" fillId="6" borderId="0" xfId="0" applyNumberForma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2" fontId="0" fillId="13" borderId="0" xfId="0" applyNumberFormat="1" applyFill="1" applyBorder="1"/>
    <xf numFmtId="0" fontId="1" fillId="12" borderId="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0" fontId="0" fillId="0" borderId="8" xfId="0" applyBorder="1"/>
    <xf numFmtId="0" fontId="4" fillId="8" borderId="1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8" fillId="4" borderId="1" xfId="0" applyFont="1" applyFill="1" applyBorder="1" applyAlignment="1">
      <alignment horizontal="left" vertical="center" readingOrder="1"/>
    </xf>
    <xf numFmtId="0" fontId="7" fillId="4" borderId="2" xfId="0" applyFont="1" applyFill="1" applyBorder="1"/>
    <xf numFmtId="0" fontId="7" fillId="4" borderId="3" xfId="0" applyFont="1" applyFill="1" applyBorder="1"/>
    <xf numFmtId="0" fontId="8" fillId="4" borderId="4" xfId="0" applyFont="1" applyFill="1" applyBorder="1" applyAlignment="1">
      <alignment horizontal="left" vertical="center" readingOrder="1"/>
    </xf>
    <xf numFmtId="0" fontId="7" fillId="4" borderId="0" xfId="0" applyFont="1" applyFill="1" applyBorder="1"/>
    <xf numFmtId="0" fontId="7" fillId="4" borderId="5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165" fontId="2" fillId="14" borderId="0" xfId="0" applyNumberFormat="1" applyFont="1" applyFill="1" applyBorder="1" applyAlignment="1">
      <alignment horizontal="right"/>
    </xf>
    <xf numFmtId="0" fontId="9" fillId="4" borderId="4" xfId="0" applyFont="1" applyFill="1" applyBorder="1" applyAlignment="1">
      <alignment horizontal="left" vertical="center" readingOrder="1"/>
    </xf>
    <xf numFmtId="0" fontId="6" fillId="4" borderId="0" xfId="0" applyFont="1" applyFill="1" applyBorder="1"/>
    <xf numFmtId="0" fontId="6" fillId="4" borderId="5" xfId="0" applyFont="1" applyFill="1" applyBorder="1"/>
    <xf numFmtId="0" fontId="10" fillId="4" borderId="4" xfId="0" applyFont="1" applyFill="1" applyBorder="1" applyAlignment="1">
      <alignment horizontal="left" vertical="center" readingOrder="1"/>
    </xf>
    <xf numFmtId="0" fontId="1" fillId="4" borderId="0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left" vertical="center" readingOrder="1"/>
    </xf>
    <xf numFmtId="0" fontId="11" fillId="4" borderId="6" xfId="0" applyFont="1" applyFill="1" applyBorder="1" applyAlignment="1">
      <alignment horizontal="left" vertical="center" readingOrder="1"/>
    </xf>
    <xf numFmtId="164" fontId="0" fillId="0" borderId="0" xfId="0" applyNumberFormat="1"/>
    <xf numFmtId="165" fontId="0" fillId="0" borderId="0" xfId="0" applyNumberFormat="1"/>
    <xf numFmtId="165" fontId="0" fillId="15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right"/>
    </xf>
    <xf numFmtId="164" fontId="0" fillId="15" borderId="0" xfId="0" applyNumberFormat="1" applyFill="1"/>
    <xf numFmtId="0" fontId="2" fillId="0" borderId="0" xfId="0" applyFont="1"/>
    <xf numFmtId="167" fontId="2" fillId="2" borderId="0" xfId="0" applyNumberFormat="1" applyFont="1" applyFill="1"/>
    <xf numFmtId="167" fontId="0" fillId="15" borderId="0" xfId="0" applyNumberFormat="1" applyFont="1" applyFill="1"/>
    <xf numFmtId="2" fontId="0" fillId="2" borderId="0" xfId="0" applyNumberFormat="1" applyFill="1"/>
    <xf numFmtId="165" fontId="0" fillId="1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5" fontId="13" fillId="0" borderId="0" xfId="0" applyNumberFormat="1" applyFont="1"/>
    <xf numFmtId="0" fontId="0" fillId="7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'Logit 1 covariata'!$C$1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'Logit 1 covariata'!$A$2:$A$11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-7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-5</c:v>
                </c:pt>
                <c:pt idx="7">
                  <c:v>1</c:v>
                </c:pt>
                <c:pt idx="8">
                  <c:v>0</c:v>
                </c:pt>
                <c:pt idx="9">
                  <c:v>-17</c:v>
                </c:pt>
              </c:numCache>
            </c:numRef>
          </c:xVal>
          <c:yVal>
            <c:numRef>
              <c:f>'Logit 1 covariata'!$C$2:$C$11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9-41B2-AF9E-00EEDB60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97384"/>
        <c:axId val="271296400"/>
      </c:scatterChart>
      <c:valAx>
        <c:axId val="27129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296400"/>
        <c:crossesAt val="-20"/>
        <c:crossBetween val="midCat"/>
      </c:valAx>
      <c:valAx>
        <c:axId val="27129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297384"/>
        <c:crossesAt val="-2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Modello (non lineare) in probabilità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'Logit 1 covariata'!$BO$18:$BO$27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-7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-5</c:v>
                </c:pt>
                <c:pt idx="7">
                  <c:v>1</c:v>
                </c:pt>
                <c:pt idx="8">
                  <c:v>0</c:v>
                </c:pt>
                <c:pt idx="9">
                  <c:v>-17</c:v>
                </c:pt>
              </c:numCache>
            </c:numRef>
          </c:xVal>
          <c:yVal>
            <c:numRef>
              <c:f>'Logit 1 covariata'!$BQ$5:$BQ$14</c:f>
              <c:numCache>
                <c:formatCode>0.000</c:formatCode>
                <c:ptCount val="10"/>
                <c:pt idx="0">
                  <c:v>0.59731056452474662</c:v>
                </c:pt>
                <c:pt idx="1">
                  <c:v>0.77417547398992259</c:v>
                </c:pt>
                <c:pt idx="2">
                  <c:v>0.15444563620208931</c:v>
                </c:pt>
                <c:pt idx="3">
                  <c:v>0.52872217093941276</c:v>
                </c:pt>
                <c:pt idx="4">
                  <c:v>0.49384710635195389</c:v>
                </c:pt>
                <c:pt idx="5">
                  <c:v>0.52872217093941276</c:v>
                </c:pt>
                <c:pt idx="6">
                  <c:v>0.19452146271608853</c:v>
                </c:pt>
                <c:pt idx="7">
                  <c:v>0.35821377714353153</c:v>
                </c:pt>
                <c:pt idx="8">
                  <c:v>0.32678694629662963</c:v>
                </c:pt>
                <c:pt idx="9">
                  <c:v>4.325469089712744E-2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F8-4037-9182-450A3A22BAA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'Logit 1 covariata'!$BY$23:$BY$63</c:f>
              <c:numCache>
                <c:formatCode>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'Logit 1 covariata'!$BZ$23:$BZ$63</c:f>
              <c:numCache>
                <c:formatCode>0.00</c:formatCode>
                <c:ptCount val="41"/>
                <c:pt idx="0">
                  <c:v>2.8879574442244149E-2</c:v>
                </c:pt>
                <c:pt idx="1">
                  <c:v>3.3063982454517707E-2</c:v>
                </c:pt>
                <c:pt idx="2">
                  <c:v>3.7831057558414254E-2</c:v>
                </c:pt>
                <c:pt idx="3">
                  <c:v>4.325469089712744E-2</c:v>
                </c:pt>
                <c:pt idx="4">
                  <c:v>4.9415946630951356E-2</c:v>
                </c:pt>
                <c:pt idx="5">
                  <c:v>5.6403081579160443E-2</c:v>
                </c:pt>
                <c:pt idx="6">
                  <c:v>6.4311319125535379E-2</c:v>
                </c:pt>
                <c:pt idx="7">
                  <c:v>7.3242299174771347E-2</c:v>
                </c:pt>
                <c:pt idx="8">
                  <c:v>8.330311554370487E-2</c:v>
                </c:pt>
                <c:pt idx="9">
                  <c:v>9.4604845043467223E-2</c:v>
                </c:pt>
                <c:pt idx="10">
                  <c:v>0.10726047132179034</c:v>
                </c:pt>
                <c:pt idx="11">
                  <c:v>0.12138211466148</c:v>
                </c:pt>
                <c:pt idx="12">
                  <c:v>0.13707750027541937</c:v>
                </c:pt>
                <c:pt idx="13">
                  <c:v>0.15444563620208931</c:v>
                </c:pt>
                <c:pt idx="14">
                  <c:v>0.17357173101500958</c:v>
                </c:pt>
                <c:pt idx="15">
                  <c:v>0.19452146271608853</c:v>
                </c:pt>
                <c:pt idx="16">
                  <c:v>0.21733481160129159</c:v>
                </c:pt>
                <c:pt idx="17">
                  <c:v>0.24201978495532375</c:v>
                </c:pt>
                <c:pt idx="18">
                  <c:v>0.26854647753972816</c:v>
                </c:pt>
                <c:pt idx="19">
                  <c:v>0.29684201021480544</c:v>
                </c:pt>
                <c:pt idx="20">
                  <c:v>0.32678694629662963</c:v>
                </c:pt>
                <c:pt idx="21">
                  <c:v>0.35821377714353153</c:v>
                </c:pt>
                <c:pt idx="22">
                  <c:v>0.39090797569947899</c:v>
                </c:pt>
                <c:pt idx="23">
                  <c:v>0.42461193185172696</c:v>
                </c:pt>
                <c:pt idx="24">
                  <c:v>0.45903181684890942</c:v>
                </c:pt>
                <c:pt idx="25">
                  <c:v>0.49384710635195389</c:v>
                </c:pt>
                <c:pt idx="26">
                  <c:v>0.52872217093941276</c:v>
                </c:pt>
                <c:pt idx="27">
                  <c:v>0.56331907532751779</c:v>
                </c:pt>
                <c:pt idx="28">
                  <c:v>0.59731056452474662</c:v>
                </c:pt>
                <c:pt idx="29">
                  <c:v>0.63039218951328524</c:v>
                </c:pt>
                <c:pt idx="30">
                  <c:v>0.66229264210620731</c:v>
                </c:pt>
                <c:pt idx="31">
                  <c:v>0.69278160451413651</c:v>
                </c:pt>
                <c:pt idx="32">
                  <c:v>0.72167472762516638</c:v>
                </c:pt>
                <c:pt idx="33">
                  <c:v>0.74883567690930652</c:v>
                </c:pt>
                <c:pt idx="34">
                  <c:v>0.77417547398992259</c:v>
                </c:pt>
                <c:pt idx="35">
                  <c:v>0.79764957783533108</c:v>
                </c:pt>
                <c:pt idx="36">
                  <c:v>0.81925327472500331</c:v>
                </c:pt>
                <c:pt idx="37">
                  <c:v>0.83901598235912489</c:v>
                </c:pt>
                <c:pt idx="38">
                  <c:v>0.85699503661117826</c:v>
                </c:pt>
                <c:pt idx="39">
                  <c:v>0.87326944272651619</c:v>
                </c:pt>
                <c:pt idx="40">
                  <c:v>0.88793396048037787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F8-4037-9182-450A3A22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830704"/>
        <c:axId val="354580088"/>
      </c:scatterChart>
      <c:valAx>
        <c:axId val="5638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4580088"/>
        <c:crosses val="autoZero"/>
        <c:crossBetween val="midCat"/>
      </c:valAx>
      <c:valAx>
        <c:axId val="354580088"/>
        <c:scaling>
          <c:orientation val="minMax"/>
          <c:max val="0.999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30704"/>
        <c:crossesAt val="-20"/>
        <c:crossBetween val="midCat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Modello lineare nei Logit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'Logit 1 covariata'!$BY$23:$BY$63</c:f>
              <c:numCache>
                <c:formatCode>0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'Logit 1 covariata'!$CA$23:$CA$63</c:f>
              <c:numCache>
                <c:formatCode>0.00</c:formatCode>
                <c:ptCount val="41"/>
                <c:pt idx="0">
                  <c:v>-3.5153159042661088</c:v>
                </c:pt>
                <c:pt idx="1">
                  <c:v>-3.3756877807768655</c:v>
                </c:pt>
                <c:pt idx="2">
                  <c:v>-3.2360596572876217</c:v>
                </c:pt>
                <c:pt idx="3">
                  <c:v>-3.0964315337983783</c:v>
                </c:pt>
                <c:pt idx="4">
                  <c:v>-2.9568034103091345</c:v>
                </c:pt>
                <c:pt idx="5">
                  <c:v>-2.8171752868198907</c:v>
                </c:pt>
                <c:pt idx="6">
                  <c:v>-2.6775471633306474</c:v>
                </c:pt>
                <c:pt idx="7">
                  <c:v>-2.5379190398414035</c:v>
                </c:pt>
                <c:pt idx="8">
                  <c:v>-2.3982909163521597</c:v>
                </c:pt>
                <c:pt idx="9">
                  <c:v>-2.2586627928629164</c:v>
                </c:pt>
                <c:pt idx="10">
                  <c:v>-2.1190346693736726</c:v>
                </c:pt>
                <c:pt idx="11">
                  <c:v>-1.9794065458844288</c:v>
                </c:pt>
                <c:pt idx="12">
                  <c:v>-1.8397784223951854</c:v>
                </c:pt>
                <c:pt idx="13">
                  <c:v>-1.7001502989059416</c:v>
                </c:pt>
                <c:pt idx="14">
                  <c:v>-1.560522175416698</c:v>
                </c:pt>
                <c:pt idx="15">
                  <c:v>-1.4208940519274544</c:v>
                </c:pt>
                <c:pt idx="16">
                  <c:v>-1.2812659284382106</c:v>
                </c:pt>
                <c:pt idx="17">
                  <c:v>-1.141637804948967</c:v>
                </c:pt>
                <c:pt idx="18">
                  <c:v>-1.0020096814597235</c:v>
                </c:pt>
                <c:pt idx="19">
                  <c:v>-0.86238155797047988</c:v>
                </c:pt>
                <c:pt idx="20">
                  <c:v>-0.72275343448123619</c:v>
                </c:pt>
                <c:pt idx="21">
                  <c:v>-0.5831253109919925</c:v>
                </c:pt>
                <c:pt idx="22">
                  <c:v>-0.44349718750274891</c:v>
                </c:pt>
                <c:pt idx="23">
                  <c:v>-0.30386906401350527</c:v>
                </c:pt>
                <c:pt idx="24">
                  <c:v>-0.16424094052426164</c:v>
                </c:pt>
                <c:pt idx="25">
                  <c:v>-2.4612817035018053E-2</c:v>
                </c:pt>
                <c:pt idx="26">
                  <c:v>0.11501530645422564</c:v>
                </c:pt>
                <c:pt idx="27">
                  <c:v>0.25464342994346933</c:v>
                </c:pt>
                <c:pt idx="28">
                  <c:v>0.39427155343271292</c:v>
                </c:pt>
                <c:pt idx="29">
                  <c:v>0.5338996769219565</c:v>
                </c:pt>
                <c:pt idx="30">
                  <c:v>0.67352780041120008</c:v>
                </c:pt>
                <c:pt idx="31">
                  <c:v>0.81315592390044389</c:v>
                </c:pt>
                <c:pt idx="32">
                  <c:v>0.95278404738968747</c:v>
                </c:pt>
                <c:pt idx="33">
                  <c:v>1.0924121708789309</c:v>
                </c:pt>
                <c:pt idx="34">
                  <c:v>1.2320402943681747</c:v>
                </c:pt>
                <c:pt idx="35">
                  <c:v>1.3716684178574181</c:v>
                </c:pt>
                <c:pt idx="36">
                  <c:v>1.5112965413466619</c:v>
                </c:pt>
                <c:pt idx="37">
                  <c:v>1.6509246648359057</c:v>
                </c:pt>
                <c:pt idx="38">
                  <c:v>1.7905527883251491</c:v>
                </c:pt>
                <c:pt idx="39">
                  <c:v>1.9301809118143929</c:v>
                </c:pt>
                <c:pt idx="40">
                  <c:v>2.0698090353036362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9-486A-B70D-177597D8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816184"/>
        <c:axId val="723810280"/>
      </c:scatterChart>
      <c:valAx>
        <c:axId val="723816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3810280"/>
        <c:crosses val="autoZero"/>
        <c:crossBetween val="midCat"/>
      </c:valAx>
      <c:valAx>
        <c:axId val="7238102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381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3</xdr:col>
      <xdr:colOff>0</xdr:colOff>
      <xdr:row>24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4763</xdr:colOff>
      <xdr:row>3</xdr:row>
      <xdr:rowOff>14287</xdr:rowOff>
    </xdr:from>
    <xdr:to>
      <xdr:col>80</xdr:col>
      <xdr:colOff>42863</xdr:colOff>
      <xdr:row>18</xdr:row>
      <xdr:rowOff>33338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95250</xdr:colOff>
      <xdr:row>3</xdr:row>
      <xdr:rowOff>14287</xdr:rowOff>
    </xdr:from>
    <xdr:to>
      <xdr:col>87</xdr:col>
      <xdr:colOff>133350</xdr:colOff>
      <xdr:row>18</xdr:row>
      <xdr:rowOff>42862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113392</xdr:colOff>
      <xdr:row>60</xdr:row>
      <xdr:rowOff>22680</xdr:rowOff>
    </xdr:from>
    <xdr:to>
      <xdr:col>74</xdr:col>
      <xdr:colOff>260802</xdr:colOff>
      <xdr:row>66</xdr:row>
      <xdr:rowOff>72368</xdr:rowOff>
    </xdr:to>
    <xdr:sp macro="" textlink="">
      <xdr:nvSpPr>
        <xdr:cNvPr id="5" name="Rettangolo 4"/>
        <xdr:cNvSpPr/>
      </xdr:nvSpPr>
      <xdr:spPr>
        <a:xfrm>
          <a:off x="42227499" y="10908394"/>
          <a:ext cx="6803572" cy="11382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>
              <a:latin typeface="Courier New" panose="02070309020205020404" pitchFamily="49" charset="0"/>
              <a:cs typeface="Courier New" panose="02070309020205020404" pitchFamily="49" charset="0"/>
            </a:rPr>
            <a:t>Coefficients:</a:t>
          </a:r>
        </a:p>
        <a:p>
          <a:r>
            <a:rPr lang="it-IT">
              <a:latin typeface="Courier New" panose="02070309020205020404" pitchFamily="49" charset="0"/>
              <a:cs typeface="Courier New" panose="02070309020205020404" pitchFamily="49" charset="0"/>
            </a:rPr>
            <a:t>            Estimate Std. Error z value Pr(&gt;|z|)</a:t>
          </a:r>
        </a:p>
        <a:p>
          <a:r>
            <a:rPr lang="it-IT">
              <a:latin typeface="Courier New" panose="02070309020205020404" pitchFamily="49" charset="0"/>
              <a:cs typeface="Courier New" panose="02070309020205020404" pitchFamily="49" charset="0"/>
            </a:rPr>
            <a:t>(Intercept)  -0.7228     0.8133  </a:t>
          </a:r>
          <a:r>
            <a:rPr lang="it-IT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-0.889    </a:t>
          </a:r>
          <a:r>
            <a:rPr lang="it-IT" b="1">
              <a:latin typeface="Courier New" panose="02070309020205020404" pitchFamily="49" charset="0"/>
              <a:cs typeface="Courier New" panose="02070309020205020404" pitchFamily="49" charset="0"/>
            </a:rPr>
            <a:t>0.374</a:t>
          </a:r>
        </a:p>
        <a:p>
          <a:r>
            <a:rPr lang="it-IT">
              <a:latin typeface="Courier New" panose="02070309020205020404" pitchFamily="49" charset="0"/>
              <a:cs typeface="Courier New" panose="02070309020205020404" pitchFamily="49" charset="0"/>
            </a:rPr>
            <a:t>X[, 2]        0.1396     0.1155   </a:t>
          </a:r>
          <a:r>
            <a:rPr lang="it-IT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1.209</a:t>
          </a:r>
          <a:r>
            <a:rPr lang="it-IT">
              <a:latin typeface="Courier New" panose="02070309020205020404" pitchFamily="49" charset="0"/>
              <a:cs typeface="Courier New" panose="02070309020205020404" pitchFamily="49" charset="0"/>
            </a:rPr>
            <a:t>    </a:t>
          </a:r>
          <a:r>
            <a:rPr lang="it-IT" b="1">
              <a:latin typeface="Courier New" panose="02070309020205020404" pitchFamily="49" charset="0"/>
              <a:cs typeface="Courier New" panose="02070309020205020404" pitchFamily="49" charset="0"/>
            </a:rPr>
            <a:t>0.227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3"/>
  <sheetViews>
    <sheetView tabSelected="1" topLeftCell="BF1" zoomScale="96" zoomScaleNormal="96" workbookViewId="0">
      <selection activeCell="BM37" sqref="BM37"/>
    </sheetView>
  </sheetViews>
  <sheetFormatPr defaultRowHeight="14.25" x14ac:dyDescent="0.45"/>
  <cols>
    <col min="8" max="8" width="10.53125" bestFit="1" customWidth="1"/>
    <col min="9" max="9" width="9.796875" customWidth="1"/>
    <col min="10" max="10" width="9.73046875" bestFit="1" customWidth="1"/>
    <col min="11" max="11" width="14.06640625" customWidth="1"/>
    <col min="20" max="20" width="9.73046875" bestFit="1" customWidth="1"/>
    <col min="32" max="32" width="9.73046875" bestFit="1" customWidth="1"/>
    <col min="44" max="44" width="9.73046875" bestFit="1" customWidth="1"/>
    <col min="56" max="56" width="9.73046875" bestFit="1" customWidth="1"/>
    <col min="68" max="68" width="9.73046875" bestFit="1" customWidth="1"/>
    <col min="69" max="69" width="11.06640625" customWidth="1"/>
  </cols>
  <sheetData>
    <row r="1" spans="1:71" x14ac:dyDescent="0.45">
      <c r="A1" s="23" t="s">
        <v>0</v>
      </c>
      <c r="B1" s="1"/>
      <c r="C1" s="23" t="s">
        <v>1</v>
      </c>
      <c r="H1" s="87" t="s">
        <v>13</v>
      </c>
      <c r="I1" s="87"/>
      <c r="J1" s="87"/>
      <c r="K1" s="87"/>
      <c r="T1" s="90" t="s">
        <v>19</v>
      </c>
      <c r="U1" s="90"/>
      <c r="V1" s="90"/>
      <c r="W1" s="90"/>
      <c r="AF1" s="90" t="s">
        <v>20</v>
      </c>
      <c r="AG1" s="90"/>
      <c r="AH1" s="90"/>
      <c r="AI1" s="90"/>
      <c r="AR1" s="90" t="s">
        <v>21</v>
      </c>
      <c r="AS1" s="90"/>
      <c r="AT1" s="90"/>
      <c r="AU1" s="90"/>
      <c r="BD1" s="90" t="s">
        <v>22</v>
      </c>
      <c r="BE1" s="90"/>
      <c r="BF1" s="90"/>
      <c r="BG1" s="90"/>
      <c r="BP1" s="89" t="s">
        <v>23</v>
      </c>
      <c r="BQ1" s="89"/>
      <c r="BR1" s="89"/>
      <c r="BS1" s="89"/>
    </row>
    <row r="2" spans="1:71" x14ac:dyDescent="0.45">
      <c r="A2" s="1">
        <v>8</v>
      </c>
      <c r="B2" s="1"/>
      <c r="C2" s="1">
        <v>1</v>
      </c>
      <c r="F2">
        <f>EXP(I2)</f>
        <v>1</v>
      </c>
      <c r="H2" s="3" t="s">
        <v>3</v>
      </c>
      <c r="I2" s="3">
        <v>0</v>
      </c>
      <c r="K2" t="s">
        <v>89</v>
      </c>
      <c r="T2" s="3" t="s">
        <v>3</v>
      </c>
      <c r="U2" s="3">
        <f>I50</f>
        <v>-0.50923966708985802</v>
      </c>
      <c r="W2" t="s">
        <v>89</v>
      </c>
      <c r="AF2" s="3" t="s">
        <v>3</v>
      </c>
      <c r="AG2" s="3">
        <f>U50</f>
        <v>-0.68605515690902297</v>
      </c>
      <c r="AI2" t="s">
        <v>89</v>
      </c>
      <c r="AR2" s="3" t="s">
        <v>3</v>
      </c>
      <c r="AS2" s="3">
        <f>AG50</f>
        <v>-0.7215888148021895</v>
      </c>
      <c r="AU2" t="s">
        <v>89</v>
      </c>
      <c r="BD2" s="3" t="s">
        <v>3</v>
      </c>
      <c r="BE2" s="3">
        <f>AS50</f>
        <v>-0.72275226104491586</v>
      </c>
      <c r="BG2" t="s">
        <v>89</v>
      </c>
      <c r="BP2" s="3" t="s">
        <v>3</v>
      </c>
      <c r="BQ2" s="94">
        <f>BE50</f>
        <v>-0.72275343448123619</v>
      </c>
      <c r="BS2" t="s">
        <v>89</v>
      </c>
    </row>
    <row r="3" spans="1:71" x14ac:dyDescent="0.45">
      <c r="A3" s="1">
        <v>14</v>
      </c>
      <c r="B3" s="1"/>
      <c r="C3" s="1">
        <v>1</v>
      </c>
      <c r="F3">
        <f>EXP(I3)</f>
        <v>1</v>
      </c>
      <c r="H3" s="3" t="s">
        <v>4</v>
      </c>
      <c r="I3" s="3">
        <v>0</v>
      </c>
      <c r="K3" s="10">
        <f>$C2*LN(I5/(1-I5))</f>
        <v>0</v>
      </c>
      <c r="T3" s="3" t="s">
        <v>4</v>
      </c>
      <c r="U3" s="3">
        <f>I51</f>
        <v>9.930878826350685E-2</v>
      </c>
      <c r="W3" s="10">
        <f>$C2*LN(U5/(1-U5))</f>
        <v>0.2852306390181969</v>
      </c>
      <c r="AF3" s="3" t="s">
        <v>4</v>
      </c>
      <c r="AG3" s="3">
        <f>U51</f>
        <v>0.13283265765846314</v>
      </c>
      <c r="AI3" s="10">
        <f>$C2*LN(AG5/(1-AG5))</f>
        <v>0.3766061043586823</v>
      </c>
      <c r="AR3" s="3" t="s">
        <v>4</v>
      </c>
      <c r="AS3" s="3">
        <f>AG51</f>
        <v>0.13941516175174412</v>
      </c>
      <c r="AU3" s="10">
        <f>$C2*LN(AS5/(1-AS5))</f>
        <v>0.3937324792117633</v>
      </c>
      <c r="BD3" s="3" t="s">
        <v>4</v>
      </c>
      <c r="BE3" s="3">
        <f>AS51</f>
        <v>0.13962791004149766</v>
      </c>
      <c r="BG3" s="10">
        <f>$C2*LN(BE5/(1-BE5))</f>
        <v>0.39427101928706498</v>
      </c>
      <c r="BP3" s="3" t="s">
        <v>4</v>
      </c>
      <c r="BQ3" s="94">
        <f>BE51</f>
        <v>0.13962812348924364</v>
      </c>
      <c r="BS3" s="10">
        <f>$C2*LN(BQ5/(1-BQ5))</f>
        <v>0.39427155343271275</v>
      </c>
    </row>
    <row r="4" spans="1:71" x14ac:dyDescent="0.45">
      <c r="A4" s="1">
        <v>-7</v>
      </c>
      <c r="B4" s="1"/>
      <c r="C4" s="1">
        <v>0</v>
      </c>
      <c r="K4" s="10">
        <f t="shared" ref="K4:K12" si="0">$C3*LN(I6/(1-I6))</f>
        <v>0</v>
      </c>
      <c r="W4" s="10">
        <f t="shared" ref="W4:W12" si="1">$C3*LN(U6/(1-U6))</f>
        <v>0.88108336859923786</v>
      </c>
      <c r="AI4" s="10">
        <f t="shared" ref="AI4:AI12" si="2">$C3*LN(AG6/(1-AG6))</f>
        <v>1.1736020503094611</v>
      </c>
      <c r="AU4" s="10">
        <f t="shared" ref="AU4:AU12" si="3">$C3*LN(AS6/(1-AS6))</f>
        <v>1.2302234497222291</v>
      </c>
      <c r="BG4" s="10">
        <f t="shared" ref="BG4:BG12" si="4">$C3*LN(BE6/(1-BE6))</f>
        <v>1.2320384795360513</v>
      </c>
      <c r="BP4" t="s">
        <v>109</v>
      </c>
      <c r="BQ4">
        <v>0</v>
      </c>
      <c r="BS4" s="10">
        <f t="shared" ref="BS4:BS12" si="5">$C3*LN(BQ6/(1-BQ6))</f>
        <v>1.2320402943681745</v>
      </c>
    </row>
    <row r="5" spans="1:71" x14ac:dyDescent="0.45">
      <c r="A5" s="1">
        <v>6</v>
      </c>
      <c r="B5" s="1"/>
      <c r="C5" s="1">
        <v>0</v>
      </c>
      <c r="I5" s="5">
        <f>EXP(I$2+I$3*G18)/(1+EXP(I$2+I$3*G18))</f>
        <v>0.5</v>
      </c>
      <c r="K5" s="10">
        <f t="shared" si="0"/>
        <v>0</v>
      </c>
      <c r="U5" s="5">
        <f>EXP(U$2+U$3*S18)/(1+EXP(U$2+U$3*S18))</f>
        <v>0.57082811554305712</v>
      </c>
      <c r="W5" s="10">
        <f t="shared" si="1"/>
        <v>0</v>
      </c>
      <c r="AG5" s="5">
        <f>EXP(AG$2+AG$3*AE18)/(1+EXP(AG$2+AG$3*AE18))</f>
        <v>0.59305427648491504</v>
      </c>
      <c r="AI5" s="10">
        <f t="shared" si="2"/>
        <v>0</v>
      </c>
      <c r="AS5" s="5">
        <f>EXP(AS$2+AS$3*AQ18)/(1+EXP(AS$2+AS$3*AQ18))</f>
        <v>0.59718089385073558</v>
      </c>
      <c r="AU5" s="10">
        <f t="shared" si="3"/>
        <v>0</v>
      </c>
      <c r="BE5" s="5">
        <f>EXP(BE$2+BE$3*BC18)/(1+EXP(BE$2+BE$3*BC18))</f>
        <v>0.59731043604633793</v>
      </c>
      <c r="BG5" s="10">
        <f t="shared" si="4"/>
        <v>0</v>
      </c>
      <c r="BQ5" s="5">
        <f>EXP(BQ$2+BQ$3*BO18)/(1+EXP(BQ$2+BQ$3*BO18))</f>
        <v>0.59731056452474662</v>
      </c>
      <c r="BS5" s="10">
        <f t="shared" si="5"/>
        <v>0</v>
      </c>
    </row>
    <row r="6" spans="1:71" x14ac:dyDescent="0.45">
      <c r="A6" s="1">
        <v>5</v>
      </c>
      <c r="B6" s="1"/>
      <c r="C6" s="1">
        <v>1</v>
      </c>
      <c r="I6" s="5">
        <f t="shared" ref="I6:I14" si="6">EXP(I$2+I$3*G19)/(1+EXP(I$2+I$3*G19))</f>
        <v>0.5</v>
      </c>
      <c r="K6" s="10">
        <f t="shared" si="0"/>
        <v>0</v>
      </c>
      <c r="U6" s="5">
        <f t="shared" ref="U6:U14" si="7">EXP(U$2+U$3*S19)/(1+EXP(U$2+U$3*S19))</f>
        <v>0.7070466713711262</v>
      </c>
      <c r="W6" s="10">
        <f t="shared" si="1"/>
        <v>0</v>
      </c>
      <c r="AG6" s="5">
        <f t="shared" ref="AG6:AG14" si="8">EXP(AG$2+AG$3*AE19)/(1+EXP(AG$2+AG$3*AE19))</f>
        <v>0.76379548599335545</v>
      </c>
      <c r="AI6" s="10">
        <f t="shared" si="2"/>
        <v>0</v>
      </c>
      <c r="AS6" s="5">
        <f t="shared" ref="AS6:AS14" si="9">EXP(AS$2+AS$3*AQ19)/(1+EXP(AS$2+AS$3*AQ19))</f>
        <v>0.77385768080408834</v>
      </c>
      <c r="AU6" s="10">
        <f t="shared" si="3"/>
        <v>0</v>
      </c>
      <c r="BE6" s="5">
        <f t="shared" ref="BE6:BE14" si="10">EXP(BE$2+BE$3*BC19)/(1+EXP(BE$2+BE$3*BC19))</f>
        <v>0.77417515670664006</v>
      </c>
      <c r="BG6" s="10">
        <f t="shared" si="4"/>
        <v>0</v>
      </c>
      <c r="BQ6" s="5">
        <f t="shared" ref="BQ6:BQ13" si="11">EXP(BQ$2+BQ$3*BO19)/(1+EXP(BQ$2+BQ$3*BO19))</f>
        <v>0.77417547398992259</v>
      </c>
      <c r="BS6" s="10">
        <f t="shared" si="5"/>
        <v>0</v>
      </c>
    </row>
    <row r="7" spans="1:71" x14ac:dyDescent="0.45">
      <c r="A7" s="1">
        <v>6</v>
      </c>
      <c r="B7" s="1"/>
      <c r="C7" s="1">
        <v>0</v>
      </c>
      <c r="I7" s="5">
        <f t="shared" si="6"/>
        <v>0.5</v>
      </c>
      <c r="K7" s="10">
        <f t="shared" si="0"/>
        <v>0</v>
      </c>
      <c r="U7" s="5">
        <f t="shared" si="7"/>
        <v>0.23069319564477619</v>
      </c>
      <c r="W7" s="10">
        <f t="shared" si="1"/>
        <v>-1.2695725772323722E-2</v>
      </c>
      <c r="AG7" s="5">
        <f t="shared" si="8"/>
        <v>0.16577333251348014</v>
      </c>
      <c r="AI7" s="10">
        <f t="shared" si="2"/>
        <v>-2.189186861670725E-2</v>
      </c>
      <c r="AS7" s="5">
        <f t="shared" si="9"/>
        <v>0.1547927226637878</v>
      </c>
      <c r="AU7" s="10">
        <f t="shared" si="3"/>
        <v>-2.4513006043469187E-2</v>
      </c>
      <c r="BE7" s="5">
        <f t="shared" si="10"/>
        <v>0.15444598456626729</v>
      </c>
      <c r="BG7" s="10">
        <f t="shared" si="4"/>
        <v>-2.4612710837427679E-2</v>
      </c>
      <c r="BQ7" s="5">
        <f t="shared" si="11"/>
        <v>0.15444563620208931</v>
      </c>
      <c r="BS7" s="10">
        <f t="shared" si="5"/>
        <v>-2.4612817035018275E-2</v>
      </c>
    </row>
    <row r="8" spans="1:71" x14ac:dyDescent="0.45">
      <c r="A8" s="1">
        <v>-5</v>
      </c>
      <c r="B8" s="1"/>
      <c r="C8" s="1">
        <v>1</v>
      </c>
      <c r="I8" s="5">
        <f t="shared" si="6"/>
        <v>0.5</v>
      </c>
      <c r="K8" s="10">
        <f t="shared" si="0"/>
        <v>0</v>
      </c>
      <c r="U8" s="5">
        <f t="shared" si="7"/>
        <v>0.52163973919022111</v>
      </c>
      <c r="W8" s="10">
        <f t="shared" si="1"/>
        <v>0</v>
      </c>
      <c r="AG8" s="5">
        <f t="shared" si="8"/>
        <v>0.52770678548805494</v>
      </c>
      <c r="AI8" s="10">
        <f t="shared" si="2"/>
        <v>0</v>
      </c>
      <c r="AS8" s="5">
        <f t="shared" si="9"/>
        <v>0.52869397650651573</v>
      </c>
      <c r="AU8" s="10">
        <f t="shared" si="3"/>
        <v>0</v>
      </c>
      <c r="BE8" s="5">
        <f t="shared" si="10"/>
        <v>0.52872214421535124</v>
      </c>
      <c r="BG8" s="10">
        <f t="shared" si="4"/>
        <v>0</v>
      </c>
      <c r="BQ8" s="5">
        <f t="shared" si="11"/>
        <v>0.52872217093941276</v>
      </c>
      <c r="BS8" s="10">
        <f t="shared" si="5"/>
        <v>0</v>
      </c>
    </row>
    <row r="9" spans="1:71" x14ac:dyDescent="0.45">
      <c r="A9" s="1">
        <v>1</v>
      </c>
      <c r="B9" s="1"/>
      <c r="C9" s="1">
        <v>0</v>
      </c>
      <c r="H9" s="2" t="s">
        <v>5</v>
      </c>
      <c r="I9" s="5">
        <f>EXP(I$2+I$3*G22)/(1+EXP(I$2+I$3*G22))</f>
        <v>0.5</v>
      </c>
      <c r="K9" s="10">
        <f t="shared" si="0"/>
        <v>0</v>
      </c>
      <c r="T9" s="2" t="s">
        <v>5</v>
      </c>
      <c r="U9" s="5">
        <f t="shared" si="7"/>
        <v>0.4968261111878054</v>
      </c>
      <c r="W9" s="10">
        <f t="shared" si="1"/>
        <v>-1.0057836084073923</v>
      </c>
      <c r="AF9" s="2" t="s">
        <v>5</v>
      </c>
      <c r="AG9" s="5">
        <f t="shared" si="8"/>
        <v>0.49452725141375792</v>
      </c>
      <c r="AI9" s="10">
        <f t="shared" si="2"/>
        <v>-1.3502184452013388</v>
      </c>
      <c r="AR9" s="2" t="s">
        <v>5</v>
      </c>
      <c r="AS9" s="5">
        <f t="shared" si="9"/>
        <v>0.49387205533648776</v>
      </c>
      <c r="AU9" s="10">
        <f t="shared" si="3"/>
        <v>-1.4186646235609102</v>
      </c>
      <c r="BD9" s="2" t="s">
        <v>5</v>
      </c>
      <c r="BE9" s="5">
        <f t="shared" si="10"/>
        <v>0.49384713289733112</v>
      </c>
      <c r="BG9" s="10">
        <f t="shared" si="4"/>
        <v>-1.4208918112524038</v>
      </c>
      <c r="BP9" s="2" t="s">
        <v>5</v>
      </c>
      <c r="BQ9" s="5">
        <f t="shared" si="11"/>
        <v>0.49384710635195389</v>
      </c>
      <c r="BS9" s="10">
        <f t="shared" si="5"/>
        <v>-1.4208940519274544</v>
      </c>
    </row>
    <row r="10" spans="1:71" x14ac:dyDescent="0.45">
      <c r="A10" s="1">
        <v>0</v>
      </c>
      <c r="B10" s="1"/>
      <c r="C10" s="1">
        <v>0</v>
      </c>
      <c r="I10" s="5">
        <f t="shared" si="6"/>
        <v>0.5</v>
      </c>
      <c r="K10" s="10">
        <f t="shared" si="0"/>
        <v>0</v>
      </c>
      <c r="U10" s="5">
        <f t="shared" si="7"/>
        <v>0.52163973919022111</v>
      </c>
      <c r="W10" s="10">
        <f t="shared" si="1"/>
        <v>0</v>
      </c>
      <c r="AG10" s="5">
        <f t="shared" si="8"/>
        <v>0.52770678548805494</v>
      </c>
      <c r="AI10" s="10">
        <f t="shared" si="2"/>
        <v>0</v>
      </c>
      <c r="AS10" s="5">
        <f t="shared" si="9"/>
        <v>0.52869397650651573</v>
      </c>
      <c r="AU10" s="10">
        <f t="shared" si="3"/>
        <v>0</v>
      </c>
      <c r="BE10" s="5">
        <f t="shared" si="10"/>
        <v>0.52872214421535124</v>
      </c>
      <c r="BG10" s="10">
        <f t="shared" si="4"/>
        <v>0</v>
      </c>
      <c r="BJ10">
        <f>$BS3*(1-$BS3)</f>
        <v>0.23882149558646826</v>
      </c>
      <c r="BQ10" s="5">
        <f t="shared" si="11"/>
        <v>0.52872217093941276</v>
      </c>
      <c r="BS10" s="10">
        <f t="shared" si="5"/>
        <v>0</v>
      </c>
    </row>
    <row r="11" spans="1:71" x14ac:dyDescent="0.45">
      <c r="A11" s="1">
        <v>-17</v>
      </c>
      <c r="B11" s="1"/>
      <c r="C11" s="1">
        <v>0</v>
      </c>
      <c r="I11" s="5">
        <f t="shared" si="6"/>
        <v>0.5</v>
      </c>
      <c r="K11" s="10">
        <f t="shared" si="0"/>
        <v>0</v>
      </c>
      <c r="U11" s="5">
        <f t="shared" si="7"/>
        <v>0.26780581567474293</v>
      </c>
      <c r="W11" s="10">
        <f t="shared" si="1"/>
        <v>0</v>
      </c>
      <c r="AG11" s="5">
        <f t="shared" si="8"/>
        <v>0.20583466097850653</v>
      </c>
      <c r="AI11" s="10">
        <f t="shared" si="2"/>
        <v>0</v>
      </c>
      <c r="AS11" s="5">
        <f t="shared" si="9"/>
        <v>0.19487101385039074</v>
      </c>
      <c r="AU11" s="10">
        <f t="shared" si="3"/>
        <v>0</v>
      </c>
      <c r="BE11" s="5">
        <f t="shared" si="10"/>
        <v>0.19452181379171138</v>
      </c>
      <c r="BG11" s="10">
        <f t="shared" si="4"/>
        <v>0</v>
      </c>
      <c r="BK11">
        <f>$BS4*(1-$BS4)</f>
        <v>-0.28588299257864364</v>
      </c>
      <c r="BQ11" s="5">
        <f t="shared" si="11"/>
        <v>0.19452146271608853</v>
      </c>
      <c r="BS11" s="10">
        <f t="shared" si="5"/>
        <v>0</v>
      </c>
    </row>
    <row r="12" spans="1:71" x14ac:dyDescent="0.45">
      <c r="I12" s="5">
        <f t="shared" si="6"/>
        <v>0.5</v>
      </c>
      <c r="K12" s="10">
        <f t="shared" si="0"/>
        <v>0</v>
      </c>
      <c r="U12" s="5">
        <f t="shared" si="7"/>
        <v>0.39892869522821151</v>
      </c>
      <c r="W12" s="10">
        <f t="shared" si="1"/>
        <v>0</v>
      </c>
      <c r="AG12" s="5">
        <f t="shared" si="8"/>
        <v>0.36511708821028083</v>
      </c>
      <c r="AI12" s="10">
        <f t="shared" si="2"/>
        <v>0</v>
      </c>
      <c r="AS12" s="5">
        <f t="shared" si="9"/>
        <v>0.35843258964071556</v>
      </c>
      <c r="AU12" s="10">
        <f t="shared" si="3"/>
        <v>0</v>
      </c>
      <c r="BE12" s="5">
        <f t="shared" si="10"/>
        <v>0.35821399784173519</v>
      </c>
      <c r="BG12" s="10">
        <f t="shared" si="4"/>
        <v>0</v>
      </c>
      <c r="BL12">
        <f>$BS5*(1-$BS5)</f>
        <v>0</v>
      </c>
      <c r="BQ12" s="5">
        <f t="shared" si="11"/>
        <v>0.35821377714353153</v>
      </c>
      <c r="BS12" s="10">
        <f t="shared" si="5"/>
        <v>0</v>
      </c>
    </row>
    <row r="13" spans="1:71" x14ac:dyDescent="0.45">
      <c r="I13" s="5">
        <f t="shared" si="6"/>
        <v>0.5</v>
      </c>
      <c r="K13" t="s">
        <v>11</v>
      </c>
      <c r="U13" s="5">
        <f t="shared" si="7"/>
        <v>0.37537178222185336</v>
      </c>
      <c r="W13" t="s">
        <v>11</v>
      </c>
      <c r="AG13" s="5">
        <f t="shared" si="8"/>
        <v>0.33491119701673505</v>
      </c>
      <c r="AI13" t="s">
        <v>11</v>
      </c>
      <c r="AS13" s="5">
        <f t="shared" si="9"/>
        <v>0.3270432110760163</v>
      </c>
      <c r="AU13" t="s">
        <v>11</v>
      </c>
      <c r="BE13" s="5">
        <f t="shared" si="10"/>
        <v>0.32678720444943155</v>
      </c>
      <c r="BG13" t="s">
        <v>11</v>
      </c>
      <c r="BQ13" s="5">
        <f t="shared" si="11"/>
        <v>0.32678694629662963</v>
      </c>
      <c r="BS13" t="s">
        <v>11</v>
      </c>
    </row>
    <row r="14" spans="1:71" x14ac:dyDescent="0.45">
      <c r="I14" s="5">
        <f t="shared" si="6"/>
        <v>0.5</v>
      </c>
      <c r="K14" s="10">
        <f>-LN(1+EXP(I$2+I$3*$G18))</f>
        <v>-0.69314718055994529</v>
      </c>
      <c r="U14" s="5">
        <f t="shared" si="7"/>
        <v>9.9976198397262378E-2</v>
      </c>
      <c r="W14" s="10">
        <f>-LN(1+EXP(U$2+U$3*$G18))</f>
        <v>-0.84589777722833759</v>
      </c>
      <c r="AG14" s="5">
        <f t="shared" si="8"/>
        <v>5.0010861615510993E-2</v>
      </c>
      <c r="AI14" s="10">
        <f>-LN(1+EXP(AG$2+AG$3*$G18))</f>
        <v>-0.89907545988923188</v>
      </c>
      <c r="AS14" s="5">
        <f t="shared" si="9"/>
        <v>4.3453144079105811E-2</v>
      </c>
      <c r="AU14" s="10">
        <f>-LN(1+EXP(AS$2+AS$3*$G18))</f>
        <v>-0.90926768592287266</v>
      </c>
      <c r="BE14" s="5">
        <f t="shared" si="10"/>
        <v>4.3254889624185805E-2</v>
      </c>
      <c r="BG14" s="10">
        <f>-LN(1+EXP(BE$2+BE$3*$G18))</f>
        <v>-0.90958932664885683</v>
      </c>
      <c r="BQ14" s="5">
        <f>EXP(BQ$2+BQ$3*BO27)/(1+EXP(BQ$2+BQ$3*BO27))</f>
        <v>4.325469089712744E-2</v>
      </c>
      <c r="BS14" s="10">
        <f>-LN(1+EXP(BQ$2+BQ$3*$G18))</f>
        <v>-0.90958964569966072</v>
      </c>
    </row>
    <row r="15" spans="1:71" x14ac:dyDescent="0.45">
      <c r="K15" s="10">
        <f t="shared" ref="K15:K23" si="12">-LN(1+EXP(I$2+I$3*$G19))</f>
        <v>-0.69314718055994529</v>
      </c>
      <c r="W15" s="10">
        <f t="shared" ref="W15:W23" si="13">-LN(1+EXP(U$2+U$3*$G19))</f>
        <v>-1.2277419706088057</v>
      </c>
      <c r="AI15" s="10">
        <f t="shared" ref="AI15:AI23" si="14">-LN(1+EXP(AG$2+AG$3*$G19))</f>
        <v>-1.4430572644504092</v>
      </c>
      <c r="AU15" s="10">
        <f t="shared" ref="AU15:AU23" si="15">-LN(1+EXP(AS$2+AS$3*$G19))</f>
        <v>-1.4865907469518245</v>
      </c>
      <c r="BG15" s="10">
        <f t="shared" ref="BG15:BG23" si="16">-LN(1+EXP(BE$2+BE$3*$G19))</f>
        <v>-1.4879956098760183</v>
      </c>
      <c r="BS15" s="10">
        <f t="shared" ref="BS15:BS23" si="17">-LN(1+EXP(BQ$2+BQ$3*$G19))</f>
        <v>-1.4879970148742496</v>
      </c>
    </row>
    <row r="16" spans="1:71" x14ac:dyDescent="0.45">
      <c r="K16" s="10">
        <f t="shared" si="12"/>
        <v>-0.69314718055994529</v>
      </c>
      <c r="W16" s="10">
        <f t="shared" si="13"/>
        <v>-0.26226542369061062</v>
      </c>
      <c r="AI16" s="10">
        <f t="shared" si="14"/>
        <v>-0.18125012999287257</v>
      </c>
      <c r="AU16" s="10">
        <f t="shared" si="15"/>
        <v>-0.16817338308301497</v>
      </c>
      <c r="BG16" s="10">
        <f t="shared" si="16"/>
        <v>-0.16776322689613724</v>
      </c>
      <c r="BS16" s="10">
        <f t="shared" si="17"/>
        <v>-0.16776281490104314</v>
      </c>
    </row>
    <row r="17" spans="6:85" x14ac:dyDescent="0.45">
      <c r="F17" s="88" t="s">
        <v>2</v>
      </c>
      <c r="G17" s="88"/>
      <c r="K17" s="10">
        <f t="shared" si="12"/>
        <v>-0.69314718055994529</v>
      </c>
      <c r="R17" s="88" t="s">
        <v>2</v>
      </c>
      <c r="S17" s="88"/>
      <c r="W17" s="10">
        <f t="shared" si="13"/>
        <v>-0.73739114666514993</v>
      </c>
      <c r="AD17" s="88" t="s">
        <v>2</v>
      </c>
      <c r="AE17" s="88"/>
      <c r="AI17" s="10">
        <f t="shared" si="14"/>
        <v>-0.75015526908577945</v>
      </c>
      <c r="AP17" s="88" t="s">
        <v>2</v>
      </c>
      <c r="AQ17" s="88"/>
      <c r="AU17" s="10">
        <f t="shared" si="15"/>
        <v>-0.75224766454111558</v>
      </c>
      <c r="BB17" s="88" t="s">
        <v>2</v>
      </c>
      <c r="BC17" s="88"/>
      <c r="BG17" s="10">
        <f t="shared" si="16"/>
        <v>-0.75230743154851543</v>
      </c>
      <c r="BN17" s="88" t="s">
        <v>2</v>
      </c>
      <c r="BO17" s="88"/>
      <c r="BS17" s="10">
        <f t="shared" si="17"/>
        <v>-0.75230748825404936</v>
      </c>
    </row>
    <row r="18" spans="6:85" x14ac:dyDescent="0.45">
      <c r="F18" s="1">
        <v>1</v>
      </c>
      <c r="G18" s="1">
        <v>8</v>
      </c>
      <c r="I18" s="5">
        <f>$C2-I5</f>
        <v>0.5</v>
      </c>
      <c r="K18" s="10">
        <f t="shared" si="12"/>
        <v>-0.69314718055994529</v>
      </c>
      <c r="R18" s="1">
        <v>1</v>
      </c>
      <c r="S18" s="1">
        <v>8</v>
      </c>
      <c r="U18" s="5">
        <f>$C2-U5</f>
        <v>0.42917188445694288</v>
      </c>
      <c r="W18" s="10">
        <f t="shared" si="13"/>
        <v>-0.68681946522008597</v>
      </c>
      <c r="AD18" s="1">
        <v>1</v>
      </c>
      <c r="AE18" s="1">
        <v>8</v>
      </c>
      <c r="AG18" s="5">
        <f>$C2-AG5</f>
        <v>0.40694572351508496</v>
      </c>
      <c r="AI18" s="10">
        <f t="shared" si="14"/>
        <v>-0.6822611517942988</v>
      </c>
      <c r="AP18" s="1">
        <v>1</v>
      </c>
      <c r="AQ18" s="1">
        <v>8</v>
      </c>
      <c r="AS18" s="5">
        <f>$C2-AS5</f>
        <v>0.40281910614926442</v>
      </c>
      <c r="AU18" s="10">
        <f t="shared" si="15"/>
        <v>-0.68096578659089624</v>
      </c>
      <c r="BB18" s="1">
        <v>1</v>
      </c>
      <c r="BC18" s="1">
        <v>8</v>
      </c>
      <c r="BE18" s="5">
        <f>$C2-BE5</f>
        <v>0.40268956395366207</v>
      </c>
      <c r="BG18" s="10">
        <f t="shared" si="16"/>
        <v>-0.68091654642182065</v>
      </c>
      <c r="BN18" s="1">
        <v>1</v>
      </c>
      <c r="BO18" s="1">
        <v>8</v>
      </c>
      <c r="BQ18" s="5">
        <f>$C2-BQ5</f>
        <v>0.40268943547525338</v>
      </c>
      <c r="BS18" s="10">
        <f t="shared" si="17"/>
        <v>-0.68091649397644649</v>
      </c>
    </row>
    <row r="19" spans="6:85" x14ac:dyDescent="0.45">
      <c r="F19" s="1">
        <v>1</v>
      </c>
      <c r="G19" s="1">
        <v>14</v>
      </c>
      <c r="I19" s="5">
        <f>$C3-I6</f>
        <v>0.5</v>
      </c>
      <c r="K19" s="10">
        <f t="shared" si="12"/>
        <v>-0.69314718055994529</v>
      </c>
      <c r="R19" s="1">
        <v>1</v>
      </c>
      <c r="S19" s="1">
        <v>14</v>
      </c>
      <c r="U19" s="5">
        <f>$C3-U6</f>
        <v>0.2929533286288738</v>
      </c>
      <c r="W19" s="10">
        <f t="shared" si="13"/>
        <v>-0.73739114666514993</v>
      </c>
      <c r="AD19" s="1">
        <v>1</v>
      </c>
      <c r="AE19" s="1">
        <v>14</v>
      </c>
      <c r="AG19" s="5">
        <f>$C3-AG6</f>
        <v>0.23620451400664455</v>
      </c>
      <c r="AI19" s="10">
        <f t="shared" si="14"/>
        <v>-0.75015526908577945</v>
      </c>
      <c r="AP19" s="1">
        <v>1</v>
      </c>
      <c r="AQ19" s="1">
        <v>14</v>
      </c>
      <c r="AS19" s="5">
        <f>$C3-AS6</f>
        <v>0.22614231919591166</v>
      </c>
      <c r="AU19" s="10">
        <f t="shared" si="15"/>
        <v>-0.75224766454111558</v>
      </c>
      <c r="BB19" s="1">
        <v>1</v>
      </c>
      <c r="BC19" s="1">
        <v>14</v>
      </c>
      <c r="BE19" s="5">
        <f>$C3-BE6</f>
        <v>0.22582484329335994</v>
      </c>
      <c r="BG19" s="10">
        <f t="shared" si="16"/>
        <v>-0.75230743154851543</v>
      </c>
      <c r="BN19" s="1">
        <v>1</v>
      </c>
      <c r="BO19" s="1">
        <v>14</v>
      </c>
      <c r="BQ19" s="5">
        <f>$C3-BQ6</f>
        <v>0.22582452601007741</v>
      </c>
      <c r="BS19" s="10">
        <f t="shared" si="17"/>
        <v>-0.75230748825404936</v>
      </c>
    </row>
    <row r="20" spans="6:85" x14ac:dyDescent="0.45">
      <c r="F20" s="1">
        <v>1</v>
      </c>
      <c r="G20" s="1">
        <v>-7</v>
      </c>
      <c r="I20" s="5">
        <f t="shared" ref="I20:I26" si="18">$C4-I7</f>
        <v>-0.5</v>
      </c>
      <c r="K20" s="10">
        <f t="shared" si="12"/>
        <v>-0.69314718055994529</v>
      </c>
      <c r="R20" s="1">
        <v>1</v>
      </c>
      <c r="S20" s="1">
        <v>-7</v>
      </c>
      <c r="U20" s="5">
        <f t="shared" ref="U20:U26" si="19">$C4-U7</f>
        <v>-0.23069319564477619</v>
      </c>
      <c r="W20" s="10">
        <f t="shared" si="13"/>
        <v>-0.31170952106824812</v>
      </c>
      <c r="AD20" s="1">
        <v>1</v>
      </c>
      <c r="AE20" s="1">
        <v>-7</v>
      </c>
      <c r="AG20" s="5">
        <f t="shared" ref="AG20:AG26" si="20">$C4-AG7</f>
        <v>-0.16577333251348014</v>
      </c>
      <c r="AI20" s="10">
        <f t="shared" si="14"/>
        <v>-0.23046360386957021</v>
      </c>
      <c r="AP20" s="1">
        <v>1</v>
      </c>
      <c r="AQ20" s="1">
        <v>-7</v>
      </c>
      <c r="AS20" s="5">
        <f t="shared" ref="AS20:AS26" si="21">$C4-AS7</f>
        <v>-0.1547927226637878</v>
      </c>
      <c r="AU20" s="10">
        <f t="shared" si="15"/>
        <v>-0.21675278315747737</v>
      </c>
      <c r="BB20" s="1">
        <v>1</v>
      </c>
      <c r="BC20" s="1">
        <v>-7</v>
      </c>
      <c r="BE20" s="5">
        <f t="shared" ref="BE20:BE26" si="22">$C4-BE7</f>
        <v>-0.15444598456626729</v>
      </c>
      <c r="BG20" s="10">
        <f t="shared" si="16"/>
        <v>-0.21631915778917615</v>
      </c>
      <c r="BN20" s="1">
        <v>1</v>
      </c>
      <c r="BO20" s="1">
        <v>-7</v>
      </c>
      <c r="BQ20" s="5">
        <f t="shared" ref="BQ20:BQ26" si="23">$C4-BQ7</f>
        <v>-0.15444563620208931</v>
      </c>
      <c r="BS20" s="10">
        <f t="shared" si="17"/>
        <v>-0.21631872192939455</v>
      </c>
    </row>
    <row r="21" spans="6:85" x14ac:dyDescent="0.45">
      <c r="F21" s="1">
        <v>1</v>
      </c>
      <c r="G21" s="1">
        <v>6</v>
      </c>
      <c r="H21" s="2"/>
      <c r="I21" s="5">
        <f t="shared" si="18"/>
        <v>-0.5</v>
      </c>
      <c r="K21" s="10">
        <f t="shared" si="12"/>
        <v>-0.69314718055994529</v>
      </c>
      <c r="R21" s="1">
        <v>1</v>
      </c>
      <c r="S21" s="1">
        <v>6</v>
      </c>
      <c r="T21" s="2"/>
      <c r="U21" s="5">
        <f t="shared" si="19"/>
        <v>-0.52163973919022111</v>
      </c>
      <c r="W21" s="10">
        <f t="shared" si="13"/>
        <v>-0.50904170793744941</v>
      </c>
      <c r="AD21" s="1">
        <v>1</v>
      </c>
      <c r="AE21" s="1">
        <v>6</v>
      </c>
      <c r="AF21" s="2"/>
      <c r="AG21" s="5">
        <f t="shared" si="20"/>
        <v>-0.52770678548805494</v>
      </c>
      <c r="AI21" s="10">
        <f t="shared" si="14"/>
        <v>-0.45431468797386609</v>
      </c>
      <c r="AP21" s="1">
        <v>1</v>
      </c>
      <c r="AQ21" s="1">
        <v>6</v>
      </c>
      <c r="AR21" s="2"/>
      <c r="AS21" s="5">
        <f t="shared" si="21"/>
        <v>-0.52869397650651573</v>
      </c>
      <c r="AU21" s="10">
        <f t="shared" si="15"/>
        <v>-0.44384101804770654</v>
      </c>
      <c r="BB21" s="1">
        <v>1</v>
      </c>
      <c r="BC21" s="1">
        <v>6</v>
      </c>
      <c r="BD21" s="2"/>
      <c r="BE21" s="5">
        <f t="shared" si="22"/>
        <v>-0.52872214421535124</v>
      </c>
      <c r="BG21" s="10">
        <f t="shared" si="16"/>
        <v>-0.44350036083050937</v>
      </c>
      <c r="BN21" s="1">
        <v>1</v>
      </c>
      <c r="BO21" s="1">
        <v>6</v>
      </c>
      <c r="BP21" s="2"/>
      <c r="BQ21" s="5">
        <f t="shared" si="23"/>
        <v>-0.52872217093941276</v>
      </c>
      <c r="BS21" s="10">
        <f t="shared" si="17"/>
        <v>-0.4435000169492701</v>
      </c>
    </row>
    <row r="22" spans="6:85" x14ac:dyDescent="0.45">
      <c r="F22" s="1">
        <v>1</v>
      </c>
      <c r="G22" s="1">
        <v>5</v>
      </c>
      <c r="H22" s="2" t="s">
        <v>6</v>
      </c>
      <c r="I22" s="5">
        <f t="shared" si="18"/>
        <v>0.5</v>
      </c>
      <c r="K22" s="10">
        <f t="shared" si="12"/>
        <v>-0.69314718055994529</v>
      </c>
      <c r="R22" s="1">
        <v>1</v>
      </c>
      <c r="S22" s="1">
        <v>5</v>
      </c>
      <c r="T22" s="2" t="s">
        <v>6</v>
      </c>
      <c r="U22" s="5">
        <f t="shared" si="19"/>
        <v>0.5031738888121946</v>
      </c>
      <c r="W22" s="10">
        <f t="shared" si="13"/>
        <v>-0.47059865779508081</v>
      </c>
      <c r="AD22" s="1">
        <v>1</v>
      </c>
      <c r="AE22" s="1">
        <v>5</v>
      </c>
      <c r="AF22" s="2" t="s">
        <v>6</v>
      </c>
      <c r="AG22" s="5">
        <f t="shared" si="20"/>
        <v>0.50547274858624203</v>
      </c>
      <c r="AI22" s="10">
        <f t="shared" si="14"/>
        <v>-0.40783470892103157</v>
      </c>
      <c r="AP22" s="1">
        <v>1</v>
      </c>
      <c r="AQ22" s="1">
        <v>5</v>
      </c>
      <c r="AR22" s="2" t="s">
        <v>6</v>
      </c>
      <c r="AS22" s="5">
        <f t="shared" si="21"/>
        <v>0.5061279446635123</v>
      </c>
      <c r="AU22" s="10">
        <f t="shared" si="15"/>
        <v>-0.39607415804958601</v>
      </c>
      <c r="BB22" s="1">
        <v>1</v>
      </c>
      <c r="BC22" s="1">
        <v>5</v>
      </c>
      <c r="BD22" s="2" t="s">
        <v>6</v>
      </c>
      <c r="BE22" s="5">
        <f t="shared" si="22"/>
        <v>0.50615286710266894</v>
      </c>
      <c r="BG22" s="10">
        <f t="shared" si="16"/>
        <v>-0.39569380978942087</v>
      </c>
      <c r="BN22" s="1">
        <v>1</v>
      </c>
      <c r="BO22" s="1">
        <v>5</v>
      </c>
      <c r="BP22" s="2" t="s">
        <v>6</v>
      </c>
      <c r="BQ22" s="5">
        <f t="shared" si="23"/>
        <v>0.50615289364804616</v>
      </c>
      <c r="BS22" s="10">
        <f t="shared" si="17"/>
        <v>-0.39569342632559762</v>
      </c>
      <c r="BZ22" t="s">
        <v>27</v>
      </c>
      <c r="CA22" t="s">
        <v>24</v>
      </c>
      <c r="CE22" s="8" t="s">
        <v>24</v>
      </c>
      <c r="CF22" s="8" t="s">
        <v>25</v>
      </c>
    </row>
    <row r="23" spans="6:85" x14ac:dyDescent="0.45">
      <c r="F23" s="1">
        <v>1</v>
      </c>
      <c r="G23" s="1">
        <v>6</v>
      </c>
      <c r="I23" s="5">
        <f t="shared" si="18"/>
        <v>-0.5</v>
      </c>
      <c r="K23" s="10">
        <f t="shared" si="12"/>
        <v>-0.69314718055994529</v>
      </c>
      <c r="R23" s="1">
        <v>1</v>
      </c>
      <c r="S23" s="1">
        <v>6</v>
      </c>
      <c r="U23" s="5">
        <f t="shared" si="19"/>
        <v>-0.52163973919022111</v>
      </c>
      <c r="W23" s="10">
        <f t="shared" si="13"/>
        <v>-0.1053340697822575</v>
      </c>
      <c r="AD23" s="1">
        <v>1</v>
      </c>
      <c r="AE23" s="1">
        <v>6</v>
      </c>
      <c r="AG23" s="5">
        <f t="shared" si="20"/>
        <v>-0.52770678548805494</v>
      </c>
      <c r="AI23" s="10">
        <f t="shared" si="14"/>
        <v>-5.130472773239618E-2</v>
      </c>
      <c r="AP23" s="1">
        <v>1</v>
      </c>
      <c r="AQ23" s="1">
        <v>6</v>
      </c>
      <c r="AS23" s="5">
        <f t="shared" si="21"/>
        <v>-0.52869397650651573</v>
      </c>
      <c r="AU23" s="10">
        <f t="shared" si="15"/>
        <v>-4.4425504452828168E-2</v>
      </c>
      <c r="BB23" s="1">
        <v>1</v>
      </c>
      <c r="BC23" s="1">
        <v>6</v>
      </c>
      <c r="BE23" s="5">
        <f t="shared" si="22"/>
        <v>-0.52872214421535124</v>
      </c>
      <c r="BG23" s="10">
        <f t="shared" si="16"/>
        <v>-4.4218265349626217E-2</v>
      </c>
      <c r="BN23" s="1">
        <v>1</v>
      </c>
      <c r="BO23" s="1">
        <v>6</v>
      </c>
      <c r="BQ23" s="5">
        <f t="shared" si="23"/>
        <v>-0.52872217093941276</v>
      </c>
      <c r="BS23" s="10">
        <f t="shared" si="17"/>
        <v>-4.4218057638046905E-2</v>
      </c>
      <c r="BX23" s="20">
        <v>1</v>
      </c>
      <c r="BY23" s="19">
        <v>-20</v>
      </c>
      <c r="BZ23" s="18">
        <f>EXP(BQ$2+BQ$3*BY23)/(1+EXP(BQ$2+BQ$3*BY23))</f>
        <v>2.8879574442244149E-2</v>
      </c>
      <c r="CA23" s="18">
        <f t="array" ref="CA23:CA63">MMULT(BX23:BY63,BQ2:BQ3)</f>
        <v>-3.5153159042661088</v>
      </c>
      <c r="CD23" s="3" t="s">
        <v>3</v>
      </c>
      <c r="CE23" s="22">
        <v>-0.72275343448123619</v>
      </c>
      <c r="CF23" s="21">
        <f>EXP(CE23)</f>
        <v>0.48541385895440131</v>
      </c>
      <c r="CG23">
        <f>1/2</f>
        <v>0.5</v>
      </c>
    </row>
    <row r="24" spans="6:85" x14ac:dyDescent="0.45">
      <c r="F24" s="1">
        <v>1</v>
      </c>
      <c r="G24" s="1">
        <v>-5</v>
      </c>
      <c r="I24" s="5">
        <f t="shared" si="18"/>
        <v>0.5</v>
      </c>
      <c r="K24" t="s">
        <v>12</v>
      </c>
      <c r="R24" s="1">
        <v>1</v>
      </c>
      <c r="S24" s="1">
        <v>-5</v>
      </c>
      <c r="U24" s="5">
        <f t="shared" si="19"/>
        <v>0.73219418432525707</v>
      </c>
      <c r="W24" t="s">
        <v>12</v>
      </c>
      <c r="AD24" s="1">
        <v>1</v>
      </c>
      <c r="AE24" s="1">
        <v>-5</v>
      </c>
      <c r="AG24" s="5">
        <f t="shared" si="20"/>
        <v>0.79416533902149344</v>
      </c>
      <c r="AI24" t="s">
        <v>12</v>
      </c>
      <c r="AP24" s="1">
        <v>1</v>
      </c>
      <c r="AQ24" s="1">
        <v>-5</v>
      </c>
      <c r="AS24" s="5">
        <f t="shared" si="21"/>
        <v>0.80512898614960926</v>
      </c>
      <c r="AU24" t="s">
        <v>12</v>
      </c>
      <c r="BB24" s="1">
        <v>1</v>
      </c>
      <c r="BC24" s="1">
        <v>-5</v>
      </c>
      <c r="BE24" s="5">
        <f t="shared" si="22"/>
        <v>0.80547818620828859</v>
      </c>
      <c r="BG24" t="s">
        <v>12</v>
      </c>
      <c r="BN24" s="1">
        <v>1</v>
      </c>
      <c r="BO24" s="1">
        <v>-5</v>
      </c>
      <c r="BQ24" s="5">
        <f t="shared" si="23"/>
        <v>0.8054785372839115</v>
      </c>
      <c r="BS24" t="s">
        <v>12</v>
      </c>
      <c r="BX24" s="20">
        <v>1</v>
      </c>
      <c r="BY24" s="19">
        <v>-19</v>
      </c>
      <c r="BZ24" s="18">
        <f t="shared" ref="BZ24:BZ63" si="24">EXP(BQ$2+BQ$3*BY24)/(1+EXP(BQ$2+BQ$3*BY24))</f>
        <v>3.3063982454517707E-2</v>
      </c>
      <c r="CA24" s="18">
        <v>-3.3756877807768655</v>
      </c>
      <c r="CD24" s="3" t="s">
        <v>4</v>
      </c>
      <c r="CE24" s="22">
        <v>0.13962812348924364</v>
      </c>
      <c r="CF24" s="21">
        <f>EXP(CE24)</f>
        <v>1.1498461185775475</v>
      </c>
    </row>
    <row r="25" spans="6:85" x14ac:dyDescent="0.45">
      <c r="F25" s="1">
        <v>1</v>
      </c>
      <c r="G25" s="1">
        <v>1</v>
      </c>
      <c r="I25" s="5">
        <f t="shared" si="18"/>
        <v>-0.5</v>
      </c>
      <c r="K25" s="10">
        <f>K3+K14</f>
        <v>-0.69314718055994529</v>
      </c>
      <c r="R25" s="1">
        <v>1</v>
      </c>
      <c r="S25" s="1">
        <v>1</v>
      </c>
      <c r="U25" s="5">
        <f t="shared" si="19"/>
        <v>-0.39892869522821151</v>
      </c>
      <c r="W25" s="10">
        <f>W3+W14</f>
        <v>-0.56066713821014069</v>
      </c>
      <c r="AD25" s="1">
        <v>1</v>
      </c>
      <c r="AE25" s="1">
        <v>1</v>
      </c>
      <c r="AG25" s="5">
        <f t="shared" si="20"/>
        <v>-0.36511708821028083</v>
      </c>
      <c r="AI25" s="10">
        <f>AI3+AI14</f>
        <v>-0.52246935553054952</v>
      </c>
      <c r="AP25" s="1">
        <v>1</v>
      </c>
      <c r="AQ25" s="1">
        <v>1</v>
      </c>
      <c r="AS25" s="5">
        <f t="shared" si="21"/>
        <v>-0.35843258964071556</v>
      </c>
      <c r="AU25" s="10">
        <f>AU3+AU14</f>
        <v>-0.51553520671110942</v>
      </c>
      <c r="BB25" s="1">
        <v>1</v>
      </c>
      <c r="BC25" s="1">
        <v>1</v>
      </c>
      <c r="BE25" s="5">
        <f t="shared" si="22"/>
        <v>-0.35821399784173519</v>
      </c>
      <c r="BG25" s="10">
        <f>BG3+BG14</f>
        <v>-0.51531830736179185</v>
      </c>
      <c r="BN25" s="1">
        <v>1</v>
      </c>
      <c r="BO25" s="1">
        <v>1</v>
      </c>
      <c r="BQ25" s="5">
        <f t="shared" si="23"/>
        <v>-0.35821377714353153</v>
      </c>
      <c r="BS25" s="10">
        <f>BS3+BS14</f>
        <v>-0.51531809226694802</v>
      </c>
      <c r="BX25" s="20">
        <v>1</v>
      </c>
      <c r="BY25" s="19">
        <v>-18</v>
      </c>
      <c r="BZ25" s="18">
        <f t="shared" si="24"/>
        <v>3.7831057558414254E-2</v>
      </c>
      <c r="CA25" s="18">
        <v>-3.2360596572876217</v>
      </c>
    </row>
    <row r="26" spans="6:85" x14ac:dyDescent="0.45">
      <c r="F26" s="1">
        <v>1</v>
      </c>
      <c r="G26" s="1">
        <v>0</v>
      </c>
      <c r="I26" s="5">
        <f t="shared" si="18"/>
        <v>-0.5</v>
      </c>
      <c r="K26" s="10">
        <f t="shared" ref="K26:K34" si="25">K4+K15</f>
        <v>-0.69314718055994529</v>
      </c>
      <c r="R26" s="1">
        <v>1</v>
      </c>
      <c r="S26" s="1">
        <v>0</v>
      </c>
      <c r="U26" s="5">
        <f t="shared" si="19"/>
        <v>-0.37537178222185336</v>
      </c>
      <c r="W26" s="10">
        <f t="shared" ref="W26:W34" si="26">W4+W15</f>
        <v>-0.34665860200956788</v>
      </c>
      <c r="AD26" s="1">
        <v>1</v>
      </c>
      <c r="AE26" s="1">
        <v>0</v>
      </c>
      <c r="AG26" s="5">
        <f t="shared" si="20"/>
        <v>-0.33491119701673505</v>
      </c>
      <c r="AI26" s="10">
        <f t="shared" ref="AI26:AI34" si="27">AI4+AI15</f>
        <v>-0.26945521414094808</v>
      </c>
      <c r="AP26" s="1">
        <v>1</v>
      </c>
      <c r="AQ26" s="1">
        <v>0</v>
      </c>
      <c r="AS26" s="5">
        <f t="shared" si="21"/>
        <v>-0.3270432110760163</v>
      </c>
      <c r="AU26" s="10">
        <f t="shared" ref="AU26:AU34" si="28">AU4+AU15</f>
        <v>-0.25636729722959539</v>
      </c>
      <c r="BB26" s="1">
        <v>1</v>
      </c>
      <c r="BC26" s="1">
        <v>0</v>
      </c>
      <c r="BE26" s="5">
        <f t="shared" si="22"/>
        <v>-0.32678720444943155</v>
      </c>
      <c r="BG26" s="10">
        <f t="shared" ref="BG26:BG34" si="29">BG4+BG15</f>
        <v>-0.25595713033996703</v>
      </c>
      <c r="BN26" s="1">
        <v>1</v>
      </c>
      <c r="BO26" s="1">
        <v>0</v>
      </c>
      <c r="BQ26" s="5">
        <f t="shared" si="23"/>
        <v>-0.32678694629662963</v>
      </c>
      <c r="BS26" s="10">
        <f t="shared" ref="BS26:BS34" si="30">BS4+BS15</f>
        <v>-0.2559567205060751</v>
      </c>
      <c r="BX26" s="20">
        <v>1</v>
      </c>
      <c r="BY26" s="19">
        <v>-17</v>
      </c>
      <c r="BZ26" s="18">
        <f t="shared" si="24"/>
        <v>4.325469089712744E-2</v>
      </c>
      <c r="CA26" s="18">
        <v>-3.0964315337983783</v>
      </c>
    </row>
    <row r="27" spans="6:85" x14ac:dyDescent="0.45">
      <c r="F27" s="1">
        <v>1</v>
      </c>
      <c r="G27" s="1">
        <v>-17</v>
      </c>
      <c r="I27" s="5">
        <f>$C11-I14</f>
        <v>-0.5</v>
      </c>
      <c r="K27" s="10">
        <f t="shared" si="25"/>
        <v>-0.69314718055994529</v>
      </c>
      <c r="R27" s="1">
        <v>1</v>
      </c>
      <c r="S27" s="1">
        <v>-17</v>
      </c>
      <c r="U27" s="5">
        <f>$C11-U14</f>
        <v>-9.9976198397262378E-2</v>
      </c>
      <c r="W27" s="10">
        <f t="shared" si="26"/>
        <v>-0.26226542369061062</v>
      </c>
      <c r="AD27" s="1">
        <v>1</v>
      </c>
      <c r="AE27" s="1">
        <v>-17</v>
      </c>
      <c r="AG27" s="5">
        <f>$C11-AG14</f>
        <v>-5.0010861615510993E-2</v>
      </c>
      <c r="AI27" s="10">
        <f t="shared" si="27"/>
        <v>-0.18125012999287257</v>
      </c>
      <c r="AP27" s="1">
        <v>1</v>
      </c>
      <c r="AQ27" s="1">
        <v>-17</v>
      </c>
      <c r="AS27" s="5">
        <f>$C11-AS14</f>
        <v>-4.3453144079105811E-2</v>
      </c>
      <c r="AU27" s="10">
        <f t="shared" si="28"/>
        <v>-0.16817338308301497</v>
      </c>
      <c r="BB27" s="1">
        <v>1</v>
      </c>
      <c r="BC27" s="1">
        <v>-17</v>
      </c>
      <c r="BE27" s="5">
        <f>$C11-BE14</f>
        <v>-4.3254889624185805E-2</v>
      </c>
      <c r="BG27" s="10">
        <f t="shared" si="29"/>
        <v>-0.16776322689613724</v>
      </c>
      <c r="BN27" s="1">
        <v>1</v>
      </c>
      <c r="BO27" s="1">
        <v>-17</v>
      </c>
      <c r="BQ27" s="5">
        <f>$C11-BQ14</f>
        <v>-4.325469089712744E-2</v>
      </c>
      <c r="BS27" s="10">
        <f t="shared" si="30"/>
        <v>-0.16776281490104314</v>
      </c>
      <c r="BX27" s="20">
        <v>1</v>
      </c>
      <c r="BY27" s="19">
        <v>-16</v>
      </c>
      <c r="BZ27" s="18">
        <f t="shared" si="24"/>
        <v>4.9415946630951356E-2</v>
      </c>
      <c r="CA27" s="18">
        <v>-2.9568034103091345</v>
      </c>
    </row>
    <row r="28" spans="6:85" x14ac:dyDescent="0.45">
      <c r="I28" s="4">
        <f>SUM(I18:I27)</f>
        <v>-1</v>
      </c>
      <c r="K28" s="10">
        <f t="shared" si="25"/>
        <v>-0.69314718055994529</v>
      </c>
      <c r="U28" s="4">
        <f>SUM(U18:U27)</f>
        <v>-0.1907560636492773</v>
      </c>
      <c r="W28" s="10">
        <f t="shared" si="26"/>
        <v>-0.73739114666514993</v>
      </c>
      <c r="AG28" s="4">
        <f>SUM(AG18:AG27)</f>
        <v>-2.843772520265192E-2</v>
      </c>
      <c r="AI28" s="10">
        <f t="shared" si="27"/>
        <v>-0.75015526908577945</v>
      </c>
      <c r="AS28" s="4">
        <f>SUM(AS18:AS27)</f>
        <v>-8.9126431435935377E-4</v>
      </c>
      <c r="AU28" s="10">
        <f t="shared" si="28"/>
        <v>-0.75224766454111558</v>
      </c>
      <c r="BE28" s="4">
        <f>SUM(BE18:BE27)</f>
        <v>-9.043543428288725E-7</v>
      </c>
      <c r="BG28" s="10">
        <f t="shared" si="29"/>
        <v>-0.75230743154851543</v>
      </c>
      <c r="BQ28" s="4">
        <f>SUM(BQ18:BQ27)</f>
        <v>-9.1496255016920713E-13</v>
      </c>
      <c r="BS28" s="10">
        <f t="shared" si="30"/>
        <v>-0.75230748825404936</v>
      </c>
      <c r="BX28" s="20">
        <v>1</v>
      </c>
      <c r="BY28" s="19">
        <v>-15</v>
      </c>
      <c r="BZ28" s="18">
        <f t="shared" si="24"/>
        <v>5.6403081579160443E-2</v>
      </c>
      <c r="CA28" s="18">
        <v>-2.8171752868198907</v>
      </c>
    </row>
    <row r="29" spans="6:85" x14ac:dyDescent="0.45">
      <c r="K29" s="10">
        <f t="shared" si="25"/>
        <v>-0.69314718055994529</v>
      </c>
      <c r="W29" s="10">
        <f t="shared" si="26"/>
        <v>-0.69951519099240966</v>
      </c>
      <c r="AI29" s="10">
        <f t="shared" si="27"/>
        <v>-0.70415302041100603</v>
      </c>
      <c r="AU29" s="10">
        <f t="shared" si="28"/>
        <v>-0.70547879263436541</v>
      </c>
      <c r="BG29" s="10">
        <f t="shared" si="29"/>
        <v>-0.70552925725924831</v>
      </c>
      <c r="BS29" s="10">
        <f t="shared" si="30"/>
        <v>-0.70552931101146477</v>
      </c>
      <c r="BX29" s="20">
        <v>1</v>
      </c>
      <c r="BY29" s="19">
        <v>-14</v>
      </c>
      <c r="BZ29" s="18">
        <f t="shared" si="24"/>
        <v>6.4311319125535379E-2</v>
      </c>
      <c r="CA29" s="18">
        <v>-2.6775471633306474</v>
      </c>
    </row>
    <row r="30" spans="6:85" x14ac:dyDescent="0.45">
      <c r="H30" s="87" t="s">
        <v>9</v>
      </c>
      <c r="I30" s="87"/>
      <c r="K30" s="10">
        <f t="shared" si="25"/>
        <v>-0.69314718055994529</v>
      </c>
      <c r="T30" s="87" t="s">
        <v>9</v>
      </c>
      <c r="U30" s="87"/>
      <c r="W30" s="10">
        <f t="shared" si="26"/>
        <v>-0.73739114666514993</v>
      </c>
      <c r="AF30" s="87" t="s">
        <v>9</v>
      </c>
      <c r="AG30" s="87"/>
      <c r="AI30" s="10">
        <f t="shared" si="27"/>
        <v>-0.75015526908577945</v>
      </c>
      <c r="AR30" s="87" t="s">
        <v>9</v>
      </c>
      <c r="AS30" s="87"/>
      <c r="AU30" s="10">
        <f t="shared" si="28"/>
        <v>-0.75224766454111558</v>
      </c>
      <c r="BD30" s="87" t="s">
        <v>9</v>
      </c>
      <c r="BE30" s="87"/>
      <c r="BG30" s="10">
        <f t="shared" si="29"/>
        <v>-0.75230743154851543</v>
      </c>
      <c r="BP30" s="87" t="s">
        <v>9</v>
      </c>
      <c r="BQ30" s="87"/>
      <c r="BS30" s="10">
        <f t="shared" si="30"/>
        <v>-0.75230748825404936</v>
      </c>
      <c r="BU30" s="6" t="s">
        <v>85</v>
      </c>
      <c r="BX30" s="20">
        <v>1</v>
      </c>
      <c r="BY30" s="19">
        <v>-13</v>
      </c>
      <c r="BZ30" s="18">
        <f t="shared" si="24"/>
        <v>7.3242299174771347E-2</v>
      </c>
      <c r="CA30" s="18">
        <v>-2.5379190398414035</v>
      </c>
    </row>
    <row r="31" spans="6:85" x14ac:dyDescent="0.45">
      <c r="H31" s="9" t="s">
        <v>10</v>
      </c>
      <c r="I31" s="10">
        <f>SUM(K25:K34)</f>
        <v>-6.9314718055994531</v>
      </c>
      <c r="K31" s="10">
        <f t="shared" si="25"/>
        <v>-0.69314718055994529</v>
      </c>
      <c r="T31" s="9" t="s">
        <v>10</v>
      </c>
      <c r="U31" s="10">
        <f>SUM(W25:W34)</f>
        <v>-5.7463562132234562</v>
      </c>
      <c r="W31" s="10">
        <f t="shared" si="26"/>
        <v>-1.3174931294756405</v>
      </c>
      <c r="AF31" s="9" t="s">
        <v>10</v>
      </c>
      <c r="AG31" s="10">
        <f>SUM(AI25:AI34)</f>
        <v>-5.6717744319451375</v>
      </c>
      <c r="AI31" s="10">
        <f t="shared" si="27"/>
        <v>-1.580682049070909</v>
      </c>
      <c r="AR31" s="9" t="s">
        <v>10</v>
      </c>
      <c r="AS31" s="10">
        <f>SUM(AU25:AU34)</f>
        <v>-5.6698080960088246</v>
      </c>
      <c r="AU31" s="10">
        <f t="shared" si="28"/>
        <v>-1.6354174067183875</v>
      </c>
      <c r="BD31" s="9" t="s">
        <v>10</v>
      </c>
      <c r="BE31" s="10">
        <f>SUM(BG25:BG34)</f>
        <v>-5.6698061899653123</v>
      </c>
      <c r="BG31" s="10">
        <f t="shared" si="29"/>
        <v>-1.6372109690415799</v>
      </c>
      <c r="BP31" s="9" t="s">
        <v>10</v>
      </c>
      <c r="BQ31" s="10">
        <f>SUM(BS25:BS34)</f>
        <v>-5.6698061899633929</v>
      </c>
      <c r="BS31" s="10">
        <f t="shared" si="30"/>
        <v>-1.6372127738568489</v>
      </c>
      <c r="BU31" s="6">
        <f>-2*BQ31</f>
        <v>11.339612379926786</v>
      </c>
      <c r="BX31" s="20">
        <v>1</v>
      </c>
      <c r="BY31" s="19">
        <v>-12</v>
      </c>
      <c r="BZ31" s="18">
        <f t="shared" si="24"/>
        <v>8.330311554370487E-2</v>
      </c>
      <c r="CA31" s="18">
        <v>-2.3982909163521597</v>
      </c>
    </row>
    <row r="32" spans="6:85" x14ac:dyDescent="0.45">
      <c r="H32" s="87" t="s">
        <v>8</v>
      </c>
      <c r="I32" s="87"/>
      <c r="K32" s="10">
        <f t="shared" si="25"/>
        <v>-0.69314718055994529</v>
      </c>
      <c r="T32" s="87" t="s">
        <v>8</v>
      </c>
      <c r="U32" s="87"/>
      <c r="W32" s="10">
        <f t="shared" si="26"/>
        <v>-0.50904170793744941</v>
      </c>
      <c r="AF32" s="87" t="s">
        <v>8</v>
      </c>
      <c r="AG32" s="87"/>
      <c r="AI32" s="10">
        <f t="shared" si="27"/>
        <v>-0.45431468797386609</v>
      </c>
      <c r="AR32" s="87" t="s">
        <v>8</v>
      </c>
      <c r="AS32" s="87"/>
      <c r="AU32" s="10">
        <f t="shared" si="28"/>
        <v>-0.44384101804770654</v>
      </c>
      <c r="BD32" s="87" t="s">
        <v>8</v>
      </c>
      <c r="BE32" s="87"/>
      <c r="BG32" s="10">
        <f t="shared" si="29"/>
        <v>-0.44350036083050937</v>
      </c>
      <c r="BP32" s="87" t="s">
        <v>8</v>
      </c>
      <c r="BQ32" s="87"/>
      <c r="BS32" s="10">
        <f t="shared" si="30"/>
        <v>-0.4435000169492701</v>
      </c>
      <c r="BX32" s="20">
        <v>1</v>
      </c>
      <c r="BY32" s="19">
        <v>-11</v>
      </c>
      <c r="BZ32" s="18">
        <f t="shared" si="24"/>
        <v>9.4604845043467223E-2</v>
      </c>
      <c r="CA32" s="18">
        <v>-2.2586627928629164</v>
      </c>
    </row>
    <row r="33" spans="5:79" x14ac:dyDescent="0.45">
      <c r="H33" s="7" t="s">
        <v>7</v>
      </c>
      <c r="I33" s="16">
        <f t="array" ref="I33:I34">MMULT(TRANSPOSE(F18:G27),I18:I27)</f>
        <v>-1</v>
      </c>
      <c r="K33" s="10">
        <f t="shared" si="25"/>
        <v>-0.69314718055994529</v>
      </c>
      <c r="T33" s="7" t="s">
        <v>7</v>
      </c>
      <c r="U33" s="16">
        <f t="array" ref="U33:U34">MMULT(TRANSPOSE(R18:S27),U18:U27)</f>
        <v>-0.1907560636492773</v>
      </c>
      <c r="W33" s="10">
        <f t="shared" si="26"/>
        <v>-0.47059865779508081</v>
      </c>
      <c r="AF33" s="7" t="s">
        <v>7</v>
      </c>
      <c r="AG33" s="16">
        <f t="array" ref="AG33:AG34">MMULT(TRANSPOSE(AD18:AE27),AG18:AG27)</f>
        <v>-2.843772520265192E-2</v>
      </c>
      <c r="AI33" s="10">
        <f t="shared" si="27"/>
        <v>-0.40783470892103157</v>
      </c>
      <c r="AR33" s="7" t="s">
        <v>7</v>
      </c>
      <c r="AS33" s="16">
        <f t="array" ref="AS33:AS34">MMULT(TRANSPOSE(AP18:AQ27),AS18:AS27)</f>
        <v>-8.9126431435935377E-4</v>
      </c>
      <c r="AU33" s="10">
        <f t="shared" si="28"/>
        <v>-0.39607415804958601</v>
      </c>
      <c r="BD33" s="7" t="s">
        <v>7</v>
      </c>
      <c r="BE33" s="16">
        <f t="array" ref="BE33:BE34">MMULT(TRANSPOSE(BB18:BC27),BE18:BE27)</f>
        <v>-9.043543428288725E-7</v>
      </c>
      <c r="BG33" s="10">
        <f t="shared" si="29"/>
        <v>-0.39569380978942087</v>
      </c>
      <c r="BP33" s="7" t="s">
        <v>7</v>
      </c>
      <c r="BQ33" s="16">
        <f t="array" ref="BQ33:BQ34">MMULT(TRANSPOSE(BN18:BO27),BQ18:BQ27)</f>
        <v>-9.1496255016920713E-13</v>
      </c>
      <c r="BS33" s="10">
        <f t="shared" si="30"/>
        <v>-0.39569342632559762</v>
      </c>
      <c r="BX33" s="20">
        <v>1</v>
      </c>
      <c r="BY33" s="19">
        <v>-10</v>
      </c>
      <c r="BZ33" s="18">
        <f t="shared" si="24"/>
        <v>0.10726047132179034</v>
      </c>
      <c r="CA33" s="18">
        <v>-2.1190346693736726</v>
      </c>
    </row>
    <row r="34" spans="5:79" x14ac:dyDescent="0.45">
      <c r="I34" s="16">
        <v>16.5</v>
      </c>
      <c r="K34" s="10">
        <f t="shared" si="25"/>
        <v>-0.69314718055994529</v>
      </c>
      <c r="U34" s="16">
        <v>3.0454623756504935</v>
      </c>
      <c r="W34" s="10">
        <f t="shared" si="26"/>
        <v>-0.1053340697822575</v>
      </c>
      <c r="AG34" s="16">
        <v>0.43196549302855297</v>
      </c>
      <c r="AI34" s="10">
        <f t="shared" si="27"/>
        <v>-5.130472773239618E-2</v>
      </c>
      <c r="AS34" s="16">
        <v>1.3032310778802514E-2</v>
      </c>
      <c r="AU34" s="10">
        <f t="shared" si="28"/>
        <v>-4.4425504452828168E-2</v>
      </c>
      <c r="BE34" s="16">
        <v>1.3009357318294335E-5</v>
      </c>
      <c r="BG34" s="10">
        <f t="shared" si="29"/>
        <v>-4.4218265349626217E-2</v>
      </c>
      <c r="BQ34" s="16">
        <v>1.3091416839472458E-11</v>
      </c>
      <c r="BS34" s="10">
        <f t="shared" si="30"/>
        <v>-4.4218057638046905E-2</v>
      </c>
      <c r="BX34" s="20">
        <v>1</v>
      </c>
      <c r="BY34" s="19">
        <v>-9</v>
      </c>
      <c r="BZ34" s="18">
        <f t="shared" si="24"/>
        <v>0.12138211466148</v>
      </c>
      <c r="CA34" s="18">
        <v>-1.9794065458844288</v>
      </c>
    </row>
    <row r="35" spans="5:79" x14ac:dyDescent="0.45">
      <c r="H35" s="87" t="s">
        <v>15</v>
      </c>
      <c r="I35" s="87"/>
      <c r="T35" s="87" t="s">
        <v>15</v>
      </c>
      <c r="U35" s="87"/>
      <c r="AF35" s="87" t="s">
        <v>15</v>
      </c>
      <c r="AG35" s="87"/>
      <c r="AR35" s="87" t="s">
        <v>15</v>
      </c>
      <c r="AS35" s="87"/>
      <c r="BD35" s="87" t="s">
        <v>15</v>
      </c>
      <c r="BE35" s="87"/>
      <c r="BP35" s="87" t="s">
        <v>15</v>
      </c>
      <c r="BQ35" s="87"/>
      <c r="BX35" s="20">
        <v>1</v>
      </c>
      <c r="BY35" s="19">
        <v>-8</v>
      </c>
      <c r="BZ35" s="18">
        <f t="shared" si="24"/>
        <v>0.13707750027541937</v>
      </c>
      <c r="CA35" s="18">
        <v>-1.8397784223951854</v>
      </c>
    </row>
    <row r="36" spans="5:79" x14ac:dyDescent="0.45">
      <c r="F36" s="12">
        <f>-1*I5*(1-I5)</f>
        <v>-0.25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R36" s="12">
        <f>-1*U5*(1-U5)</f>
        <v>-0.24498337804861936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D36" s="12">
        <f>-1*AG5*(1-AG5)</f>
        <v>-0.24134090162786898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P36" s="12">
        <f>-1*AS5*(1-AS5)</f>
        <v>-0.24055587387037206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BB36" s="12">
        <f>-1*BE5*(1-BE5)</f>
        <v>-0.24053067903647157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N36" s="12">
        <f>-1*BQ5*(1-BQ5)</f>
        <v>-0.24053065403187512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20">
        <v>1</v>
      </c>
      <c r="BY36" s="19">
        <v>-7</v>
      </c>
      <c r="BZ36" s="18">
        <f t="shared" si="24"/>
        <v>0.15444563620208931</v>
      </c>
      <c r="CA36" s="18">
        <v>-1.7001502989059416</v>
      </c>
    </row>
    <row r="37" spans="5:79" x14ac:dyDescent="0.45">
      <c r="F37" s="13">
        <v>0</v>
      </c>
      <c r="G37" s="12">
        <f>-1*I6*(1-I6)</f>
        <v>-0.25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R37" s="13">
        <v>0</v>
      </c>
      <c r="S37" s="12">
        <f>-1*U6*(1-U6)</f>
        <v>-0.20713167587413686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D37" s="13">
        <v>0</v>
      </c>
      <c r="AE37" s="12">
        <f>-1*AG6*(1-AG6)</f>
        <v>-0.18041194156952942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P37" s="13">
        <v>0</v>
      </c>
      <c r="AQ37" s="12">
        <f>-1*AS6*(1-AS6)</f>
        <v>-0.17500197066460607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BB37" s="13">
        <v>0</v>
      </c>
      <c r="BC37" s="12">
        <f>-1*BE6*(1-BE6)</f>
        <v>-0.17482798344488937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N37" s="13">
        <v>0</v>
      </c>
      <c r="BO37" s="12">
        <f>-1*BQ6*(1-BQ6)</f>
        <v>-0.17482780946240128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20">
        <v>1</v>
      </c>
      <c r="BY37" s="19">
        <v>-6</v>
      </c>
      <c r="BZ37" s="18">
        <f t="shared" si="24"/>
        <v>0.17357173101500958</v>
      </c>
      <c r="CA37" s="18">
        <v>-1.560522175416698</v>
      </c>
    </row>
    <row r="38" spans="5:79" x14ac:dyDescent="0.45">
      <c r="F38" s="13">
        <v>0</v>
      </c>
      <c r="G38" s="13">
        <v>0</v>
      </c>
      <c r="H38" s="12">
        <f>-1*I7*(1-I7)</f>
        <v>-0.25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R38" s="13">
        <v>0</v>
      </c>
      <c r="S38" s="13">
        <v>0</v>
      </c>
      <c r="T38" s="12">
        <f>-1*U7*(1-U7)</f>
        <v>-0.1774738451279772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D38" s="13">
        <v>0</v>
      </c>
      <c r="AE38" s="13">
        <v>0</v>
      </c>
      <c r="AF38" s="12">
        <f>-1*AG7*(1-AG7)</f>
        <v>-0.13829253474085529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P38" s="13">
        <v>0</v>
      </c>
      <c r="AQ38" s="13">
        <v>0</v>
      </c>
      <c r="AR38" s="12">
        <f>-1*AS7*(1-AS7)</f>
        <v>-0.13083193567411949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BB38" s="13">
        <v>0</v>
      </c>
      <c r="BC38" s="13">
        <v>0</v>
      </c>
      <c r="BD38" s="12">
        <f>-1*BE7*(1-BE7)</f>
        <v>-0.13059242241762362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N38" s="13">
        <v>0</v>
      </c>
      <c r="BO38" s="13">
        <v>0</v>
      </c>
      <c r="BP38" s="12">
        <f>-1*BQ7*(1-BQ7)</f>
        <v>-0.13059218166022118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20">
        <v>1</v>
      </c>
      <c r="BY38" s="19">
        <v>-5</v>
      </c>
      <c r="BZ38" s="18">
        <f t="shared" si="24"/>
        <v>0.19452146271608853</v>
      </c>
      <c r="CA38" s="18">
        <v>-1.4208940519274544</v>
      </c>
    </row>
    <row r="39" spans="5:79" x14ac:dyDescent="0.45">
      <c r="F39" s="13">
        <v>0</v>
      </c>
      <c r="G39" s="13">
        <v>0</v>
      </c>
      <c r="H39" s="13">
        <v>0</v>
      </c>
      <c r="I39" s="12">
        <f>-1*I8*(1-I8)</f>
        <v>-0.25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R39" s="13">
        <v>0</v>
      </c>
      <c r="S39" s="13">
        <v>0</v>
      </c>
      <c r="T39" s="13">
        <v>0</v>
      </c>
      <c r="U39" s="12">
        <f>-1*U8*(1-U8)</f>
        <v>-0.24953172168777921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D39" s="13">
        <v>0</v>
      </c>
      <c r="AE39" s="13">
        <v>0</v>
      </c>
      <c r="AF39" s="13">
        <v>0</v>
      </c>
      <c r="AG39" s="12">
        <f>-1*AG8*(1-AG8)</f>
        <v>-0.24923233403791892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P39" s="13">
        <v>0</v>
      </c>
      <c r="AQ39" s="13">
        <v>0</v>
      </c>
      <c r="AR39" s="13">
        <v>0</v>
      </c>
      <c r="AS39" s="12">
        <f>-1*AS8*(1-AS8)</f>
        <v>-0.24917665571224351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BB39" s="13">
        <v>0</v>
      </c>
      <c r="BC39" s="13">
        <v>0</v>
      </c>
      <c r="BD39" s="13">
        <v>0</v>
      </c>
      <c r="BE39" s="12">
        <f>-1*BE8*(1-BE8)</f>
        <v>-0.24917503843167257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N39" s="13">
        <v>0</v>
      </c>
      <c r="BO39" s="13">
        <v>0</v>
      </c>
      <c r="BP39" s="13">
        <v>0</v>
      </c>
      <c r="BQ39" s="12">
        <f>-1*BQ8*(1-BQ8)</f>
        <v>-0.24917503689652715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20">
        <v>1</v>
      </c>
      <c r="BY39" s="19">
        <v>-4</v>
      </c>
      <c r="BZ39" s="18">
        <f t="shared" si="24"/>
        <v>0.21733481160129159</v>
      </c>
      <c r="CA39" s="18">
        <v>-1.2812659284382106</v>
      </c>
    </row>
    <row r="40" spans="5:79" x14ac:dyDescent="0.45">
      <c r="E40" s="11" t="s">
        <v>14</v>
      </c>
      <c r="F40" s="13">
        <v>0</v>
      </c>
      <c r="G40" s="13">
        <v>0</v>
      </c>
      <c r="H40" s="13">
        <v>0</v>
      </c>
      <c r="I40" s="13">
        <v>0</v>
      </c>
      <c r="J40" s="12">
        <f>-1*I9*(1-I9)</f>
        <v>-0.25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Q40" s="11" t="s">
        <v>14</v>
      </c>
      <c r="R40" s="13">
        <v>0</v>
      </c>
      <c r="S40" s="13">
        <v>0</v>
      </c>
      <c r="T40" s="13">
        <v>0</v>
      </c>
      <c r="U40" s="13">
        <v>0</v>
      </c>
      <c r="V40" s="12">
        <f>-1*U9*(1-U9)</f>
        <v>-0.24998992642980783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C40" s="11" t="s">
        <v>14</v>
      </c>
      <c r="AD40" s="13">
        <v>0</v>
      </c>
      <c r="AE40" s="13">
        <v>0</v>
      </c>
      <c r="AF40" s="13">
        <v>0</v>
      </c>
      <c r="AG40" s="13">
        <v>0</v>
      </c>
      <c r="AH40" s="12">
        <f>-1*AG9*(1-AG9)</f>
        <v>-0.24997004902291176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O40" s="11" t="s">
        <v>14</v>
      </c>
      <c r="AP40" s="13">
        <v>0</v>
      </c>
      <c r="AQ40" s="13">
        <v>0</v>
      </c>
      <c r="AR40" s="13">
        <v>0</v>
      </c>
      <c r="AS40" s="13">
        <v>0</v>
      </c>
      <c r="AT40" s="12">
        <f>-1*AS9*(1-AS9)</f>
        <v>-0.24996244829420097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BA40" s="11" t="s">
        <v>14</v>
      </c>
      <c r="BB40" s="13">
        <v>0</v>
      </c>
      <c r="BC40" s="13">
        <v>0</v>
      </c>
      <c r="BD40" s="13">
        <v>0</v>
      </c>
      <c r="BE40" s="13">
        <v>0</v>
      </c>
      <c r="BF40" s="12">
        <f>-1*BE9*(1-BE9)</f>
        <v>-0.24996214222641691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M40" s="11" t="s">
        <v>14</v>
      </c>
      <c r="BN40" s="13">
        <v>0</v>
      </c>
      <c r="BO40" s="13">
        <v>0</v>
      </c>
      <c r="BP40" s="13">
        <v>0</v>
      </c>
      <c r="BQ40" s="13">
        <v>0</v>
      </c>
      <c r="BR40" s="12">
        <f>-1*BQ9*(1-BQ9)</f>
        <v>-0.24996214189975585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20">
        <v>1</v>
      </c>
      <c r="BY40" s="19">
        <v>-3</v>
      </c>
      <c r="BZ40" s="18">
        <f t="shared" si="24"/>
        <v>0.24201978495532375</v>
      </c>
      <c r="CA40" s="18">
        <v>-1.141637804948967</v>
      </c>
    </row>
    <row r="41" spans="5:79" x14ac:dyDescent="0.45"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2">
        <f>-1*I10*(1-I10)</f>
        <v>-0.25</v>
      </c>
      <c r="L41" s="13">
        <v>0</v>
      </c>
      <c r="M41" s="13">
        <v>0</v>
      </c>
      <c r="N41" s="13">
        <v>0</v>
      </c>
      <c r="O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2">
        <f>-1*U10*(1-U10)</f>
        <v>-0.24953172168777921</v>
      </c>
      <c r="X41" s="13">
        <v>0</v>
      </c>
      <c r="Y41" s="13">
        <v>0</v>
      </c>
      <c r="Z41" s="13">
        <v>0</v>
      </c>
      <c r="AA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2">
        <f>-1*AG10*(1-AG10)</f>
        <v>-0.24923233403791892</v>
      </c>
      <c r="AJ41" s="13">
        <v>0</v>
      </c>
      <c r="AK41" s="13">
        <v>0</v>
      </c>
      <c r="AL41" s="13">
        <v>0</v>
      </c>
      <c r="AM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2">
        <f>-1*AS10*(1-AS10)</f>
        <v>-0.24917665571224351</v>
      </c>
      <c r="AV41" s="13">
        <v>0</v>
      </c>
      <c r="AW41" s="13">
        <v>0</v>
      </c>
      <c r="AX41" s="13">
        <v>0</v>
      </c>
      <c r="AY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2">
        <f>-1*BE10*(1-BE10)</f>
        <v>-0.24917503843167257</v>
      </c>
      <c r="BH41" s="13">
        <v>0</v>
      </c>
      <c r="BI41" s="13">
        <v>0</v>
      </c>
      <c r="BJ41" s="13">
        <v>0</v>
      </c>
      <c r="BK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2">
        <f>-1*BQ10*(1-BQ10)</f>
        <v>-0.24917503689652715</v>
      </c>
      <c r="BT41" s="13">
        <v>0</v>
      </c>
      <c r="BU41" s="13">
        <v>0</v>
      </c>
      <c r="BV41" s="13">
        <v>0</v>
      </c>
      <c r="BW41" s="13">
        <v>0</v>
      </c>
      <c r="BX41" s="20">
        <v>1</v>
      </c>
      <c r="BY41" s="19">
        <v>-2</v>
      </c>
      <c r="BZ41" s="18">
        <f t="shared" si="24"/>
        <v>0.26854647753972816</v>
      </c>
      <c r="CA41" s="18">
        <v>-1.0020096814597235</v>
      </c>
    </row>
    <row r="42" spans="5:79" x14ac:dyDescent="0.45"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2">
        <f>-1*I11*(1-I11)</f>
        <v>-0.25</v>
      </c>
      <c r="M42" s="13">
        <v>0</v>
      </c>
      <c r="N42" s="13">
        <v>0</v>
      </c>
      <c r="O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2">
        <f>-1*U11*(1-U11)</f>
        <v>-0.19608586076552856</v>
      </c>
      <c r="Y42" s="13">
        <v>0</v>
      </c>
      <c r="Z42" s="13">
        <v>0</v>
      </c>
      <c r="AA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2">
        <f>-1*AG11*(1-AG11)</f>
        <v>-0.1634667533183698</v>
      </c>
      <c r="AK42" s="13">
        <v>0</v>
      </c>
      <c r="AL42" s="13">
        <v>0</v>
      </c>
      <c r="AM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2">
        <f>-1*AS11*(1-AS11)</f>
        <v>-0.15689630181131156</v>
      </c>
      <c r="AW42" s="13">
        <v>0</v>
      </c>
      <c r="AX42" s="13">
        <v>0</v>
      </c>
      <c r="AY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2">
        <f>-1*BE11*(1-BE11)</f>
        <v>-0.15668307775089413</v>
      </c>
      <c r="BI42" s="13">
        <v>0</v>
      </c>
      <c r="BJ42" s="13">
        <v>0</v>
      </c>
      <c r="BK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2">
        <f>-1*BQ11*(1-BQ11)</f>
        <v>-0.15668286325888192</v>
      </c>
      <c r="BU42" s="13">
        <v>0</v>
      </c>
      <c r="BV42" s="13">
        <v>0</v>
      </c>
      <c r="BW42" s="13">
        <v>0</v>
      </c>
      <c r="BX42" s="20">
        <v>1</v>
      </c>
      <c r="BY42" s="19">
        <v>-1</v>
      </c>
      <c r="BZ42" s="18">
        <f t="shared" si="24"/>
        <v>0.29684201021480544</v>
      </c>
      <c r="CA42" s="18">
        <v>-0.86238155797047988</v>
      </c>
    </row>
    <row r="43" spans="5:79" x14ac:dyDescent="0.45"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2">
        <f>-1*I12*(1-I12)</f>
        <v>-0.25</v>
      </c>
      <c r="N43" s="13">
        <v>0</v>
      </c>
      <c r="O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2">
        <f>-1*U12*(1-U12)</f>
        <v>-0.23978459135172825</v>
      </c>
      <c r="Z43" s="13">
        <v>0</v>
      </c>
      <c r="AA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2">
        <f>-1*AG12*(1-AG12)</f>
        <v>-0.23180660010712686</v>
      </c>
      <c r="AL43" s="13">
        <v>0</v>
      </c>
      <c r="AM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2">
        <f>-1*AS12*(1-AS12)</f>
        <v>-0.22995866832416598</v>
      </c>
      <c r="AX43" s="13">
        <v>0</v>
      </c>
      <c r="AY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2">
        <f>-1*BE12*(1-BE12)</f>
        <v>-0.22989672959197655</v>
      </c>
      <c r="BJ43" s="13">
        <v>0</v>
      </c>
      <c r="BK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2">
        <f>-1*BQ12*(1-BQ12)</f>
        <v>-0.22989666700809586</v>
      </c>
      <c r="BV43" s="13">
        <v>0</v>
      </c>
      <c r="BW43" s="13">
        <v>0</v>
      </c>
      <c r="BX43" s="20">
        <v>1</v>
      </c>
      <c r="BY43" s="19">
        <v>0</v>
      </c>
      <c r="BZ43" s="18">
        <f t="shared" si="24"/>
        <v>0.32678694629662963</v>
      </c>
      <c r="CA43" s="18">
        <v>-0.72275343448123619</v>
      </c>
    </row>
    <row r="44" spans="5:79" x14ac:dyDescent="0.45"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2">
        <f>-1*I13*(1-I13)</f>
        <v>-0.25</v>
      </c>
      <c r="O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2">
        <f>-1*U13*(1-U13)</f>
        <v>-0.23446780733344283</v>
      </c>
      <c r="AA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2">
        <f>-1*AG13*(1-AG13)</f>
        <v>-0.2227456871295527</v>
      </c>
      <c r="AM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2">
        <f>-1*AS13*(1-AS13)</f>
        <v>-0.22008594916510454</v>
      </c>
      <c r="AY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2">
        <f>-1*BE13*(1-BE13)</f>
        <v>-0.21999732745755698</v>
      </c>
      <c r="BK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2">
        <f>-1*BQ13*(1-BQ13)</f>
        <v>-0.21999723802675333</v>
      </c>
      <c r="BW44" s="13">
        <v>0</v>
      </c>
      <c r="BX44" s="20">
        <v>1</v>
      </c>
      <c r="BY44" s="19">
        <v>1</v>
      </c>
      <c r="BZ44" s="18">
        <f t="shared" si="24"/>
        <v>0.35821377714353153</v>
      </c>
      <c r="CA44" s="18">
        <v>-0.5831253109919925</v>
      </c>
    </row>
    <row r="45" spans="5:79" x14ac:dyDescent="0.45"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2">
        <f>-1*I14*(1-I14)</f>
        <v>-0.25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2">
        <f>-1*U14*(1-U14)</f>
        <v>-8.9980958151293616E-2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2">
        <f>-1*AG14*(1-AG14)</f>
        <v>-4.7509775335985202E-2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2">
        <f>-1*AS14*(1-AS14)</f>
        <v>-4.1564968348746283E-2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2">
        <f>-1*BE14*(1-BE14)</f>
        <v>-4.1383904147785311E-2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2">
        <f>-1*BQ14*(1-BQ14)</f>
        <v>-4.1383722612521399E-2</v>
      </c>
      <c r="BX45" s="20">
        <v>1</v>
      </c>
      <c r="BY45" s="19">
        <v>2</v>
      </c>
      <c r="BZ45" s="18">
        <f t="shared" si="24"/>
        <v>0.39090797569947899</v>
      </c>
      <c r="CA45" s="18">
        <v>-0.44349718750274891</v>
      </c>
    </row>
    <row r="46" spans="5:79" x14ac:dyDescent="0.45">
      <c r="H46" s="87" t="s">
        <v>16</v>
      </c>
      <c r="I46" s="87"/>
      <c r="T46" s="87" t="s">
        <v>16</v>
      </c>
      <c r="U46" s="87"/>
      <c r="AF46" s="87" t="s">
        <v>16</v>
      </c>
      <c r="AG46" s="87"/>
      <c r="AR46" s="87" t="s">
        <v>16</v>
      </c>
      <c r="AS46" s="87"/>
      <c r="BD46" s="87" t="s">
        <v>16</v>
      </c>
      <c r="BE46" s="87"/>
      <c r="BP46" s="87" t="s">
        <v>16</v>
      </c>
      <c r="BQ46" s="87"/>
      <c r="BX46" s="20">
        <v>1</v>
      </c>
      <c r="BY46" s="19">
        <v>3</v>
      </c>
      <c r="BZ46" s="18">
        <f t="shared" si="24"/>
        <v>0.42461193185172696</v>
      </c>
      <c r="CA46" s="18">
        <v>-0.30386906401350527</v>
      </c>
    </row>
    <row r="47" spans="5:79" x14ac:dyDescent="0.45">
      <c r="H47" s="7" t="s">
        <v>26</v>
      </c>
      <c r="I47" s="6">
        <f t="array" ref="I47:J48">MMULT(MMULT(TRANSPOSE(F18:G27),F36:O45),F18:G27)</f>
        <v>-2.5</v>
      </c>
      <c r="J47" s="6">
        <v>-2.75</v>
      </c>
      <c r="T47" s="7" t="s">
        <v>17</v>
      </c>
      <c r="U47" s="6">
        <f t="array" ref="U47:V48">MMULT(MMULT(TRANSPOSE(R18:S27),R36:AA45),R18:S27)</f>
        <v>-2.138961486458093</v>
      </c>
      <c r="V47" s="6">
        <v>-5.5914028620855127</v>
      </c>
      <c r="AF47" s="7" t="s">
        <v>17</v>
      </c>
      <c r="AG47" s="6">
        <f t="array" ref="AG47:AH48">MMULT(MMULT(TRANSPOSE(AD18:AE27),AD36:AM45),AD18:AE27)</f>
        <v>-1.9740089109280379</v>
      </c>
      <c r="AH47" s="6">
        <v>-6.3358915581834925</v>
      </c>
      <c r="AR47" s="7" t="s">
        <v>17</v>
      </c>
      <c r="AS47" s="6">
        <f t="array" ref="AS47:AT48">MMULT(MMULT(TRANSPOSE(AP18:AQ27),AP36:AY45),AP18:AQ27)</f>
        <v>-1.9432114275771137</v>
      </c>
      <c r="AT47" s="6">
        <v>-6.4374558379054738</v>
      </c>
      <c r="BD47" s="7" t="s">
        <v>17</v>
      </c>
      <c r="BE47" s="6">
        <f t="array" ref="BE47:BF48">MMULT(MMULT(TRANSPOSE(BB18:BC27),BB36:BK45),BB18:BC27)</f>
        <v>-1.9422243429369597</v>
      </c>
      <c r="BF47" s="6">
        <v>-6.4405563862341708</v>
      </c>
      <c r="BP47" s="7" t="s">
        <v>17</v>
      </c>
      <c r="BQ47" s="6">
        <f t="array" ref="BQ47:BR48">MMULT(MMULT(TRANSPOSE(BN18:BO27),BN36:BW45),BN18:BO27)</f>
        <v>-1.9422233517535603</v>
      </c>
      <c r="BR47" s="6">
        <v>-6.4405595116649996</v>
      </c>
      <c r="BX47" s="20">
        <v>1</v>
      </c>
      <c r="BY47" s="19">
        <v>4</v>
      </c>
      <c r="BZ47" s="18">
        <f t="shared" si="24"/>
        <v>0.45903181684890942</v>
      </c>
      <c r="CA47" s="18">
        <v>-0.16424094052426164</v>
      </c>
    </row>
    <row r="48" spans="5:79" x14ac:dyDescent="0.45">
      <c r="I48" s="6">
        <v>-2.75</v>
      </c>
      <c r="J48" s="6">
        <v>-180.25</v>
      </c>
      <c r="U48" s="6">
        <v>-5.5914028620855127</v>
      </c>
      <c r="V48" s="6">
        <v>-120.33542321619244</v>
      </c>
      <c r="AG48" s="6">
        <v>-6.3358915581834925</v>
      </c>
      <c r="AH48" s="6">
        <v>-99.825672235582346</v>
      </c>
      <c r="AS48" s="6">
        <v>-6.4374558379054738</v>
      </c>
      <c r="AT48" s="6">
        <v>-96.461149511029646</v>
      </c>
      <c r="BE48" s="6">
        <v>-6.4405563862341708</v>
      </c>
      <c r="BF48" s="6">
        <v>-96.355855206811185</v>
      </c>
      <c r="BQ48" s="6">
        <v>-6.4405595116649996</v>
      </c>
      <c r="BR48" s="6">
        <v>-96.355749701564193</v>
      </c>
      <c r="BX48" s="20">
        <v>1</v>
      </c>
      <c r="BY48" s="19">
        <v>5</v>
      </c>
      <c r="BZ48" s="18">
        <f t="shared" si="24"/>
        <v>0.49384710635195389</v>
      </c>
      <c r="CA48" s="18">
        <v>-2.4612817035018053E-2</v>
      </c>
    </row>
    <row r="49" spans="8:80" x14ac:dyDescent="0.45">
      <c r="H49" s="87" t="s">
        <v>18</v>
      </c>
      <c r="I49" s="87"/>
      <c r="T49" s="87" t="s">
        <v>18</v>
      </c>
      <c r="U49" s="87"/>
      <c r="AF49" s="87" t="s">
        <v>18</v>
      </c>
      <c r="AG49" s="87"/>
      <c r="AR49" s="87" t="s">
        <v>18</v>
      </c>
      <c r="AS49" s="87"/>
      <c r="BD49" s="87" t="s">
        <v>18</v>
      </c>
      <c r="BE49" s="87"/>
      <c r="BP49" s="87" t="s">
        <v>18</v>
      </c>
      <c r="BQ49" s="87"/>
      <c r="BR49" t="s">
        <v>90</v>
      </c>
      <c r="BS49" t="s">
        <v>91</v>
      </c>
      <c r="BT49" t="s">
        <v>65</v>
      </c>
      <c r="BX49" s="20">
        <v>1</v>
      </c>
      <c r="BY49" s="19">
        <v>6</v>
      </c>
      <c r="BZ49" s="18">
        <f t="shared" si="24"/>
        <v>0.52872217093941276</v>
      </c>
      <c r="CA49" s="18">
        <v>0.11501530645422564</v>
      </c>
    </row>
    <row r="50" spans="8:80" x14ac:dyDescent="0.45">
      <c r="H50" s="14" t="s">
        <v>3</v>
      </c>
      <c r="I50" s="15">
        <f t="array" ref="I50:I51">I2:I3-MMULT(MINVERSE(I47:J48),I33:I34)</f>
        <v>-0.50923966708985802</v>
      </c>
      <c r="T50" s="14" t="s">
        <v>3</v>
      </c>
      <c r="U50" s="15">
        <f t="array" ref="U50:U51">U2:U3-MMULT(MINVERSE(U47:V48),U33:U34)</f>
        <v>-0.68605515690902297</v>
      </c>
      <c r="AF50" s="14" t="s">
        <v>3</v>
      </c>
      <c r="AG50" s="15">
        <f t="array" ref="AG50:AG51">AG2:AG3-MMULT(MINVERSE(AG47:AH48),AG33:AG34)</f>
        <v>-0.7215888148021895</v>
      </c>
      <c r="AR50" s="14" t="s">
        <v>3</v>
      </c>
      <c r="AS50" s="15">
        <f t="array" ref="AS50:AS51">AS2:AS3-MMULT(MINVERSE(AS47:AT48),AS33:AS34)</f>
        <v>-0.72275226104491586</v>
      </c>
      <c r="BD50" s="14" t="s">
        <v>3</v>
      </c>
      <c r="BE50" s="15">
        <f t="array" ref="BE50:BE51">BE2:BE3-MMULT(MINVERSE(BE47:BF48),BE33:BE34)</f>
        <v>-0.72275343448123619</v>
      </c>
      <c r="BP50" s="14" t="s">
        <v>3</v>
      </c>
      <c r="BQ50" s="15">
        <f t="array" ref="BQ50:BQ51">BQ2:BQ3-MMULT(MINVERSE(BQ47:BR48),BQ33:BQ34)</f>
        <v>-0.72275343448242024</v>
      </c>
      <c r="BR50" s="4">
        <f>BQ50/BQ58</f>
        <v>-0.88864200286864803</v>
      </c>
      <c r="BS50" s="4">
        <f>1-_xlfn.NORM.S.DIST(ABS(BR50),TRUE)</f>
        <v>0.18709775488112257</v>
      </c>
      <c r="BT50" s="4">
        <f>BS50*2</f>
        <v>0.37419550976224514</v>
      </c>
      <c r="BX50" s="20">
        <v>1</v>
      </c>
      <c r="BY50" s="19">
        <v>7</v>
      </c>
      <c r="BZ50" s="18">
        <f t="shared" si="24"/>
        <v>0.56331907532751779</v>
      </c>
      <c r="CA50" s="18">
        <v>0.25464342994346933</v>
      </c>
    </row>
    <row r="51" spans="8:80" x14ac:dyDescent="0.45">
      <c r="H51" s="14" t="s">
        <v>4</v>
      </c>
      <c r="I51" s="15">
        <v>9.930878826350685E-2</v>
      </c>
      <c r="T51" s="14" t="s">
        <v>4</v>
      </c>
      <c r="U51" s="15">
        <v>0.13283265765846314</v>
      </c>
      <c r="AF51" s="14" t="s">
        <v>4</v>
      </c>
      <c r="AG51" s="15">
        <v>0.13941516175174412</v>
      </c>
      <c r="AR51" s="14" t="s">
        <v>4</v>
      </c>
      <c r="AS51" s="15">
        <v>0.13962791004149766</v>
      </c>
      <c r="BD51" s="14" t="s">
        <v>4</v>
      </c>
      <c r="BE51" s="15">
        <v>0.13962812348924364</v>
      </c>
      <c r="BP51" s="14" t="s">
        <v>4</v>
      </c>
      <c r="BQ51" s="15">
        <v>0.13962812348945866</v>
      </c>
      <c r="BR51" s="4">
        <f>BQ51/BR58</f>
        <v>1.2092018583109718</v>
      </c>
      <c r="BS51" s="4">
        <f>1-_xlfn.NORM.S.DIST(ABS(BR51),TRUE)</f>
        <v>0.11329265198298311</v>
      </c>
      <c r="BT51" s="4">
        <f>BS51*2</f>
        <v>0.22658530396596621</v>
      </c>
      <c r="BX51" s="20">
        <v>1</v>
      </c>
      <c r="BY51" s="19">
        <v>8</v>
      </c>
      <c r="BZ51" s="18">
        <f t="shared" si="24"/>
        <v>0.59731056452474662</v>
      </c>
      <c r="CA51" s="18">
        <v>0.39427155343271292</v>
      </c>
    </row>
    <row r="52" spans="8:80" x14ac:dyDescent="0.45">
      <c r="BX52" s="20">
        <v>1</v>
      </c>
      <c r="BY52" s="19">
        <v>9</v>
      </c>
      <c r="BZ52" s="18">
        <f t="shared" si="24"/>
        <v>0.63039218951328524</v>
      </c>
      <c r="CA52" s="18">
        <v>0.5338996769219565</v>
      </c>
    </row>
    <row r="53" spans="8:80" x14ac:dyDescent="0.45">
      <c r="T53" s="17">
        <f>-1*(U31-I31)/I31</f>
        <v>0.17097603880010367</v>
      </c>
      <c r="AF53" s="17">
        <f>-1*(AG31-U31)/U31</f>
        <v>1.2978969369614067E-2</v>
      </c>
      <c r="AR53" s="17">
        <f>-1*(AS31-AG31)/AG31</f>
        <v>3.4668796509923017E-4</v>
      </c>
      <c r="BD53" s="17">
        <f>-1*(BE31-AS31)/AS31</f>
        <v>3.3617425494490342E-7</v>
      </c>
      <c r="BP53" s="7" t="s">
        <v>29</v>
      </c>
      <c r="BQ53" s="5">
        <f t="array" ref="BQ53:BR54">MINVERSE(BQ47:BR48)</f>
        <v>-0.6614951348033129</v>
      </c>
      <c r="BR53" s="4">
        <v>4.4215304178246033E-2</v>
      </c>
      <c r="BX53" s="20">
        <v>1</v>
      </c>
      <c r="BY53" s="25">
        <v>10</v>
      </c>
      <c r="BZ53" s="26">
        <f t="shared" si="24"/>
        <v>0.66229264210620731</v>
      </c>
      <c r="CA53" s="26">
        <v>0.67352780041120008</v>
      </c>
      <c r="CB53" s="100">
        <f>CE23+CE24*10</f>
        <v>0.67352780041120008</v>
      </c>
    </row>
    <row r="54" spans="8:80" x14ac:dyDescent="0.45">
      <c r="BQ54" s="4">
        <v>4.4215304178246005E-2</v>
      </c>
      <c r="BR54" s="5">
        <v>-1.3333623596574095E-2</v>
      </c>
      <c r="BX54" s="20">
        <v>1</v>
      </c>
      <c r="BY54" s="19">
        <v>11</v>
      </c>
      <c r="BZ54" s="18">
        <f t="shared" si="24"/>
        <v>0.69278160451413651</v>
      </c>
      <c r="CA54" s="18">
        <v>0.81315592390044389</v>
      </c>
    </row>
    <row r="55" spans="8:80" x14ac:dyDescent="0.45">
      <c r="BX55" s="20">
        <v>1</v>
      </c>
      <c r="BY55" s="19">
        <v>12</v>
      </c>
      <c r="BZ55" s="18">
        <f t="shared" si="24"/>
        <v>0.72167472762516638</v>
      </c>
      <c r="CA55" s="18">
        <v>0.95278404738968747</v>
      </c>
    </row>
    <row r="56" spans="8:80" x14ac:dyDescent="0.45">
      <c r="BQ56" s="3" t="s">
        <v>3</v>
      </c>
      <c r="BR56" s="3" t="s">
        <v>4</v>
      </c>
      <c r="BX56" s="24">
        <v>1</v>
      </c>
      <c r="BY56" s="25">
        <v>13</v>
      </c>
      <c r="BZ56" s="26">
        <f t="shared" si="24"/>
        <v>0.74883567690930652</v>
      </c>
      <c r="CA56" s="26">
        <v>1.0924121708789309</v>
      </c>
      <c r="CB56" s="1">
        <v>0</v>
      </c>
    </row>
    <row r="57" spans="8:80" x14ac:dyDescent="0.45">
      <c r="BP57" t="s">
        <v>28</v>
      </c>
      <c r="BQ57" s="83">
        <f>-1*BQ53</f>
        <v>0.6614951348033129</v>
      </c>
      <c r="BR57" s="83">
        <f>-1*BR54</f>
        <v>1.3333623596574095E-2</v>
      </c>
      <c r="BX57" s="20">
        <v>1</v>
      </c>
      <c r="BY57" s="19">
        <v>14</v>
      </c>
      <c r="BZ57" s="18">
        <f t="shared" si="24"/>
        <v>0.77417547398992259</v>
      </c>
      <c r="CA57" s="18">
        <v>1.2320402943681747</v>
      </c>
      <c r="CB57">
        <v>0</v>
      </c>
    </row>
    <row r="58" spans="8:80" x14ac:dyDescent="0.45">
      <c r="BP58" t="s">
        <v>30</v>
      </c>
      <c r="BQ58" s="83">
        <f>SQRT(BQ57)</f>
        <v>0.81332351177333662</v>
      </c>
      <c r="BR58" s="83">
        <f>SQRT(BR57)</f>
        <v>0.11547131070778618</v>
      </c>
      <c r="BX58" s="20">
        <v>1</v>
      </c>
      <c r="BY58" s="19">
        <v>15</v>
      </c>
      <c r="BZ58" s="18">
        <f t="shared" si="24"/>
        <v>0.79764957783533108</v>
      </c>
      <c r="CA58" s="18">
        <v>1.3716684178574181</v>
      </c>
      <c r="CB58">
        <v>0</v>
      </c>
    </row>
    <row r="59" spans="8:80" x14ac:dyDescent="0.45">
      <c r="BX59" s="20">
        <v>1</v>
      </c>
      <c r="BY59" s="19">
        <v>16</v>
      </c>
      <c r="BZ59" s="18">
        <f t="shared" si="24"/>
        <v>0.81925327472500331</v>
      </c>
      <c r="CA59" s="18">
        <v>1.5112965413466619</v>
      </c>
      <c r="CB59">
        <v>1</v>
      </c>
    </row>
    <row r="60" spans="8:80" x14ac:dyDescent="0.45">
      <c r="BX60" s="20">
        <v>1</v>
      </c>
      <c r="BY60" s="19">
        <v>17</v>
      </c>
      <c r="BZ60" s="18">
        <f t="shared" si="24"/>
        <v>0.83901598235912489</v>
      </c>
      <c r="CA60" s="18">
        <v>1.6509246648359057</v>
      </c>
      <c r="CB60">
        <v>1</v>
      </c>
    </row>
    <row r="61" spans="8:80" x14ac:dyDescent="0.45">
      <c r="BX61" s="20">
        <v>1</v>
      </c>
      <c r="BY61" s="19">
        <v>18</v>
      </c>
      <c r="BZ61" s="18">
        <f t="shared" si="24"/>
        <v>0.85699503661117826</v>
      </c>
      <c r="CA61" s="18">
        <v>1.7905527883251491</v>
      </c>
      <c r="CB61">
        <v>1</v>
      </c>
    </row>
    <row r="62" spans="8:80" x14ac:dyDescent="0.45">
      <c r="BX62" s="20">
        <v>1</v>
      </c>
      <c r="BY62" s="19">
        <v>19</v>
      </c>
      <c r="BZ62" s="18">
        <f t="shared" si="24"/>
        <v>0.87326944272651619</v>
      </c>
      <c r="CA62" s="18">
        <v>1.9301809118143929</v>
      </c>
      <c r="CB62">
        <v>1</v>
      </c>
    </row>
    <row r="63" spans="8:80" x14ac:dyDescent="0.45">
      <c r="BX63" s="20">
        <v>1</v>
      </c>
      <c r="BY63" s="19">
        <v>20</v>
      </c>
      <c r="BZ63" s="18">
        <f t="shared" si="24"/>
        <v>0.88793396048037787</v>
      </c>
      <c r="CA63" s="18">
        <v>2.0698090353036362</v>
      </c>
      <c r="CB63">
        <v>1</v>
      </c>
    </row>
  </sheetData>
  <mergeCells count="42">
    <mergeCell ref="BP1:BS1"/>
    <mergeCell ref="H1:K1"/>
    <mergeCell ref="T1:W1"/>
    <mergeCell ref="AF1:AI1"/>
    <mergeCell ref="AR1:AU1"/>
    <mergeCell ref="BD1:BG1"/>
    <mergeCell ref="BP30:BQ30"/>
    <mergeCell ref="F17:G17"/>
    <mergeCell ref="R17:S17"/>
    <mergeCell ref="AD17:AE17"/>
    <mergeCell ref="AP17:AQ17"/>
    <mergeCell ref="BB17:BC17"/>
    <mergeCell ref="BN17:BO17"/>
    <mergeCell ref="H30:I30"/>
    <mergeCell ref="T30:U30"/>
    <mergeCell ref="AF30:AG30"/>
    <mergeCell ref="AR30:AS30"/>
    <mergeCell ref="BD30:BE30"/>
    <mergeCell ref="BP35:BQ35"/>
    <mergeCell ref="H32:I32"/>
    <mergeCell ref="T32:U32"/>
    <mergeCell ref="AF32:AG32"/>
    <mergeCell ref="AR32:AS32"/>
    <mergeCell ref="BD32:BE32"/>
    <mergeCell ref="BP32:BQ32"/>
    <mergeCell ref="H35:I35"/>
    <mergeCell ref="T35:U35"/>
    <mergeCell ref="AF35:AG35"/>
    <mergeCell ref="AR35:AS35"/>
    <mergeCell ref="BD35:BE35"/>
    <mergeCell ref="BP49:BQ49"/>
    <mergeCell ref="H46:I46"/>
    <mergeCell ref="T46:U46"/>
    <mergeCell ref="AF46:AG46"/>
    <mergeCell ref="AR46:AS46"/>
    <mergeCell ref="BD46:BE46"/>
    <mergeCell ref="BP46:BQ46"/>
    <mergeCell ref="H49:I49"/>
    <mergeCell ref="T49:U49"/>
    <mergeCell ref="AF49:AG49"/>
    <mergeCell ref="AR49:AS49"/>
    <mergeCell ref="BD49:BE4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5"/>
  <sheetViews>
    <sheetView zoomScale="49" zoomScaleNormal="49" workbookViewId="0">
      <selection activeCell="C14" sqref="C14"/>
    </sheetView>
  </sheetViews>
  <sheetFormatPr defaultRowHeight="14.25" x14ac:dyDescent="0.45"/>
  <cols>
    <col min="9" max="9" width="9.19921875" bestFit="1" customWidth="1"/>
    <col min="79" max="79" width="10.3984375" bestFit="1" customWidth="1"/>
    <col min="80" max="80" width="12.19921875" customWidth="1"/>
    <col min="81" max="81" width="11.59765625" customWidth="1"/>
  </cols>
  <sheetData>
    <row r="1" spans="1:95" x14ac:dyDescent="0.45">
      <c r="A1" s="30" t="s">
        <v>32</v>
      </c>
      <c r="B1" s="30" t="s">
        <v>31</v>
      </c>
      <c r="C1" s="31" t="s">
        <v>1</v>
      </c>
      <c r="H1" s="87" t="s">
        <v>13</v>
      </c>
      <c r="I1" s="87"/>
      <c r="J1" s="87"/>
      <c r="K1" s="87"/>
      <c r="T1" s="87" t="s">
        <v>35</v>
      </c>
      <c r="U1" s="87"/>
      <c r="V1" s="87"/>
      <c r="W1" s="87"/>
      <c r="AF1" s="87" t="s">
        <v>36</v>
      </c>
      <c r="AG1" s="87"/>
      <c r="AH1" s="87"/>
      <c r="AI1" s="87"/>
      <c r="AR1" s="87" t="s">
        <v>37</v>
      </c>
      <c r="AS1" s="87"/>
      <c r="AT1" s="87"/>
      <c r="AU1" s="87"/>
      <c r="BD1" s="87" t="s">
        <v>38</v>
      </c>
      <c r="BE1" s="87"/>
      <c r="BF1" s="87"/>
      <c r="BG1" s="87"/>
      <c r="BP1" s="87" t="s">
        <v>39</v>
      </c>
      <c r="BQ1" s="87"/>
      <c r="BR1" s="87"/>
      <c r="BS1" s="87"/>
      <c r="BY1" s="63"/>
      <c r="BZ1" s="64"/>
      <c r="CA1" s="64"/>
      <c r="CB1" s="91" t="s">
        <v>40</v>
      </c>
      <c r="CC1" s="91"/>
      <c r="CD1" s="91"/>
      <c r="CE1" s="91"/>
      <c r="CF1" s="64"/>
      <c r="CG1" s="64"/>
      <c r="CH1" s="64"/>
      <c r="CI1" s="64"/>
      <c r="CJ1" s="65"/>
      <c r="CN1" s="87" t="s">
        <v>84</v>
      </c>
      <c r="CO1" s="87"/>
      <c r="CP1" s="87"/>
      <c r="CQ1" s="87"/>
    </row>
    <row r="2" spans="1:95" x14ac:dyDescent="0.45">
      <c r="A2" s="32">
        <v>8</v>
      </c>
      <c r="B2" s="32">
        <v>2</v>
      </c>
      <c r="C2" s="30">
        <v>1</v>
      </c>
      <c r="F2">
        <f>EXP(I2)</f>
        <v>1</v>
      </c>
      <c r="H2" s="3" t="s">
        <v>3</v>
      </c>
      <c r="I2" s="3">
        <v>0</v>
      </c>
      <c r="K2" t="s">
        <v>89</v>
      </c>
      <c r="R2">
        <f>EXP(U2)</f>
        <v>0.69258544066589878</v>
      </c>
      <c r="T2" s="3" t="s">
        <v>3</v>
      </c>
      <c r="U2" s="22">
        <f>I52</f>
        <v>-0.36732366850837406</v>
      </c>
      <c r="W2" t="s">
        <v>89</v>
      </c>
      <c r="AD2">
        <f>EXP(AG2)</f>
        <v>0.55022989874942618</v>
      </c>
      <c r="AF2" s="3" t="s">
        <v>3</v>
      </c>
      <c r="AG2" s="22">
        <f>U52</f>
        <v>-0.59741909036610374</v>
      </c>
      <c r="AI2" t="s">
        <v>89</v>
      </c>
      <c r="AP2">
        <f>EXP(AS2)</f>
        <v>0.46349800352620646</v>
      </c>
      <c r="AR2" s="3" t="s">
        <v>3</v>
      </c>
      <c r="AS2" s="22">
        <f>AG52</f>
        <v>-0.76895320137232936</v>
      </c>
      <c r="AU2" t="s">
        <v>89</v>
      </c>
      <c r="BB2">
        <f>EXP(BE2)</f>
        <v>0.42235702779006384</v>
      </c>
      <c r="BD2" s="3" t="s">
        <v>3</v>
      </c>
      <c r="BE2" s="22">
        <f>AS52</f>
        <v>-0.86190428521683726</v>
      </c>
      <c r="BG2" t="s">
        <v>89</v>
      </c>
      <c r="BN2">
        <f>EXP(BQ2)</f>
        <v>0.41455855908791789</v>
      </c>
      <c r="BP2" s="3" t="s">
        <v>3</v>
      </c>
      <c r="BQ2" s="22">
        <f>BE52</f>
        <v>-0.8805410379368297</v>
      </c>
      <c r="BS2" t="s">
        <v>89</v>
      </c>
      <c r="BY2" s="38"/>
      <c r="BZ2" s="39">
        <f>EXP(CC2)</f>
        <v>0.41431341616601958</v>
      </c>
      <c r="CA2" s="39"/>
      <c r="CB2" s="40" t="s">
        <v>3</v>
      </c>
      <c r="CC2" s="41">
        <f>BQ52</f>
        <v>-0.88113254769072347</v>
      </c>
      <c r="CD2" s="39"/>
      <c r="CE2" t="s">
        <v>89</v>
      </c>
      <c r="CF2" s="39"/>
      <c r="CG2" s="39"/>
      <c r="CH2" s="39"/>
      <c r="CI2" s="39"/>
      <c r="CJ2" s="42"/>
      <c r="CL2">
        <f>EXP(CO2)</f>
        <v>0.41431317163636394</v>
      </c>
      <c r="CN2" s="3" t="s">
        <v>3</v>
      </c>
      <c r="CO2" s="22">
        <f>CC52</f>
        <v>-0.88113313789542902</v>
      </c>
      <c r="CQ2" t="s">
        <v>89</v>
      </c>
    </row>
    <row r="3" spans="1:95" x14ac:dyDescent="0.45">
      <c r="A3" s="32">
        <v>14</v>
      </c>
      <c r="B3" s="32">
        <v>14</v>
      </c>
      <c r="C3" s="30">
        <v>1</v>
      </c>
      <c r="F3">
        <f>EXP(I3)</f>
        <v>1</v>
      </c>
      <c r="H3" s="3" t="s">
        <v>33</v>
      </c>
      <c r="I3" s="3">
        <v>0</v>
      </c>
      <c r="K3" s="43">
        <f>$C2*LN(I5/(1-I5))</f>
        <v>0</v>
      </c>
      <c r="R3">
        <f>EXP(U3)</f>
        <v>1.2257427811076047</v>
      </c>
      <c r="T3" s="3" t="s">
        <v>33</v>
      </c>
      <c r="U3" s="22">
        <f>I53</f>
        <v>0.2035470121642145</v>
      </c>
      <c r="W3" s="43">
        <f>$C2*LN(U5/(1-U5))</f>
        <v>1.0044743839330796</v>
      </c>
      <c r="AD3">
        <f>EXP(AG3)</f>
        <v>1.3718976329417523</v>
      </c>
      <c r="AF3" s="3" t="s">
        <v>33</v>
      </c>
      <c r="AG3" s="22">
        <f>U53</f>
        <v>0.31619491496162316</v>
      </c>
      <c r="AI3" s="43">
        <f>$C2*LN(AG5/(1-AG5))</f>
        <v>1.4833197670824227</v>
      </c>
      <c r="AP3">
        <f>EXP(AS3)</f>
        <v>1.509236297290657</v>
      </c>
      <c r="AR3" s="3" t="s">
        <v>33</v>
      </c>
      <c r="AS3" s="22">
        <f>AG53</f>
        <v>0.41160375950172146</v>
      </c>
      <c r="AU3" s="43">
        <f>$C2*LN(AS5/(1-AS5))</f>
        <v>1.8945971797382262</v>
      </c>
      <c r="BB3">
        <f>EXP(BE3)</f>
        <v>1.5964422476144735</v>
      </c>
      <c r="BD3" s="3" t="s">
        <v>33</v>
      </c>
      <c r="BE3" s="22">
        <f>AS53</f>
        <v>0.46777755814599759</v>
      </c>
      <c r="BG3" s="43">
        <f>$C2*LN(BE5/(1-BE5))</f>
        <v>2.1436019878773416</v>
      </c>
      <c r="BN3">
        <f>EXP(BQ3)</f>
        <v>1.615688027364983</v>
      </c>
      <c r="BP3" s="3" t="s">
        <v>33</v>
      </c>
      <c r="BQ3" s="22">
        <f>BE53</f>
        <v>0.47976088908874148</v>
      </c>
      <c r="BS3" s="43">
        <f>$C2*LN(BQ5/(1-BQ5))</f>
        <v>2.198000612940711</v>
      </c>
      <c r="BY3" s="38"/>
      <c r="BZ3" s="39">
        <f>EXP(CC3)</f>
        <v>1.6163254088975052</v>
      </c>
      <c r="CA3" s="39"/>
      <c r="CB3" s="40" t="s">
        <v>33</v>
      </c>
      <c r="CC3" s="41">
        <f>BQ53</f>
        <v>0.48015530671933287</v>
      </c>
      <c r="CD3" s="39"/>
      <c r="CE3" s="43">
        <f>$C2*LN(CC5/(1-CC5))</f>
        <v>2.1998150210891669</v>
      </c>
      <c r="CF3" s="39"/>
      <c r="CG3" s="39"/>
      <c r="CH3" s="39"/>
      <c r="CI3" s="39"/>
      <c r="CJ3" s="42"/>
      <c r="CL3">
        <f>EXP(CO3)</f>
        <v>1.6163260527001857</v>
      </c>
      <c r="CN3" s="3" t="s">
        <v>33</v>
      </c>
      <c r="CO3" s="22">
        <f t="shared" ref="CO3:CO4" si="0">CC53</f>
        <v>0.48015570503179444</v>
      </c>
      <c r="CQ3" s="43">
        <f>$C2*LN(CO5/(1-CO5))</f>
        <v>2.1998168610175965</v>
      </c>
    </row>
    <row r="4" spans="1:95" x14ac:dyDescent="0.45">
      <c r="A4" s="32">
        <v>-7</v>
      </c>
      <c r="B4" s="32">
        <v>6</v>
      </c>
      <c r="C4" s="30">
        <v>0</v>
      </c>
      <c r="H4" s="3" t="s">
        <v>34</v>
      </c>
      <c r="I4" s="3">
        <v>0</v>
      </c>
      <c r="K4" s="43">
        <f t="shared" ref="K4:K12" si="1">$C3*LN(I6/(1-I6))</f>
        <v>0</v>
      </c>
      <c r="T4" s="3" t="s">
        <v>34</v>
      </c>
      <c r="U4" s="22">
        <f>I54</f>
        <v>-0.12828902243613127</v>
      </c>
      <c r="W4" s="43">
        <f t="shared" ref="W4:W12" si="2">$C3*LN(U6/(1-U6))</f>
        <v>0.6862881876847915</v>
      </c>
      <c r="AF4" s="3" t="s">
        <v>34</v>
      </c>
      <c r="AG4" s="22">
        <f>U54</f>
        <v>-0.22441023112222938</v>
      </c>
      <c r="AI4" s="43">
        <f t="shared" ref="AI4:AI12" si="3">$C3*LN(AG6/(1-AG6))</f>
        <v>0.68756648338540893</v>
      </c>
      <c r="AR4" s="3" t="s">
        <v>34</v>
      </c>
      <c r="AS4" s="22">
        <f>AG54</f>
        <v>-0.31463984745160806</v>
      </c>
      <c r="AU4" s="43">
        <f t="shared" ref="AU4:AU12" si="4">$C3*LN(AS6/(1-AS6))</f>
        <v>0.58854156732925855</v>
      </c>
      <c r="BD4" s="3" t="s">
        <v>34</v>
      </c>
      <c r="BE4" s="22">
        <f>AS54</f>
        <v>-0.36835709603690092</v>
      </c>
      <c r="BG4" s="43">
        <f t="shared" ref="BG4:BG12" si="5">$C3*LN(BE6/(1-BE6))</f>
        <v>0.5299821843105158</v>
      </c>
      <c r="BP4" s="3" t="s">
        <v>34</v>
      </c>
      <c r="BQ4" s="22">
        <f>BE54</f>
        <v>-0.37977273091619568</v>
      </c>
      <c r="BS4" s="43">
        <f t="shared" ref="BS4:BS12" si="6">$C3*LN(BQ6/(1-BQ6))</f>
        <v>0.51929317647881135</v>
      </c>
      <c r="BY4" s="38"/>
      <c r="BZ4" s="39"/>
      <c r="CA4" s="39"/>
      <c r="CB4" s="40" t="s">
        <v>34</v>
      </c>
      <c r="CC4" s="41">
        <f>BQ54</f>
        <v>-0.3801474424873863</v>
      </c>
      <c r="CD4" s="39"/>
      <c r="CE4" s="43">
        <f t="shared" ref="CE4:CE12" si="7">$C3*LN(CC6/(1-CC6))</f>
        <v>0.51897755155652814</v>
      </c>
      <c r="CF4" s="39"/>
      <c r="CG4" s="39"/>
      <c r="CH4" s="39"/>
      <c r="CI4" s="39"/>
      <c r="CJ4" s="42"/>
      <c r="CN4" s="3" t="s">
        <v>34</v>
      </c>
      <c r="CO4" s="22">
        <f t="shared" si="0"/>
        <v>-0.38014782067066494</v>
      </c>
      <c r="CQ4" s="43">
        <f t="shared" ref="CQ4:CQ11" si="8">$C3*LN(CO6/(1-CO6))</f>
        <v>0.51897724316038274</v>
      </c>
    </row>
    <row r="5" spans="1:95" x14ac:dyDescent="0.45">
      <c r="A5" s="32">
        <v>6</v>
      </c>
      <c r="B5" s="32">
        <v>4</v>
      </c>
      <c r="C5" s="30">
        <v>0</v>
      </c>
      <c r="I5" s="5">
        <f>EXP(I$2+I$3*F18+I$4*G18)/(1+EXP(I$2+I$3*F18+I$4*G18))</f>
        <v>0.5</v>
      </c>
      <c r="K5" s="43">
        <f t="shared" si="1"/>
        <v>0</v>
      </c>
      <c r="U5" s="5">
        <f>EXP(U$2+U$3*R18+U$4*S18)/(1+EXP(U$2+U$3*R18+U$4*S18))</f>
        <v>0.73193738588869373</v>
      </c>
      <c r="W5" s="43">
        <f t="shared" si="2"/>
        <v>0</v>
      </c>
      <c r="AG5" s="5">
        <f>EXP(AG$2+AG$3*AD18+AG$4*AE18)/(1+EXP(AG$2+AG$3*AD18+AG$4*AE18))</f>
        <v>0.81507348834812388</v>
      </c>
      <c r="AI5" s="43">
        <f t="shared" si="3"/>
        <v>0</v>
      </c>
      <c r="AS5" s="5">
        <f>EXP(AS$2+AS$3*AP18+AS$4*AQ18)/(1+EXP(AS$2+AS$3*AP18+AS$4*AQ18))</f>
        <v>0.86927881004345275</v>
      </c>
      <c r="AU5" s="43">
        <f t="shared" si="4"/>
        <v>0</v>
      </c>
      <c r="BE5" s="5">
        <f>EXP(BE$2+BE$3*BB18+BE$4*BC18)/(1+EXP(BE$2+BE$3*BB18+BE$4*BC18))</f>
        <v>0.89506939154347587</v>
      </c>
      <c r="BG5" s="43">
        <f t="shared" si="5"/>
        <v>0</v>
      </c>
      <c r="BQ5" s="5">
        <f>EXP(BQ$2+BQ$3*BN18+BQ$4*BO18)/(1+EXP(BQ$2+BQ$3*BN18+BQ$4*BO18))</f>
        <v>0.90006982152730375</v>
      </c>
      <c r="BS5" s="43">
        <f t="shared" si="6"/>
        <v>0</v>
      </c>
      <c r="BY5" s="38"/>
      <c r="BZ5" s="39"/>
      <c r="CA5" s="39"/>
      <c r="CB5" s="39"/>
      <c r="CC5" s="44">
        <f>EXP(CC$2+CC$3*BZ18+CC$4*CA18)/(1+EXP(CC$2+CC$3*BZ18+CC$4*CA18))</f>
        <v>0.90023289848335997</v>
      </c>
      <c r="CD5" s="39"/>
      <c r="CE5" s="43">
        <f t="shared" si="7"/>
        <v>0</v>
      </c>
      <c r="CF5" s="39"/>
      <c r="CG5" s="39"/>
      <c r="CH5" s="39"/>
      <c r="CI5" s="39"/>
      <c r="CJ5" s="42"/>
      <c r="CO5" s="5">
        <f>EXP(CO$2+CO$3*CL18+CO$4*CM18)/(1+EXP(CO$2+CO$3*CL18+CO$4*CM18))</f>
        <v>0.9002330637338839</v>
      </c>
      <c r="CQ5" s="43">
        <f t="shared" si="8"/>
        <v>0</v>
      </c>
    </row>
    <row r="6" spans="1:95" x14ac:dyDescent="0.45">
      <c r="A6" s="32">
        <v>5</v>
      </c>
      <c r="B6" s="32">
        <v>4</v>
      </c>
      <c r="C6" s="30">
        <v>1</v>
      </c>
      <c r="I6" s="5">
        <f t="shared" ref="I6:I13" si="9">EXP(I$2+I$3*F19+I$4*G19)/(1+EXP(I$2+I$3*F19+I$4*G19))</f>
        <v>0.5</v>
      </c>
      <c r="K6" s="43">
        <f t="shared" si="1"/>
        <v>0</v>
      </c>
      <c r="U6" s="5">
        <f t="shared" ref="U6:U13" si="10">EXP(U$2+U$3*R19+U$4*S19)/(1+EXP(U$2+U$3*R19+U$4*S19))</f>
        <v>0.6651407075864908</v>
      </c>
      <c r="W6" s="43">
        <f t="shared" si="2"/>
        <v>0</v>
      </c>
      <c r="AG6" s="5">
        <f t="shared" ref="AG6:AG13" si="11">EXP(AG$2+AG$3*AD19+AG$4*AE19)/(1+EXP(AG$2+AG$3*AD19+AG$4*AE19))</f>
        <v>0.66542536040155142</v>
      </c>
      <c r="AI6" s="43">
        <f t="shared" si="3"/>
        <v>0</v>
      </c>
      <c r="AS6" s="5">
        <f t="shared" ref="AS6:AS13" si="12">EXP(AS$2+AS$3*AP19+AS$4*AQ19)/(1+EXP(AS$2+AS$3*AP19+AS$4*AQ19))</f>
        <v>0.64303044359440853</v>
      </c>
      <c r="AU6" s="43">
        <f t="shared" si="4"/>
        <v>0</v>
      </c>
      <c r="BE6" s="5">
        <f t="shared" ref="BE6:BE13" si="13">EXP(BE$2+BE$3*BB19+BE$4*BC19)/(1+EXP(BE$2+BE$3*BB19+BE$4*BC19))</f>
        <v>0.62947895673108434</v>
      </c>
      <c r="BG6" s="43">
        <f t="shared" si="5"/>
        <v>0</v>
      </c>
      <c r="BQ6" s="5">
        <f t="shared" ref="BQ6:BQ13" si="14">EXP(BQ$2+BQ$3*BN19+BQ$4*BO19)/(1+EXP(BQ$2+BQ$3*BN19+BQ$4*BO19))</f>
        <v>0.62698247248561523</v>
      </c>
      <c r="BS6" s="43">
        <f t="shared" si="6"/>
        <v>0</v>
      </c>
      <c r="BY6" s="38"/>
      <c r="BZ6" s="39"/>
      <c r="CA6" s="39"/>
      <c r="CB6" s="39"/>
      <c r="CC6" s="44">
        <f t="shared" ref="CC6:CC13" si="15">EXP(CC$2+CC$3*BZ19+CC$4*CA19)/(1+EXP(CC$2+CC$3*BZ19+CC$4*CA19))</f>
        <v>0.62690865260635253</v>
      </c>
      <c r="CD6" s="39"/>
      <c r="CE6" s="43">
        <f t="shared" si="7"/>
        <v>0</v>
      </c>
      <c r="CF6" s="39"/>
      <c r="CG6" s="39"/>
      <c r="CH6" s="39"/>
      <c r="CI6" s="39"/>
      <c r="CJ6" s="42"/>
      <c r="CO6" s="5">
        <f t="shared" ref="CO6:CO13" si="16">EXP(CO$2+CO$3*CL19+CO$4*CM19)/(1+EXP(CO$2+CO$3*CL19+CO$4*CM19))</f>
        <v>0.62690858047428188</v>
      </c>
      <c r="CQ6" s="43">
        <f t="shared" si="8"/>
        <v>0</v>
      </c>
    </row>
    <row r="7" spans="1:95" x14ac:dyDescent="0.45">
      <c r="A7" s="32">
        <v>6</v>
      </c>
      <c r="B7" s="32">
        <v>4</v>
      </c>
      <c r="C7" s="30">
        <v>0</v>
      </c>
      <c r="I7" s="5">
        <f t="shared" si="9"/>
        <v>0.5</v>
      </c>
      <c r="K7" s="43">
        <f t="shared" si="1"/>
        <v>0</v>
      </c>
      <c r="U7" s="5">
        <f t="shared" si="10"/>
        <v>7.1631961172235109E-2</v>
      </c>
      <c r="W7" s="43">
        <f t="shared" si="2"/>
        <v>0.13725530256817306</v>
      </c>
      <c r="AG7" s="5">
        <f t="shared" si="11"/>
        <v>1.5409450456003081E-2</v>
      </c>
      <c r="AI7" s="43">
        <f t="shared" si="3"/>
        <v>8.5914559953094952E-2</v>
      </c>
      <c r="AS7" s="5">
        <f t="shared" si="12"/>
        <v>3.9188963900058061E-3</v>
      </c>
      <c r="AU7" s="43">
        <f t="shared" si="4"/>
        <v>3.0506206329845548E-2</v>
      </c>
      <c r="BE7" s="5">
        <f t="shared" si="13"/>
        <v>1.749822152524788E-3</v>
      </c>
      <c r="BG7" s="43">
        <f t="shared" si="5"/>
        <v>3.5551213655473646E-3</v>
      </c>
      <c r="BQ7" s="5">
        <f t="shared" si="14"/>
        <v>1.4751731454412836E-3</v>
      </c>
      <c r="BS7" s="43">
        <f t="shared" si="6"/>
        <v>-8.2751615790480765E-4</v>
      </c>
      <c r="BY7" s="38"/>
      <c r="BZ7" s="39"/>
      <c r="CA7" s="39"/>
      <c r="CB7" s="39"/>
      <c r="CC7" s="44">
        <f t="shared" si="15"/>
        <v>1.4669463188061247E-3</v>
      </c>
      <c r="CD7" s="39"/>
      <c r="CE7" s="43">
        <f t="shared" si="7"/>
        <v>-9.457840436047308E-4</v>
      </c>
      <c r="CF7" s="39"/>
      <c r="CG7" s="39"/>
      <c r="CH7" s="39"/>
      <c r="CI7" s="39"/>
      <c r="CJ7" s="42"/>
      <c r="CO7" s="5">
        <f t="shared" si="16"/>
        <v>1.466938046415405E-3</v>
      </c>
      <c r="CQ7" s="43">
        <f t="shared" si="8"/>
        <v>-9.4589541911646211E-4</v>
      </c>
    </row>
    <row r="8" spans="1:95" x14ac:dyDescent="0.45">
      <c r="A8" s="32">
        <v>-5</v>
      </c>
      <c r="B8" s="32">
        <v>-7</v>
      </c>
      <c r="C8" s="30">
        <v>1</v>
      </c>
      <c r="I8" s="5">
        <f t="shared" si="9"/>
        <v>0.5</v>
      </c>
      <c r="K8" s="43">
        <f t="shared" si="1"/>
        <v>0</v>
      </c>
      <c r="U8" s="5">
        <f t="shared" si="10"/>
        <v>0.58438540160227637</v>
      </c>
      <c r="W8" s="43">
        <f t="shared" si="2"/>
        <v>0</v>
      </c>
      <c r="AG8" s="5">
        <f t="shared" si="11"/>
        <v>0.5991943784524919</v>
      </c>
      <c r="AI8" s="43">
        <f t="shared" si="3"/>
        <v>0</v>
      </c>
      <c r="AS8" s="5">
        <f t="shared" si="12"/>
        <v>0.60876167836474848</v>
      </c>
      <c r="AU8" s="43">
        <f t="shared" si="4"/>
        <v>0</v>
      </c>
      <c r="BE8" s="5">
        <f t="shared" si="13"/>
        <v>0.61569913521633879</v>
      </c>
      <c r="BG8" s="43">
        <f t="shared" si="5"/>
        <v>0</v>
      </c>
      <c r="BQ8" s="5">
        <f t="shared" si="14"/>
        <v>0.61749597470608253</v>
      </c>
      <c r="BS8" s="43">
        <f t="shared" si="6"/>
        <v>0</v>
      </c>
      <c r="BY8" s="38"/>
      <c r="BZ8" s="39"/>
      <c r="CA8" s="39"/>
      <c r="CB8" s="39"/>
      <c r="CC8" s="44">
        <f t="shared" si="15"/>
        <v>0.61756119769443685</v>
      </c>
      <c r="CD8" s="39"/>
      <c r="CE8" s="43">
        <f t="shared" si="7"/>
        <v>0</v>
      </c>
      <c r="CF8" s="39"/>
      <c r="CG8" s="39"/>
      <c r="CH8" s="39"/>
      <c r="CI8" s="39"/>
      <c r="CJ8" s="42"/>
      <c r="CO8" s="5">
        <f t="shared" si="16"/>
        <v>0.61756126546302093</v>
      </c>
      <c r="CQ8" s="43">
        <f t="shared" si="8"/>
        <v>0</v>
      </c>
    </row>
    <row r="9" spans="1:95" x14ac:dyDescent="0.45">
      <c r="A9" s="32">
        <v>1</v>
      </c>
      <c r="B9" s="32">
        <v>2</v>
      </c>
      <c r="C9" s="30">
        <v>0</v>
      </c>
      <c r="H9" s="28" t="s">
        <v>5</v>
      </c>
      <c r="I9" s="5">
        <f t="shared" si="9"/>
        <v>0.5</v>
      </c>
      <c r="K9" s="43">
        <f t="shared" si="1"/>
        <v>0</v>
      </c>
      <c r="T9" s="28" t="s">
        <v>5</v>
      </c>
      <c r="U9" s="5">
        <f t="shared" si="10"/>
        <v>0.53426005703606516</v>
      </c>
      <c r="W9" s="43">
        <f t="shared" si="2"/>
        <v>-0.48703557227652755</v>
      </c>
      <c r="AF9" s="28" t="s">
        <v>5</v>
      </c>
      <c r="AG9" s="5">
        <f t="shared" si="11"/>
        <v>0.5214654380217415</v>
      </c>
      <c r="AI9" s="43">
        <f t="shared" si="3"/>
        <v>-0.60752204731861392</v>
      </c>
      <c r="AR9" s="28" t="s">
        <v>5</v>
      </c>
      <c r="AS9" s="5">
        <f t="shared" si="12"/>
        <v>0.50762596018023143</v>
      </c>
      <c r="AU9" s="43">
        <f t="shared" si="4"/>
        <v>-0.62449306671967997</v>
      </c>
      <c r="BD9" s="28" t="s">
        <v>5</v>
      </c>
      <c r="BE9" s="5">
        <f t="shared" si="13"/>
        <v>0.50088877940528842</v>
      </c>
      <c r="BG9" s="43">
        <f t="shared" si="5"/>
        <v>-0.62229240368851824</v>
      </c>
      <c r="BP9" s="28" t="s">
        <v>5</v>
      </c>
      <c r="BQ9" s="5">
        <f t="shared" si="14"/>
        <v>0.49979312097232936</v>
      </c>
      <c r="BS9" s="43">
        <f t="shared" si="6"/>
        <v>-0.62093636696716725</v>
      </c>
      <c r="BY9" s="38"/>
      <c r="BZ9" s="39"/>
      <c r="CA9" s="39"/>
      <c r="CB9" s="45" t="s">
        <v>5</v>
      </c>
      <c r="CC9" s="44">
        <f t="shared" si="15"/>
        <v>0.49976355400672406</v>
      </c>
      <c r="CD9" s="39"/>
      <c r="CE9" s="43">
        <f t="shared" si="7"/>
        <v>-0.62087698387568335</v>
      </c>
      <c r="CF9" s="39"/>
      <c r="CG9" s="39"/>
      <c r="CH9" s="39"/>
      <c r="CI9" s="39"/>
      <c r="CJ9" s="42"/>
      <c r="CN9" s="28" t="s">
        <v>5</v>
      </c>
      <c r="CO9" s="5">
        <f t="shared" si="16"/>
        <v>0.4997635261628523</v>
      </c>
      <c r="CQ9" s="43">
        <f t="shared" si="8"/>
        <v>-0.62087691835974645</v>
      </c>
    </row>
    <row r="10" spans="1:95" x14ac:dyDescent="0.45">
      <c r="A10" s="32">
        <v>0</v>
      </c>
      <c r="B10" s="32">
        <v>10</v>
      </c>
      <c r="C10" s="30">
        <v>0</v>
      </c>
      <c r="I10" s="5">
        <f t="shared" si="9"/>
        <v>0.5</v>
      </c>
      <c r="K10" s="43">
        <f t="shared" si="1"/>
        <v>0</v>
      </c>
      <c r="U10" s="5">
        <f t="shared" si="10"/>
        <v>0.58438540160227637</v>
      </c>
      <c r="W10" s="43">
        <f t="shared" si="2"/>
        <v>0</v>
      </c>
      <c r="AG10" s="5">
        <f t="shared" si="11"/>
        <v>0.5991943784524919</v>
      </c>
      <c r="AI10" s="43">
        <f t="shared" si="3"/>
        <v>0</v>
      </c>
      <c r="AS10" s="5">
        <f t="shared" si="12"/>
        <v>0.60876167836474848</v>
      </c>
      <c r="AU10" s="43">
        <f t="shared" si="4"/>
        <v>0</v>
      </c>
      <c r="BE10" s="5">
        <f t="shared" si="13"/>
        <v>0.61569913521633879</v>
      </c>
      <c r="BG10" s="43">
        <f t="shared" si="5"/>
        <v>0</v>
      </c>
      <c r="BQ10" s="5">
        <f t="shared" si="14"/>
        <v>0.61749597470608253</v>
      </c>
      <c r="BS10" s="43">
        <f t="shared" si="6"/>
        <v>0</v>
      </c>
      <c r="BY10" s="38"/>
      <c r="BZ10" s="39"/>
      <c r="CA10" s="39"/>
      <c r="CB10" s="39"/>
      <c r="CC10" s="44">
        <f t="shared" si="15"/>
        <v>0.61756119769443685</v>
      </c>
      <c r="CD10" s="39"/>
      <c r="CE10" s="43">
        <f t="shared" si="7"/>
        <v>0</v>
      </c>
      <c r="CF10" s="39"/>
      <c r="CG10" s="39"/>
      <c r="CH10" s="39"/>
      <c r="CI10" s="39"/>
      <c r="CJ10" s="42"/>
      <c r="CO10" s="5">
        <f t="shared" si="16"/>
        <v>0.61756126546302093</v>
      </c>
      <c r="CQ10" s="43">
        <f t="shared" si="8"/>
        <v>0</v>
      </c>
    </row>
    <row r="11" spans="1:95" x14ac:dyDescent="0.45">
      <c r="A11" s="32">
        <v>-17</v>
      </c>
      <c r="B11" s="32">
        <v>-19</v>
      </c>
      <c r="C11" s="30">
        <v>0</v>
      </c>
      <c r="I11" s="5">
        <f t="shared" si="9"/>
        <v>0.5</v>
      </c>
      <c r="K11" s="43">
        <f t="shared" si="1"/>
        <v>0</v>
      </c>
      <c r="U11" s="5">
        <f t="shared" si="10"/>
        <v>0.38059215929209272</v>
      </c>
      <c r="W11" s="43">
        <f t="shared" si="2"/>
        <v>0</v>
      </c>
      <c r="AG11" s="5">
        <f t="shared" si="11"/>
        <v>0.3526246594289828</v>
      </c>
      <c r="AI11" s="43">
        <f t="shared" si="3"/>
        <v>0</v>
      </c>
      <c r="AS11" s="5">
        <f t="shared" si="12"/>
        <v>0.3487602645078951</v>
      </c>
      <c r="AU11" s="43">
        <f t="shared" si="4"/>
        <v>0</v>
      </c>
      <c r="BE11" s="5">
        <f t="shared" si="13"/>
        <v>0.34926025970363067</v>
      </c>
      <c r="BG11" s="43">
        <f t="shared" si="5"/>
        <v>0</v>
      </c>
      <c r="BQ11" s="5">
        <f t="shared" si="14"/>
        <v>0.34956851934488392</v>
      </c>
      <c r="BS11" s="43">
        <f t="shared" si="6"/>
        <v>0</v>
      </c>
      <c r="BY11" s="38"/>
      <c r="BZ11" s="39"/>
      <c r="CA11" s="39"/>
      <c r="CB11" s="39"/>
      <c r="CC11" s="44">
        <f t="shared" si="15"/>
        <v>0.34958202142095546</v>
      </c>
      <c r="CD11" s="39"/>
      <c r="CE11" s="43">
        <f t="shared" si="7"/>
        <v>0</v>
      </c>
      <c r="CF11" s="39"/>
      <c r="CG11" s="39"/>
      <c r="CH11" s="39"/>
      <c r="CI11" s="39"/>
      <c r="CJ11" s="42"/>
      <c r="CO11" s="5">
        <f t="shared" si="16"/>
        <v>0.34958203631760454</v>
      </c>
      <c r="CQ11" s="43">
        <f t="shared" si="8"/>
        <v>0</v>
      </c>
    </row>
    <row r="12" spans="1:95" x14ac:dyDescent="0.45">
      <c r="B12" t="s">
        <v>5</v>
      </c>
      <c r="C12" s="4">
        <f>AVERAGE(C2:C11)</f>
        <v>0.4</v>
      </c>
      <c r="D12">
        <v>0.5</v>
      </c>
      <c r="I12" s="5">
        <f t="shared" si="9"/>
        <v>0.5</v>
      </c>
      <c r="K12" s="43">
        <f t="shared" si="1"/>
        <v>0</v>
      </c>
      <c r="U12" s="5">
        <f t="shared" si="10"/>
        <v>0.39643187636576105</v>
      </c>
      <c r="W12" s="43">
        <f t="shared" si="2"/>
        <v>0</v>
      </c>
      <c r="AG12" s="5">
        <f t="shared" si="11"/>
        <v>0.32518493206931581</v>
      </c>
      <c r="AI12" s="43">
        <f t="shared" si="3"/>
        <v>0</v>
      </c>
      <c r="AS12" s="5">
        <f t="shared" si="12"/>
        <v>0.27157840017268803</v>
      </c>
      <c r="AU12" s="43">
        <f t="shared" si="4"/>
        <v>0</v>
      </c>
      <c r="BE12" s="5">
        <f t="shared" si="13"/>
        <v>0.24400594564505795</v>
      </c>
      <c r="BG12" s="43">
        <f t="shared" si="5"/>
        <v>0</v>
      </c>
      <c r="BQ12" s="5">
        <f t="shared" si="14"/>
        <v>0.23860812503393247</v>
      </c>
      <c r="BS12" s="43">
        <f t="shared" si="6"/>
        <v>0</v>
      </c>
      <c r="BY12" s="38"/>
      <c r="BZ12" s="39"/>
      <c r="CA12" s="39"/>
      <c r="CB12" s="39"/>
      <c r="CC12" s="44">
        <f t="shared" si="15"/>
        <v>0.23843621009379137</v>
      </c>
      <c r="CD12" s="39"/>
      <c r="CE12" s="43">
        <f t="shared" si="7"/>
        <v>0</v>
      </c>
      <c r="CF12" s="39"/>
      <c r="CG12" s="39"/>
      <c r="CH12" s="39"/>
      <c r="CI12" s="39"/>
      <c r="CJ12" s="42"/>
      <c r="CO12" s="5">
        <f t="shared" si="16"/>
        <v>0.23843603790484399</v>
      </c>
      <c r="CQ12" s="43">
        <f>$C11*LN(CO14/(1-CO14))</f>
        <v>0</v>
      </c>
    </row>
    <row r="13" spans="1:95" x14ac:dyDescent="0.45">
      <c r="B13" t="s">
        <v>99</v>
      </c>
      <c r="C13" s="4">
        <f>1-C12</f>
        <v>0.6</v>
      </c>
      <c r="I13" s="5">
        <f t="shared" si="9"/>
        <v>0.5</v>
      </c>
      <c r="K13" t="s">
        <v>11</v>
      </c>
      <c r="U13" s="5">
        <f t="shared" si="10"/>
        <v>0.16108004343979265</v>
      </c>
      <c r="W13" t="s">
        <v>11</v>
      </c>
      <c r="AG13" s="5">
        <f t="shared" si="11"/>
        <v>5.512124513300113E-2</v>
      </c>
      <c r="AI13" t="s">
        <v>11</v>
      </c>
      <c r="AS13" s="5">
        <f t="shared" si="12"/>
        <v>1.9543957071765285E-2</v>
      </c>
      <c r="AU13" t="s">
        <v>11</v>
      </c>
      <c r="BE13" s="5">
        <f t="shared" si="13"/>
        <v>1.0503629368365824E-2</v>
      </c>
      <c r="BG13" t="s">
        <v>11</v>
      </c>
      <c r="BQ13" s="5">
        <f t="shared" si="14"/>
        <v>9.2094927210762383E-3</v>
      </c>
      <c r="BS13" t="s">
        <v>11</v>
      </c>
      <c r="BY13" s="38"/>
      <c r="BZ13" s="39"/>
      <c r="CA13" s="39"/>
      <c r="CB13" s="39"/>
      <c r="CC13" s="44">
        <f t="shared" si="15"/>
        <v>9.1699883417533795E-3</v>
      </c>
      <c r="CD13" s="39"/>
      <c r="CE13" s="39" t="s">
        <v>11</v>
      </c>
      <c r="CF13" s="39"/>
      <c r="CG13" s="39"/>
      <c r="CH13" s="39"/>
      <c r="CI13" s="39"/>
      <c r="CJ13" s="42"/>
      <c r="CO13" s="5">
        <f t="shared" si="16"/>
        <v>9.1699486179446874E-3</v>
      </c>
      <c r="CQ13" t="s">
        <v>11</v>
      </c>
    </row>
    <row r="14" spans="1:95" x14ac:dyDescent="0.45">
      <c r="B14" t="s">
        <v>107</v>
      </c>
      <c r="C14">
        <f>C12/C13</f>
        <v>0.66666666666666674</v>
      </c>
      <c r="I14" s="5">
        <f>EXP(I$2+I$3*F27+I$4*G27)/(1+EXP(I$2+I$3*F27+I$4*G27))</f>
        <v>0.5</v>
      </c>
      <c r="K14" s="10">
        <f>-LN(1+EXP(I$2+I$3*$F18+I$4*G18))</f>
        <v>-0.69314718055994529</v>
      </c>
      <c r="U14" s="5">
        <f>EXP(U$2+U$3*R27+U$4*S27)/(1+EXP(U$2+U$3*R27+U$4*S27))</f>
        <v>0.19938677259164883</v>
      </c>
      <c r="W14" s="10">
        <f>-LN(1+EXP(U$2+U$3*$F18+U$4*S18))</f>
        <v>-1.3165346910159466</v>
      </c>
      <c r="AG14" s="5">
        <f>EXP(AG$2+AG$3*AD27+AG$4*AE27)/(1+EXP(AG$2+AG$3*AD27+AG$4*AE27))</f>
        <v>0.15330147989471288</v>
      </c>
      <c r="AI14" s="10">
        <f>-LN(1+EXP(AG$2+AG$3*$F18+AG$4*AE18))</f>
        <v>-1.6877967671364456</v>
      </c>
      <c r="AS14" s="5">
        <f>EXP(AS$2+AS$3*AP27+AS$4*AQ27)/(1+EXP(AS$2+AS$3*AP27+AS$4*AQ27))</f>
        <v>0.14331073648934428</v>
      </c>
      <c r="AU14" s="10">
        <f>-LN(1+EXP(AS$2+AS$3*$F18+AS$4*AQ18))</f>
        <v>-2.0346885448171155</v>
      </c>
      <c r="BE14" s="5">
        <f>EXP(BE$2+BE$3*BB27+BE$4*BC27)/(1+EXP(BE$2+BE$3*BB27+BE$4*BC27))</f>
        <v>0.13999422302371523</v>
      </c>
      <c r="BG14" s="10">
        <f>-LN(1+EXP(BE$2+BE$3*$F18+BE$4*BC18))</f>
        <v>-2.2544560191392975</v>
      </c>
      <c r="BQ14" s="5">
        <f>EXP(BQ$2+BQ$3*BN27+BQ$4*BO27)/(1+EXP(BQ$2+BQ$3*BN27+BQ$4*BO27))</f>
        <v>0.13933859474847504</v>
      </c>
      <c r="BS14" s="10">
        <f>-LN(1+EXP(BQ$2+BQ$3*$F18+BQ$4*BO18))</f>
        <v>-2.3032835521328874</v>
      </c>
      <c r="BY14" s="38"/>
      <c r="BZ14" s="39"/>
      <c r="CA14" s="39"/>
      <c r="CB14" s="39"/>
      <c r="CC14" s="44">
        <f>EXP(CC$2+CC$3*BZ27+CC$4*CA27)/(1+EXP(CC$2+CC$3*BZ27+CC$4*CA27))</f>
        <v>0.13931735892407499</v>
      </c>
      <c r="CD14" s="39"/>
      <c r="CE14" s="43">
        <f>-LN(1+EXP(CC$2+CC$3*$F18+CC$4*CA18))</f>
        <v>-2.3049167941311288</v>
      </c>
      <c r="CF14" s="39"/>
      <c r="CG14" s="39"/>
      <c r="CH14" s="39"/>
      <c r="CI14" s="39"/>
      <c r="CJ14" s="42"/>
      <c r="CO14" s="5">
        <f>EXP(CO$2+CO$3*CL27+CO$4*CM27)/(1+EXP(CO$2+CO$3*CL27+CO$4*CM27))</f>
        <v>0.1393173378161551</v>
      </c>
      <c r="CQ14" s="10">
        <f>-LN(1+EXP(CO$2+CO$3*$F18+CO$4*CM18))</f>
        <v>-2.3049184504953844</v>
      </c>
    </row>
    <row r="15" spans="1:95" x14ac:dyDescent="0.45">
      <c r="B15" t="s">
        <v>108</v>
      </c>
      <c r="C15" s="105">
        <f>LN(C14)</f>
        <v>-0.40546510810816427</v>
      </c>
      <c r="K15" s="10">
        <f t="shared" ref="K15:K22" si="17">-LN(1+EXP(I$2+I$3*$F19+I$4*G19))</f>
        <v>-0.69314718055994529</v>
      </c>
      <c r="W15" s="10">
        <f t="shared" ref="W15:W22" si="18">-LN(1+EXP(U$2+U$3*$F19+U$4*S19))</f>
        <v>-1.0940448580375313</v>
      </c>
      <c r="AI15" s="10">
        <f t="shared" ref="AI15:AI22" si="19">-LN(1+EXP(AG$2+AG$3*$F19+AG$4*AE19))</f>
        <v>-1.0948952864923926</v>
      </c>
      <c r="AU15" s="10">
        <f t="shared" ref="AU15:AU22" si="20">-LN(1+EXP(AS$2+AS$3*$F19+AS$4*AQ19))</f>
        <v>-1.0301047770135314</v>
      </c>
      <c r="BG15" s="10">
        <f t="shared" ref="BG15:BG22" si="21">-LN(1+EXP(BE$2+BE$3*$F19+BE$4*BC19))</f>
        <v>-0.99284503891174014</v>
      </c>
      <c r="BS15" s="10">
        <f t="shared" ref="BS15:BS21" si="22">-LN(1+EXP(BQ$2+BQ$3*$F19+BQ$4*BO19))</f>
        <v>-0.98612986978716066</v>
      </c>
      <c r="BY15" s="38"/>
      <c r="BZ15" s="39"/>
      <c r="CA15" s="39"/>
      <c r="CB15" s="39"/>
      <c r="CC15" s="39"/>
      <c r="CD15" s="39"/>
      <c r="CE15" s="43">
        <f t="shared" ref="CE15:CE22" si="23">-LN(1+EXP(CC$2+CC$3*$F19+CC$4*CA19))</f>
        <v>-0.98593199014255073</v>
      </c>
      <c r="CF15" s="39"/>
      <c r="CG15" s="39"/>
      <c r="CH15" s="39"/>
      <c r="CI15" s="39"/>
      <c r="CJ15" s="42"/>
      <c r="CQ15" s="10">
        <f t="shared" ref="CQ15:CQ22" si="24">-LN(1+EXP(CO$2+CO$3*$F19+CO$4*CM19))</f>
        <v>-0.98593179680635001</v>
      </c>
    </row>
    <row r="16" spans="1:95" x14ac:dyDescent="0.45">
      <c r="K16" s="10">
        <f t="shared" si="17"/>
        <v>-0.69314718055994529</v>
      </c>
      <c r="W16" s="10">
        <f t="shared" si="18"/>
        <v>-7.4327031253975606E-2</v>
      </c>
      <c r="AI16" s="10">
        <f t="shared" si="19"/>
        <v>-1.5529409973451667E-2</v>
      </c>
      <c r="AU16" s="10">
        <f t="shared" si="20"/>
        <v>-3.9265953854231003E-3</v>
      </c>
      <c r="BG16" s="10">
        <f t="shared" si="21"/>
        <v>-1.7513548795682933E-3</v>
      </c>
      <c r="BS16" s="10">
        <f t="shared" si="22"/>
        <v>-1.4762622845901224E-3</v>
      </c>
      <c r="BY16" s="38"/>
      <c r="BZ16" s="39"/>
      <c r="CA16" s="39"/>
      <c r="CB16" s="39"/>
      <c r="CC16" s="39"/>
      <c r="CD16" s="39"/>
      <c r="CE16" s="43">
        <f t="shared" si="23"/>
        <v>-1.4680233379724037E-3</v>
      </c>
      <c r="CF16" s="39"/>
      <c r="CG16" s="39"/>
      <c r="CH16" s="39"/>
      <c r="CI16" s="39"/>
      <c r="CJ16" s="42"/>
      <c r="CQ16" s="10">
        <f t="shared" si="24"/>
        <v>-1.4680150534285557E-3</v>
      </c>
    </row>
    <row r="17" spans="5:95" x14ac:dyDescent="0.45">
      <c r="F17" s="88" t="s">
        <v>2</v>
      </c>
      <c r="G17" s="88"/>
      <c r="K17" s="10">
        <f t="shared" si="17"/>
        <v>-0.69314718055994529</v>
      </c>
      <c r="R17" s="88" t="s">
        <v>2</v>
      </c>
      <c r="S17" s="88"/>
      <c r="W17" s="10">
        <f t="shared" si="18"/>
        <v>-0.87799689429667627</v>
      </c>
      <c r="AD17" s="88" t="s">
        <v>2</v>
      </c>
      <c r="AE17" s="88"/>
      <c r="AI17" s="10">
        <f t="shared" si="19"/>
        <v>-0.91427870349270712</v>
      </c>
      <c r="AP17" s="88" t="s">
        <v>2</v>
      </c>
      <c r="AQ17" s="88"/>
      <c r="AU17" s="10">
        <f t="shared" si="20"/>
        <v>-0.93843838642884714</v>
      </c>
      <c r="BB17" s="88" t="s">
        <v>2</v>
      </c>
      <c r="BC17" s="88"/>
      <c r="BG17" s="10">
        <f t="shared" si="21"/>
        <v>-0.9563295311311194</v>
      </c>
      <c r="BN17" s="88" t="s">
        <v>2</v>
      </c>
      <c r="BO17" s="88"/>
      <c r="BS17" s="10">
        <f t="shared" si="22"/>
        <v>-0.9610161021266912</v>
      </c>
      <c r="BY17" s="38"/>
      <c r="BZ17" s="92" t="s">
        <v>2</v>
      </c>
      <c r="CA17" s="92"/>
      <c r="CB17" s="39"/>
      <c r="CC17" s="39"/>
      <c r="CD17" s="39"/>
      <c r="CE17" s="43">
        <f t="shared" si="23"/>
        <v>-0.96118663248833125</v>
      </c>
      <c r="CF17" s="39"/>
      <c r="CG17" s="39"/>
      <c r="CH17" s="39"/>
      <c r="CI17" s="39"/>
      <c r="CJ17" s="42"/>
      <c r="CL17" s="88" t="s">
        <v>2</v>
      </c>
      <c r="CM17" s="88"/>
      <c r="CQ17" s="10">
        <f t="shared" si="24"/>
        <v>-0.96118680968946735</v>
      </c>
    </row>
    <row r="18" spans="5:95" x14ac:dyDescent="0.45">
      <c r="E18" s="1">
        <v>1</v>
      </c>
      <c r="F18" s="1">
        <v>8</v>
      </c>
      <c r="G18" s="30">
        <v>2</v>
      </c>
      <c r="I18" s="5">
        <f>$C2-I5</f>
        <v>0.5</v>
      </c>
      <c r="K18" s="10">
        <f t="shared" si="17"/>
        <v>-0.69314718055994529</v>
      </c>
      <c r="Q18" s="1">
        <v>1</v>
      </c>
      <c r="R18" s="1">
        <v>8</v>
      </c>
      <c r="S18" s="30">
        <v>2</v>
      </c>
      <c r="U18" s="5">
        <f>$C2-U5</f>
        <v>0.26806261411130627</v>
      </c>
      <c r="W18" s="10">
        <f t="shared" si="18"/>
        <v>-0.76412786294037194</v>
      </c>
      <c r="AC18" s="1">
        <v>1</v>
      </c>
      <c r="AD18" s="1">
        <v>8</v>
      </c>
      <c r="AE18" s="30">
        <v>2</v>
      </c>
      <c r="AG18" s="5">
        <f>$C2-AG5</f>
        <v>0.18492651165187612</v>
      </c>
      <c r="AI18" s="10">
        <f t="shared" si="19"/>
        <v>-0.73702684085795633</v>
      </c>
      <c r="AO18" s="1">
        <v>1</v>
      </c>
      <c r="AP18" s="1">
        <v>8</v>
      </c>
      <c r="AQ18" s="30">
        <v>2</v>
      </c>
      <c r="AS18" s="5">
        <f>$C2-AS5</f>
        <v>0.13072118995654725</v>
      </c>
      <c r="AU18" s="10">
        <f t="shared" si="20"/>
        <v>-0.70851660779244852</v>
      </c>
      <c r="BA18" s="1">
        <v>1</v>
      </c>
      <c r="BB18" s="1">
        <v>8</v>
      </c>
      <c r="BC18" s="30">
        <v>2</v>
      </c>
      <c r="BE18" s="5">
        <f>$C2-BE5</f>
        <v>0.10493060845652413</v>
      </c>
      <c r="BG18" s="10">
        <f t="shared" si="21"/>
        <v>-0.69492632110287711</v>
      </c>
      <c r="BM18" s="1">
        <v>1</v>
      </c>
      <c r="BN18" s="1">
        <v>8</v>
      </c>
      <c r="BO18" s="30">
        <v>2</v>
      </c>
      <c r="BQ18" s="5">
        <f>$C2-BQ5</f>
        <v>9.9930178472696252E-2</v>
      </c>
      <c r="BS18" s="10">
        <f t="shared" si="22"/>
        <v>-0.69273350807886425</v>
      </c>
      <c r="BY18" s="46">
        <v>1</v>
      </c>
      <c r="BZ18" s="47">
        <v>8</v>
      </c>
      <c r="CA18" s="48">
        <v>2</v>
      </c>
      <c r="CB18" s="39"/>
      <c r="CC18" s="44">
        <f>$C2-CC5</f>
        <v>9.9767101516640033E-2</v>
      </c>
      <c r="CD18" s="39"/>
      <c r="CE18" s="43">
        <f t="shared" si="23"/>
        <v>-0.69267440035157113</v>
      </c>
      <c r="CF18" s="39"/>
      <c r="CG18" s="39"/>
      <c r="CH18" s="39"/>
      <c r="CI18" s="39"/>
      <c r="CJ18" s="42"/>
      <c r="CK18" s="1">
        <v>1</v>
      </c>
      <c r="CL18" s="1">
        <v>8</v>
      </c>
      <c r="CM18" s="30">
        <v>2</v>
      </c>
      <c r="CO18" s="5">
        <f>$C2-CO5</f>
        <v>9.9766936266116102E-2</v>
      </c>
      <c r="CQ18" s="10">
        <f t="shared" si="24"/>
        <v>-0.69267434469015088</v>
      </c>
    </row>
    <row r="19" spans="5:95" x14ac:dyDescent="0.45">
      <c r="E19" s="1">
        <v>1</v>
      </c>
      <c r="F19" s="1">
        <v>14</v>
      </c>
      <c r="G19" s="30">
        <v>14</v>
      </c>
      <c r="I19" s="5">
        <f t="shared" ref="I19:I27" si="25">$C3-I6</f>
        <v>0.5</v>
      </c>
      <c r="K19" s="10">
        <f t="shared" si="17"/>
        <v>-0.69314718055994529</v>
      </c>
      <c r="Q19" s="1">
        <v>1</v>
      </c>
      <c r="R19" s="1">
        <v>14</v>
      </c>
      <c r="S19" s="30">
        <v>14</v>
      </c>
      <c r="U19" s="5">
        <f t="shared" ref="U19:U27" si="26">$C3-U6</f>
        <v>0.3348592924135092</v>
      </c>
      <c r="W19" s="10">
        <f t="shared" si="18"/>
        <v>-0.87799689429667627</v>
      </c>
      <c r="AC19" s="1">
        <v>1</v>
      </c>
      <c r="AD19" s="1">
        <v>14</v>
      </c>
      <c r="AE19" s="30">
        <v>14</v>
      </c>
      <c r="AG19" s="5">
        <f t="shared" ref="AG19:AG27" si="27">$C3-AG6</f>
        <v>0.33457463959844858</v>
      </c>
      <c r="AI19" s="10">
        <f t="shared" si="19"/>
        <v>-0.91427870349270712</v>
      </c>
      <c r="AO19" s="1">
        <v>1</v>
      </c>
      <c r="AP19" s="1">
        <v>14</v>
      </c>
      <c r="AQ19" s="30">
        <v>14</v>
      </c>
      <c r="AS19" s="5">
        <f t="shared" ref="AS19:AS27" si="28">$C3-AS6</f>
        <v>0.35696955640559147</v>
      </c>
      <c r="AU19" s="10">
        <f t="shared" si="20"/>
        <v>-0.93843838642884714</v>
      </c>
      <c r="BA19" s="1">
        <v>1</v>
      </c>
      <c r="BB19" s="1">
        <v>14</v>
      </c>
      <c r="BC19" s="30">
        <v>14</v>
      </c>
      <c r="BE19" s="5">
        <f t="shared" ref="BE19:BE27" si="29">$C3-BE6</f>
        <v>0.37052104326891566</v>
      </c>
      <c r="BG19" s="10">
        <f t="shared" si="21"/>
        <v>-0.9563295311311194</v>
      </c>
      <c r="BM19" s="1">
        <v>1</v>
      </c>
      <c r="BN19" s="1">
        <v>14</v>
      </c>
      <c r="BO19" s="30">
        <v>14</v>
      </c>
      <c r="BQ19" s="5">
        <f t="shared" ref="BQ19:BQ27" si="30">$C3-BQ6</f>
        <v>0.37301752751438477</v>
      </c>
      <c r="BS19" s="10">
        <f t="shared" si="22"/>
        <v>-0.9610161021266912</v>
      </c>
      <c r="BY19" s="46">
        <v>1</v>
      </c>
      <c r="BZ19" s="47">
        <v>14</v>
      </c>
      <c r="CA19" s="48">
        <v>14</v>
      </c>
      <c r="CB19" s="39"/>
      <c r="CC19" s="44">
        <f t="shared" ref="CC19:CC27" si="31">$C3-CC6</f>
        <v>0.37309134739364747</v>
      </c>
      <c r="CD19" s="39"/>
      <c r="CE19" s="43">
        <f t="shared" si="23"/>
        <v>-0.96118663248833125</v>
      </c>
      <c r="CF19" s="39"/>
      <c r="CG19" s="39"/>
      <c r="CH19" s="39"/>
      <c r="CI19" s="39"/>
      <c r="CJ19" s="42"/>
      <c r="CK19" s="1">
        <v>1</v>
      </c>
      <c r="CL19" s="1">
        <v>14</v>
      </c>
      <c r="CM19" s="30">
        <v>14</v>
      </c>
      <c r="CO19" s="5">
        <f t="shared" ref="CO19:CO27" si="32">$C3-CO6</f>
        <v>0.37309141952571812</v>
      </c>
      <c r="CQ19" s="10">
        <f t="shared" si="24"/>
        <v>-0.96118680968946735</v>
      </c>
    </row>
    <row r="20" spans="5:95" x14ac:dyDescent="0.45">
      <c r="E20" s="1">
        <v>1</v>
      </c>
      <c r="F20" s="1">
        <v>-7</v>
      </c>
      <c r="G20" s="30">
        <v>6</v>
      </c>
      <c r="I20" s="5">
        <f t="shared" si="25"/>
        <v>-0.5</v>
      </c>
      <c r="K20" s="10">
        <f t="shared" si="17"/>
        <v>-0.69314718055994529</v>
      </c>
      <c r="Q20" s="1">
        <v>1</v>
      </c>
      <c r="R20" s="1">
        <v>-7</v>
      </c>
      <c r="S20" s="30">
        <v>6</v>
      </c>
      <c r="U20" s="5">
        <f t="shared" si="26"/>
        <v>-7.1631961172235109E-2</v>
      </c>
      <c r="W20" s="10">
        <f t="shared" si="18"/>
        <v>-0.47899135296986434</v>
      </c>
      <c r="AC20" s="1">
        <v>1</v>
      </c>
      <c r="AD20" s="1">
        <v>-7</v>
      </c>
      <c r="AE20" s="30">
        <v>6</v>
      </c>
      <c r="AG20" s="5">
        <f t="shared" si="27"/>
        <v>-1.5409450456003081E-2</v>
      </c>
      <c r="AI20" s="10">
        <f t="shared" si="19"/>
        <v>-0.43482902815825525</v>
      </c>
      <c r="AO20" s="1">
        <v>1</v>
      </c>
      <c r="AP20" s="1">
        <v>-7</v>
      </c>
      <c r="AQ20" s="30">
        <v>6</v>
      </c>
      <c r="AS20" s="5">
        <f t="shared" si="28"/>
        <v>-3.9188963900058061E-3</v>
      </c>
      <c r="AU20" s="10">
        <f t="shared" si="20"/>
        <v>-0.42887744727929983</v>
      </c>
      <c r="BA20" s="1">
        <v>1</v>
      </c>
      <c r="BB20" s="1">
        <v>-7</v>
      </c>
      <c r="BC20" s="30">
        <v>6</v>
      </c>
      <c r="BE20" s="5">
        <f t="shared" si="29"/>
        <v>-1.749822152524788E-3</v>
      </c>
      <c r="BG20" s="10">
        <f t="shared" si="21"/>
        <v>-0.4296455011996767</v>
      </c>
      <c r="BM20" s="1">
        <v>1</v>
      </c>
      <c r="BN20" s="1">
        <v>-7</v>
      </c>
      <c r="BO20" s="30">
        <v>6</v>
      </c>
      <c r="BQ20" s="5">
        <f t="shared" si="30"/>
        <v>-1.4751731454412836E-3</v>
      </c>
      <c r="BS20" s="10">
        <f t="shared" si="22"/>
        <v>-0.4301193199286138</v>
      </c>
      <c r="BY20" s="46">
        <v>1</v>
      </c>
      <c r="BZ20" s="47">
        <v>-7</v>
      </c>
      <c r="CA20" s="48">
        <v>6</v>
      </c>
      <c r="CB20" s="39"/>
      <c r="CC20" s="44">
        <f t="shared" si="31"/>
        <v>-1.4669463188061247E-3</v>
      </c>
      <c r="CD20" s="39"/>
      <c r="CE20" s="43">
        <f t="shared" si="23"/>
        <v>-0.43014007878887428</v>
      </c>
      <c r="CF20" s="39"/>
      <c r="CG20" s="39"/>
      <c r="CH20" s="39"/>
      <c r="CI20" s="39"/>
      <c r="CJ20" s="42"/>
      <c r="CK20" s="1">
        <v>1</v>
      </c>
      <c r="CL20" s="1">
        <v>-7</v>
      </c>
      <c r="CM20" s="30">
        <v>6</v>
      </c>
      <c r="CO20" s="5">
        <f t="shared" si="32"/>
        <v>-1.466938046415405E-3</v>
      </c>
      <c r="CQ20" s="10">
        <f t="shared" si="24"/>
        <v>-0.43014010169206846</v>
      </c>
    </row>
    <row r="21" spans="5:95" x14ac:dyDescent="0.45">
      <c r="E21" s="1">
        <v>1</v>
      </c>
      <c r="F21" s="1">
        <v>6</v>
      </c>
      <c r="G21" s="30">
        <v>4</v>
      </c>
      <c r="H21" s="28"/>
      <c r="I21" s="5">
        <f t="shared" si="25"/>
        <v>-0.5</v>
      </c>
      <c r="K21" s="10">
        <f t="shared" si="17"/>
        <v>-0.69314718055994529</v>
      </c>
      <c r="Q21" s="1">
        <v>1</v>
      </c>
      <c r="R21" s="1">
        <v>6</v>
      </c>
      <c r="S21" s="30">
        <v>4</v>
      </c>
      <c r="T21" s="28"/>
      <c r="U21" s="5">
        <f t="shared" si="26"/>
        <v>-0.58438540160227637</v>
      </c>
      <c r="W21" s="10">
        <f t="shared" si="18"/>
        <v>-0.50489636389674786</v>
      </c>
      <c r="AC21" s="1">
        <v>1</v>
      </c>
      <c r="AD21" s="1">
        <v>6</v>
      </c>
      <c r="AE21" s="30">
        <v>4</v>
      </c>
      <c r="AF21" s="28"/>
      <c r="AG21" s="5">
        <f t="shared" si="27"/>
        <v>-0.5991943784524919</v>
      </c>
      <c r="AI21" s="10">
        <f t="shared" si="19"/>
        <v>-0.39331659908320882</v>
      </c>
      <c r="AO21" s="1">
        <v>1</v>
      </c>
      <c r="AP21" s="1">
        <v>6</v>
      </c>
      <c r="AQ21" s="30">
        <v>4</v>
      </c>
      <c r="AR21" s="28"/>
      <c r="AS21" s="5">
        <f t="shared" si="28"/>
        <v>-0.60876167836474848</v>
      </c>
      <c r="AU21" s="10">
        <f t="shared" si="20"/>
        <v>-0.31687527776918412</v>
      </c>
      <c r="BA21" s="1">
        <v>1</v>
      </c>
      <c r="BB21" s="1">
        <v>6</v>
      </c>
      <c r="BC21" s="30">
        <v>4</v>
      </c>
      <c r="BD21" s="28"/>
      <c r="BE21" s="5">
        <f t="shared" si="29"/>
        <v>-0.61569913521633879</v>
      </c>
      <c r="BG21" s="10">
        <f t="shared" si="21"/>
        <v>-0.27972176744339533</v>
      </c>
      <c r="BM21" s="1">
        <v>1</v>
      </c>
      <c r="BN21" s="1">
        <v>6</v>
      </c>
      <c r="BO21" s="30">
        <v>4</v>
      </c>
      <c r="BP21" s="28"/>
      <c r="BQ21" s="5">
        <f t="shared" si="30"/>
        <v>-0.61749597470608253</v>
      </c>
      <c r="BS21" s="10">
        <f t="shared" si="22"/>
        <v>-0.2726071062673685</v>
      </c>
      <c r="BY21" s="46">
        <v>1</v>
      </c>
      <c r="BZ21" s="47">
        <v>6</v>
      </c>
      <c r="CA21" s="48">
        <v>4</v>
      </c>
      <c r="CB21" s="45"/>
      <c r="CC21" s="44">
        <f t="shared" si="31"/>
        <v>-0.61756119769443685</v>
      </c>
      <c r="CD21" s="39"/>
      <c r="CE21" s="43">
        <f t="shared" si="23"/>
        <v>-0.27238134140127729</v>
      </c>
      <c r="CF21" s="39"/>
      <c r="CG21" s="39"/>
      <c r="CH21" s="39"/>
      <c r="CI21" s="39"/>
      <c r="CJ21" s="42"/>
      <c r="CK21" s="1">
        <v>1</v>
      </c>
      <c r="CL21" s="1">
        <v>6</v>
      </c>
      <c r="CM21" s="30">
        <v>4</v>
      </c>
      <c r="CN21" s="28"/>
      <c r="CO21" s="5">
        <f t="shared" si="32"/>
        <v>-0.61756126546302093</v>
      </c>
      <c r="CQ21" s="10">
        <f t="shared" si="24"/>
        <v>-0.27238111530212417</v>
      </c>
    </row>
    <row r="22" spans="5:95" x14ac:dyDescent="0.45">
      <c r="E22" s="1">
        <v>1</v>
      </c>
      <c r="F22" s="1">
        <v>5</v>
      </c>
      <c r="G22" s="30">
        <v>4</v>
      </c>
      <c r="H22" s="28" t="s">
        <v>6</v>
      </c>
      <c r="I22" s="5">
        <f t="shared" si="25"/>
        <v>0.5</v>
      </c>
      <c r="K22" s="10">
        <f t="shared" si="17"/>
        <v>-0.69314718055994529</v>
      </c>
      <c r="Q22" s="1">
        <v>1</v>
      </c>
      <c r="R22" s="1">
        <v>5</v>
      </c>
      <c r="S22" s="30">
        <v>4</v>
      </c>
      <c r="T22" s="28" t="s">
        <v>6</v>
      </c>
      <c r="U22" s="5">
        <f t="shared" si="26"/>
        <v>0.46573994296393484</v>
      </c>
      <c r="W22" s="10">
        <f t="shared" si="18"/>
        <v>-0.17563998045085827</v>
      </c>
      <c r="AC22" s="1">
        <v>1</v>
      </c>
      <c r="AD22" s="1">
        <v>5</v>
      </c>
      <c r="AE22" s="30">
        <v>4</v>
      </c>
      <c r="AF22" s="28" t="s">
        <v>6</v>
      </c>
      <c r="AG22" s="5">
        <f t="shared" si="27"/>
        <v>0.4785345619782585</v>
      </c>
      <c r="AI22" s="10">
        <f t="shared" si="19"/>
        <v>-5.6698661447808503E-2</v>
      </c>
      <c r="AO22" s="1">
        <v>1</v>
      </c>
      <c r="AP22" s="1">
        <v>5</v>
      </c>
      <c r="AQ22" s="30">
        <v>4</v>
      </c>
      <c r="AR22" s="28" t="s">
        <v>6</v>
      </c>
      <c r="AS22" s="5">
        <f t="shared" si="28"/>
        <v>0.49237403981976857</v>
      </c>
      <c r="AU22" s="10">
        <f t="shared" si="20"/>
        <v>-1.9737465632447701E-2</v>
      </c>
      <c r="BA22" s="1">
        <v>1</v>
      </c>
      <c r="BB22" s="1">
        <v>5</v>
      </c>
      <c r="BC22" s="30">
        <v>4</v>
      </c>
      <c r="BD22" s="28" t="s">
        <v>6</v>
      </c>
      <c r="BE22" s="5">
        <f t="shared" si="29"/>
        <v>0.49911122059471158</v>
      </c>
      <c r="BG22" s="10">
        <f t="shared" si="21"/>
        <v>-1.0559181827360976E-2</v>
      </c>
      <c r="BM22" s="1">
        <v>1</v>
      </c>
      <c r="BN22" s="1">
        <v>5</v>
      </c>
      <c r="BO22" s="30">
        <v>4</v>
      </c>
      <c r="BP22" s="28" t="s">
        <v>6</v>
      </c>
      <c r="BQ22" s="5">
        <f t="shared" si="30"/>
        <v>0.50020687902767058</v>
      </c>
      <c r="BS22" s="10">
        <f>-LN(1+EXP(BQ$2+BQ$3*$F26+BQ$4*BO26))</f>
        <v>-9.2521622778638235E-3</v>
      </c>
      <c r="BY22" s="46">
        <v>1</v>
      </c>
      <c r="BZ22" s="47">
        <v>5</v>
      </c>
      <c r="CA22" s="48">
        <v>4</v>
      </c>
      <c r="CB22" s="45" t="s">
        <v>6</v>
      </c>
      <c r="CC22" s="44">
        <f t="shared" si="31"/>
        <v>0.50023644599327599</v>
      </c>
      <c r="CD22" s="39"/>
      <c r="CE22" s="43">
        <f t="shared" si="23"/>
        <v>-9.2122914963992629E-3</v>
      </c>
      <c r="CF22" s="39"/>
      <c r="CG22" s="39"/>
      <c r="CH22" s="39"/>
      <c r="CI22" s="39"/>
      <c r="CJ22" s="42"/>
      <c r="CK22" s="1">
        <v>1</v>
      </c>
      <c r="CL22" s="1">
        <v>5</v>
      </c>
      <c r="CM22" s="30">
        <v>4</v>
      </c>
      <c r="CN22" s="28" t="s">
        <v>6</v>
      </c>
      <c r="CO22" s="5">
        <f t="shared" si="32"/>
        <v>0.50023647383714764</v>
      </c>
      <c r="CQ22" s="10">
        <f t="shared" si="24"/>
        <v>-9.2122514049533949E-3</v>
      </c>
    </row>
    <row r="23" spans="5:95" x14ac:dyDescent="0.45">
      <c r="E23" s="1">
        <v>1</v>
      </c>
      <c r="F23" s="1">
        <v>6</v>
      </c>
      <c r="G23" s="30">
        <v>4</v>
      </c>
      <c r="I23" s="5">
        <f t="shared" si="25"/>
        <v>-0.5</v>
      </c>
      <c r="K23" s="10">
        <f>-LN(1+EXP(I$2+I$3*$F27+I$4*G27))</f>
        <v>-0.69314718055994529</v>
      </c>
      <c r="Q23" s="1">
        <v>1</v>
      </c>
      <c r="R23" s="1">
        <v>6</v>
      </c>
      <c r="S23" s="30">
        <v>4</v>
      </c>
      <c r="U23" s="5">
        <f t="shared" si="26"/>
        <v>-0.58438540160227637</v>
      </c>
      <c r="W23" s="10">
        <f>-LN(1+EXP(U$2+U$3*$F27+U$4*S27))</f>
        <v>-0.22237731069111119</v>
      </c>
      <c r="AC23" s="1">
        <v>1</v>
      </c>
      <c r="AD23" s="1">
        <v>6</v>
      </c>
      <c r="AE23" s="30">
        <v>4</v>
      </c>
      <c r="AG23" s="5">
        <f t="shared" si="27"/>
        <v>-0.5991943784524919</v>
      </c>
      <c r="AI23" s="10">
        <f>-LN(1+EXP(AG$2+AG$3*$F27+AG$4*AE27))</f>
        <v>-0.16641058617376173</v>
      </c>
      <c r="AO23" s="1">
        <v>1</v>
      </c>
      <c r="AP23" s="1">
        <v>6</v>
      </c>
      <c r="AQ23" s="30">
        <v>4</v>
      </c>
      <c r="AS23" s="5">
        <f t="shared" si="28"/>
        <v>-0.60876167836474848</v>
      </c>
      <c r="AU23" s="10">
        <f>-LN(1+EXP(AS$2+AS$3*$F27+AS$4*AQ27))</f>
        <v>-0.15468001246996729</v>
      </c>
      <c r="BA23" s="1">
        <v>1</v>
      </c>
      <c r="BB23" s="1">
        <v>6</v>
      </c>
      <c r="BC23" s="30">
        <v>4</v>
      </c>
      <c r="BE23" s="5">
        <f t="shared" si="29"/>
        <v>-0.61569913521633879</v>
      </c>
      <c r="BG23" s="10">
        <f>-LN(1+EXP(BE$2+BE$3*$F27+BE$4*BC27))</f>
        <v>-0.15081617234286065</v>
      </c>
      <c r="BM23" s="1">
        <v>1</v>
      </c>
      <c r="BN23" s="1">
        <v>6</v>
      </c>
      <c r="BO23" s="30">
        <v>4</v>
      </c>
      <c r="BQ23" s="5">
        <f t="shared" si="30"/>
        <v>-0.61749597470608253</v>
      </c>
      <c r="BS23" s="10">
        <f>-LN(1+EXP(BQ$2+BQ$3*$F27+BQ$4*BO27))</f>
        <v>-0.15005410944802428</v>
      </c>
      <c r="BY23" s="46">
        <v>1</v>
      </c>
      <c r="BZ23" s="47">
        <v>6</v>
      </c>
      <c r="CA23" s="48">
        <v>4</v>
      </c>
      <c r="CB23" s="39"/>
      <c r="CC23" s="44">
        <f t="shared" si="31"/>
        <v>-0.61756119769443685</v>
      </c>
      <c r="CD23" s="39"/>
      <c r="CE23" s="43">
        <f>-LN(1+EXP(CC$2+CC$3*$F27+CC$4*CA27))</f>
        <v>-0.15002943590940612</v>
      </c>
      <c r="CF23" s="39"/>
      <c r="CG23" s="39"/>
      <c r="CH23" s="39"/>
      <c r="CI23" s="39"/>
      <c r="CJ23" s="42"/>
      <c r="CK23" s="1">
        <v>1</v>
      </c>
      <c r="CL23" s="1">
        <v>6</v>
      </c>
      <c r="CM23" s="30">
        <v>4</v>
      </c>
      <c r="CO23" s="5">
        <f t="shared" si="32"/>
        <v>-0.61756126546302093</v>
      </c>
      <c r="CQ23" s="10">
        <f>-LN(1+EXP(CO$2+CO$3*$F27+CO$4*CM27))</f>
        <v>-0.15002941138478035</v>
      </c>
    </row>
    <row r="24" spans="5:95" x14ac:dyDescent="0.45">
      <c r="E24" s="1">
        <v>1</v>
      </c>
      <c r="F24" s="1">
        <v>-5</v>
      </c>
      <c r="G24" s="30">
        <v>-7</v>
      </c>
      <c r="I24" s="5">
        <f t="shared" si="25"/>
        <v>0.5</v>
      </c>
      <c r="K24" t="s">
        <v>12</v>
      </c>
      <c r="Q24" s="1">
        <v>1</v>
      </c>
      <c r="R24" s="1">
        <v>-5</v>
      </c>
      <c r="S24" s="30">
        <v>-7</v>
      </c>
      <c r="U24" s="5">
        <f t="shared" si="26"/>
        <v>0.61940784070790733</v>
      </c>
      <c r="W24" t="s">
        <v>12</v>
      </c>
      <c r="AC24" s="1">
        <v>1</v>
      </c>
      <c r="AD24" s="1">
        <v>-5</v>
      </c>
      <c r="AE24" s="30">
        <v>-7</v>
      </c>
      <c r="AG24" s="5">
        <f t="shared" si="27"/>
        <v>0.6473753405710172</v>
      </c>
      <c r="AI24" t="s">
        <v>12</v>
      </c>
      <c r="AO24" s="1">
        <v>1</v>
      </c>
      <c r="AP24" s="1">
        <v>-5</v>
      </c>
      <c r="AQ24" s="30">
        <v>-7</v>
      </c>
      <c r="AS24" s="5">
        <f t="shared" si="28"/>
        <v>0.6512397354921049</v>
      </c>
      <c r="AU24" t="s">
        <v>12</v>
      </c>
      <c r="BA24" s="1">
        <v>1</v>
      </c>
      <c r="BB24" s="1">
        <v>-5</v>
      </c>
      <c r="BC24" s="30">
        <v>-7</v>
      </c>
      <c r="BE24" s="5">
        <f t="shared" si="29"/>
        <v>0.65073974029636927</v>
      </c>
      <c r="BG24" t="s">
        <v>12</v>
      </c>
      <c r="BM24" s="1">
        <v>1</v>
      </c>
      <c r="BN24" s="1">
        <v>-5</v>
      </c>
      <c r="BO24" s="30">
        <v>-7</v>
      </c>
      <c r="BQ24" s="5">
        <f t="shared" si="30"/>
        <v>0.65043148065511613</v>
      </c>
      <c r="BS24" t="s">
        <v>12</v>
      </c>
      <c r="BY24" s="46">
        <v>1</v>
      </c>
      <c r="BZ24" s="47">
        <v>-5</v>
      </c>
      <c r="CA24" s="48">
        <v>-7</v>
      </c>
      <c r="CB24" s="39"/>
      <c r="CC24" s="44">
        <f t="shared" si="31"/>
        <v>0.65041797857904449</v>
      </c>
      <c r="CD24" s="39"/>
      <c r="CE24" s="39" t="s">
        <v>12</v>
      </c>
      <c r="CF24" s="39"/>
      <c r="CG24" s="39"/>
      <c r="CH24" s="39"/>
      <c r="CI24" s="39"/>
      <c r="CJ24" s="42"/>
      <c r="CK24" s="1">
        <v>1</v>
      </c>
      <c r="CL24" s="1">
        <v>-5</v>
      </c>
      <c r="CM24" s="30">
        <v>-7</v>
      </c>
      <c r="CO24" s="5">
        <f t="shared" si="32"/>
        <v>0.65041796368239546</v>
      </c>
      <c r="CQ24" t="s">
        <v>12</v>
      </c>
    </row>
    <row r="25" spans="5:95" x14ac:dyDescent="0.45">
      <c r="E25" s="1">
        <v>1</v>
      </c>
      <c r="F25" s="1">
        <v>1</v>
      </c>
      <c r="G25" s="30">
        <v>2</v>
      </c>
      <c r="I25" s="5">
        <f t="shared" si="25"/>
        <v>-0.5</v>
      </c>
      <c r="K25" s="10">
        <f>K3+K14</f>
        <v>-0.69314718055994529</v>
      </c>
      <c r="Q25" s="1">
        <v>1</v>
      </c>
      <c r="R25" s="1">
        <v>1</v>
      </c>
      <c r="S25" s="30">
        <v>2</v>
      </c>
      <c r="U25" s="5">
        <f t="shared" si="26"/>
        <v>-0.39643187636576105</v>
      </c>
      <c r="W25" s="10">
        <f>W3+W14</f>
        <v>-0.31206030708286692</v>
      </c>
      <c r="AC25" s="1">
        <v>1</v>
      </c>
      <c r="AD25" s="1">
        <v>1</v>
      </c>
      <c r="AE25" s="30">
        <v>2</v>
      </c>
      <c r="AG25" s="5">
        <f t="shared" si="27"/>
        <v>-0.32518493206931581</v>
      </c>
      <c r="AI25" s="10">
        <f>AI3+AI14</f>
        <v>-0.20447700005402281</v>
      </c>
      <c r="AO25" s="1">
        <v>1</v>
      </c>
      <c r="AP25" s="1">
        <v>1</v>
      </c>
      <c r="AQ25" s="30">
        <v>2</v>
      </c>
      <c r="AS25" s="5">
        <f t="shared" si="28"/>
        <v>-0.27157840017268803</v>
      </c>
      <c r="AU25" s="10">
        <f>AU3+AU14</f>
        <v>-0.14009136507888931</v>
      </c>
      <c r="BA25" s="1">
        <v>1</v>
      </c>
      <c r="BB25" s="1">
        <v>1</v>
      </c>
      <c r="BC25" s="30">
        <v>2</v>
      </c>
      <c r="BE25" s="5">
        <f t="shared" si="29"/>
        <v>-0.24400594564505795</v>
      </c>
      <c r="BG25" s="10">
        <f>BG3+BG14</f>
        <v>-0.11085403126195592</v>
      </c>
      <c r="BM25" s="1">
        <v>1</v>
      </c>
      <c r="BN25" s="1">
        <v>1</v>
      </c>
      <c r="BO25" s="30">
        <v>2</v>
      </c>
      <c r="BQ25" s="5">
        <f t="shared" si="30"/>
        <v>-0.23860812503393247</v>
      </c>
      <c r="BS25" s="10">
        <f>BS3+BS14</f>
        <v>-0.10528293919217635</v>
      </c>
      <c r="BY25" s="46">
        <v>1</v>
      </c>
      <c r="BZ25" s="47">
        <v>1</v>
      </c>
      <c r="CA25" s="48">
        <v>2</v>
      </c>
      <c r="CB25" s="39"/>
      <c r="CC25" s="44">
        <f t="shared" si="31"/>
        <v>-0.23843621009379137</v>
      </c>
      <c r="CD25" s="39"/>
      <c r="CE25" s="43">
        <f>CE3+CE14</f>
        <v>-0.10510177304196189</v>
      </c>
      <c r="CF25" s="39"/>
      <c r="CG25" s="39"/>
      <c r="CH25" s="39"/>
      <c r="CI25" s="39"/>
      <c r="CJ25" s="42"/>
      <c r="CK25" s="1">
        <v>1</v>
      </c>
      <c r="CL25" s="1">
        <v>1</v>
      </c>
      <c r="CM25" s="30">
        <v>2</v>
      </c>
      <c r="CO25" s="5">
        <f t="shared" si="32"/>
        <v>-0.23843603790484399</v>
      </c>
      <c r="CQ25" s="10">
        <f>CQ3+CQ14</f>
        <v>-0.1051015894777878</v>
      </c>
    </row>
    <row r="26" spans="5:95" x14ac:dyDescent="0.45">
      <c r="E26" s="1">
        <v>1</v>
      </c>
      <c r="F26" s="1">
        <v>0</v>
      </c>
      <c r="G26" s="30">
        <v>10</v>
      </c>
      <c r="I26" s="5">
        <f t="shared" si="25"/>
        <v>-0.5</v>
      </c>
      <c r="K26" s="10">
        <f t="shared" ref="K26:K33" si="33">K4+K15</f>
        <v>-0.69314718055994529</v>
      </c>
      <c r="Q26" s="1">
        <v>1</v>
      </c>
      <c r="R26" s="1">
        <v>0</v>
      </c>
      <c r="S26" s="30">
        <v>10</v>
      </c>
      <c r="U26" s="5">
        <f t="shared" si="26"/>
        <v>-0.16108004343979265</v>
      </c>
      <c r="W26" s="10">
        <f t="shared" ref="W26:W34" si="34">W4+W15</f>
        <v>-0.40775667035273977</v>
      </c>
      <c r="AC26" s="1">
        <v>1</v>
      </c>
      <c r="AD26" s="1">
        <v>0</v>
      </c>
      <c r="AE26" s="30">
        <v>10</v>
      </c>
      <c r="AG26" s="5">
        <f t="shared" si="27"/>
        <v>-5.512124513300113E-2</v>
      </c>
      <c r="AI26" s="10">
        <f t="shared" ref="AI26:AI34" si="35">AI4+AI15</f>
        <v>-0.40732880310698372</v>
      </c>
      <c r="AO26" s="1">
        <v>1</v>
      </c>
      <c r="AP26" s="1">
        <v>0</v>
      </c>
      <c r="AQ26" s="30">
        <v>10</v>
      </c>
      <c r="AS26" s="5">
        <f t="shared" si="28"/>
        <v>-1.9543957071765285E-2</v>
      </c>
      <c r="AU26" s="10">
        <f t="shared" ref="AU26:AU34" si="36">AU4+AU15</f>
        <v>-0.44156320968427287</v>
      </c>
      <c r="BA26" s="1">
        <v>1</v>
      </c>
      <c r="BB26" s="1">
        <v>0</v>
      </c>
      <c r="BC26" s="30">
        <v>10</v>
      </c>
      <c r="BE26" s="5">
        <f t="shared" si="29"/>
        <v>-1.0503629368365824E-2</v>
      </c>
      <c r="BG26" s="10">
        <f t="shared" ref="BG26:BG34" si="37">BG4+BG15</f>
        <v>-0.46286285460122434</v>
      </c>
      <c r="BM26" s="1">
        <v>1</v>
      </c>
      <c r="BN26" s="1">
        <v>0</v>
      </c>
      <c r="BO26" s="30">
        <v>10</v>
      </c>
      <c r="BQ26" s="5">
        <f t="shared" si="30"/>
        <v>-9.2094927210762383E-3</v>
      </c>
      <c r="BS26" s="10">
        <f t="shared" ref="BS26:BS34" si="38">BS4+BS15</f>
        <v>-0.46683669330834932</v>
      </c>
      <c r="BY26" s="46">
        <v>1</v>
      </c>
      <c r="BZ26" s="47">
        <v>0</v>
      </c>
      <c r="CA26" s="48">
        <v>10</v>
      </c>
      <c r="CB26" s="39"/>
      <c r="CC26" s="44">
        <f t="shared" si="31"/>
        <v>-9.1699883417533795E-3</v>
      </c>
      <c r="CD26" s="39"/>
      <c r="CE26" s="43">
        <f t="shared" ref="CE26:CE33" si="39">CE4+CE15</f>
        <v>-0.46695443858602259</v>
      </c>
      <c r="CF26" s="39"/>
      <c r="CG26" s="39"/>
      <c r="CH26" s="39"/>
      <c r="CI26" s="39"/>
      <c r="CJ26" s="42"/>
      <c r="CK26" s="1">
        <v>1</v>
      </c>
      <c r="CL26" s="1">
        <v>0</v>
      </c>
      <c r="CM26" s="30">
        <v>10</v>
      </c>
      <c r="CO26" s="5">
        <f t="shared" si="32"/>
        <v>-9.1699486179446874E-3</v>
      </c>
      <c r="CQ26" s="10">
        <f t="shared" ref="CQ26:CQ34" si="40">CQ4+CQ15</f>
        <v>-0.46695455364596727</v>
      </c>
    </row>
    <row r="27" spans="5:95" x14ac:dyDescent="0.45">
      <c r="E27" s="1">
        <v>1</v>
      </c>
      <c r="F27" s="1">
        <v>-17</v>
      </c>
      <c r="G27" s="30">
        <v>-19</v>
      </c>
      <c r="I27" s="5">
        <f t="shared" si="25"/>
        <v>-0.5</v>
      </c>
      <c r="K27" s="10">
        <f t="shared" si="33"/>
        <v>-0.69314718055994529</v>
      </c>
      <c r="Q27" s="1">
        <v>1</v>
      </c>
      <c r="R27" s="1">
        <v>-17</v>
      </c>
      <c r="S27" s="30">
        <v>-19</v>
      </c>
      <c r="U27" s="5">
        <f t="shared" si="26"/>
        <v>-0.19938677259164883</v>
      </c>
      <c r="W27" s="10">
        <f t="shared" si="34"/>
        <v>-7.4327031253975606E-2</v>
      </c>
      <c r="AC27" s="1">
        <v>1</v>
      </c>
      <c r="AD27" s="1">
        <v>-17</v>
      </c>
      <c r="AE27" s="30">
        <v>-19</v>
      </c>
      <c r="AG27" s="5">
        <f t="shared" si="27"/>
        <v>-0.15330147989471288</v>
      </c>
      <c r="AI27" s="10">
        <f t="shared" si="35"/>
        <v>-1.5529409973451667E-2</v>
      </c>
      <c r="AO27" s="1">
        <v>1</v>
      </c>
      <c r="AP27" s="1">
        <v>-17</v>
      </c>
      <c r="AQ27" s="30">
        <v>-19</v>
      </c>
      <c r="AS27" s="5">
        <f t="shared" si="28"/>
        <v>-0.14331073648934428</v>
      </c>
      <c r="AU27" s="10">
        <f t="shared" si="36"/>
        <v>-3.9265953854231003E-3</v>
      </c>
      <c r="BA27" s="1">
        <v>1</v>
      </c>
      <c r="BB27" s="1">
        <v>-17</v>
      </c>
      <c r="BC27" s="30">
        <v>-19</v>
      </c>
      <c r="BE27" s="5">
        <f t="shared" si="29"/>
        <v>-0.13999422302371523</v>
      </c>
      <c r="BG27" s="10">
        <f t="shared" si="37"/>
        <v>-1.7513548795682933E-3</v>
      </c>
      <c r="BM27" s="1">
        <v>1</v>
      </c>
      <c r="BN27" s="1">
        <v>-17</v>
      </c>
      <c r="BO27" s="30">
        <v>-19</v>
      </c>
      <c r="BQ27" s="5">
        <f t="shared" si="30"/>
        <v>-0.13933859474847504</v>
      </c>
      <c r="BS27" s="10">
        <f t="shared" si="38"/>
        <v>-1.4762622845901224E-3</v>
      </c>
      <c r="BY27" s="46">
        <v>1</v>
      </c>
      <c r="BZ27" s="47">
        <v>-17</v>
      </c>
      <c r="CA27" s="48">
        <v>-19</v>
      </c>
      <c r="CB27" s="39"/>
      <c r="CC27" s="44">
        <f t="shared" si="31"/>
        <v>-0.13931735892407499</v>
      </c>
      <c r="CD27" s="39"/>
      <c r="CE27" s="43">
        <f t="shared" si="39"/>
        <v>-1.4680233379724037E-3</v>
      </c>
      <c r="CF27" s="39"/>
      <c r="CG27" s="39"/>
      <c r="CH27" s="39"/>
      <c r="CI27" s="39"/>
      <c r="CJ27" s="42"/>
      <c r="CK27" s="1">
        <v>1</v>
      </c>
      <c r="CL27" s="1">
        <v>-17</v>
      </c>
      <c r="CM27" s="30">
        <v>-19</v>
      </c>
      <c r="CO27" s="5">
        <f t="shared" si="32"/>
        <v>-0.1393173378161551</v>
      </c>
      <c r="CQ27" s="10">
        <f t="shared" si="40"/>
        <v>-1.4680150534285557E-3</v>
      </c>
    </row>
    <row r="28" spans="5:95" x14ac:dyDescent="0.45">
      <c r="I28" s="4">
        <f>SUM(I18:I27)</f>
        <v>-1</v>
      </c>
      <c r="K28" s="10">
        <f t="shared" si="33"/>
        <v>-0.69314718055994529</v>
      </c>
      <c r="U28" s="4">
        <f>SUM(U18:U27)</f>
        <v>-0.30923176657733276</v>
      </c>
      <c r="W28" s="10">
        <f t="shared" si="34"/>
        <v>-0.87799689429667627</v>
      </c>
      <c r="AG28" s="4">
        <f>SUM(AG18:AG27)</f>
        <v>-0.10199481065841629</v>
      </c>
      <c r="AI28" s="10">
        <f t="shared" si="35"/>
        <v>-0.91427870349270712</v>
      </c>
      <c r="AS28" s="4">
        <f>SUM(AS18:AS27)</f>
        <v>-2.4570825179288186E-2</v>
      </c>
      <c r="AU28" s="10">
        <f t="shared" si="36"/>
        <v>-0.93843838642884714</v>
      </c>
      <c r="BE28" s="4">
        <f>SUM(BE18:BE27)</f>
        <v>-2.3492780058207152E-3</v>
      </c>
      <c r="BG28" s="10">
        <f t="shared" si="37"/>
        <v>-0.9563295311311194</v>
      </c>
      <c r="BQ28" s="4">
        <f>SUM(BQ18:BQ27)</f>
        <v>-3.7269391222338744E-5</v>
      </c>
      <c r="BS28" s="10">
        <f t="shared" si="38"/>
        <v>-0.9610161021266912</v>
      </c>
      <c r="BY28" s="38"/>
      <c r="BZ28" s="39"/>
      <c r="CA28" s="39"/>
      <c r="CB28" s="39"/>
      <c r="CC28" s="49">
        <f>SUM(CC18:CC27)</f>
        <v>-2.5584691587532404E-8</v>
      </c>
      <c r="CD28" s="39"/>
      <c r="CE28" s="43">
        <f t="shared" si="39"/>
        <v>-0.96118663248833125</v>
      </c>
      <c r="CF28" s="39"/>
      <c r="CG28" s="39"/>
      <c r="CH28" s="39"/>
      <c r="CI28" s="39"/>
      <c r="CJ28" s="42"/>
      <c r="CO28" s="4">
        <f>SUM(CO18:CO27)</f>
        <v>-2.3703261575747092E-14</v>
      </c>
      <c r="CQ28" s="10">
        <f t="shared" si="40"/>
        <v>-0.96118680968946735</v>
      </c>
    </row>
    <row r="29" spans="5:95" x14ac:dyDescent="0.45">
      <c r="K29" s="10">
        <f t="shared" si="33"/>
        <v>-0.69314718055994529</v>
      </c>
      <c r="W29" s="10">
        <f t="shared" si="34"/>
        <v>-0.62687256037219885</v>
      </c>
      <c r="AI29" s="10">
        <f t="shared" si="35"/>
        <v>-0.6511122809048614</v>
      </c>
      <c r="AU29" s="10">
        <f t="shared" si="36"/>
        <v>-0.67801040146260294</v>
      </c>
      <c r="BG29" s="10">
        <f t="shared" si="37"/>
        <v>-0.69137119973732974</v>
      </c>
      <c r="BS29" s="10">
        <f t="shared" si="38"/>
        <v>-0.69356102423676902</v>
      </c>
      <c r="BY29" s="38"/>
      <c r="BZ29" s="39"/>
      <c r="CA29" s="39"/>
      <c r="CB29" s="39"/>
      <c r="CC29" s="39"/>
      <c r="CD29" s="39"/>
      <c r="CE29" s="43">
        <f t="shared" si="39"/>
        <v>-0.69362018439517581</v>
      </c>
      <c r="CF29" s="39"/>
      <c r="CG29" s="39"/>
      <c r="CH29" s="39"/>
      <c r="CI29" s="39"/>
      <c r="CJ29" s="42"/>
      <c r="CQ29" s="10">
        <f t="shared" si="40"/>
        <v>-0.69362024010926737</v>
      </c>
    </row>
    <row r="30" spans="5:95" x14ac:dyDescent="0.45">
      <c r="H30" s="87" t="s">
        <v>9</v>
      </c>
      <c r="I30" s="87"/>
      <c r="K30" s="10">
        <f t="shared" si="33"/>
        <v>-0.69314718055994529</v>
      </c>
      <c r="T30" s="87" t="s">
        <v>9</v>
      </c>
      <c r="U30" s="87"/>
      <c r="W30" s="10">
        <f t="shared" si="34"/>
        <v>-0.87799689429667627</v>
      </c>
      <c r="AF30" s="87" t="s">
        <v>9</v>
      </c>
      <c r="AG30" s="87"/>
      <c r="AI30" s="10">
        <f t="shared" si="35"/>
        <v>-0.91427870349270712</v>
      </c>
      <c r="AR30" s="87" t="s">
        <v>9</v>
      </c>
      <c r="AS30" s="87"/>
      <c r="AU30" s="10">
        <f t="shared" si="36"/>
        <v>-0.93843838642884714</v>
      </c>
      <c r="BD30" s="87" t="s">
        <v>9</v>
      </c>
      <c r="BE30" s="87"/>
      <c r="BG30" s="10">
        <f t="shared" si="37"/>
        <v>-0.9563295311311194</v>
      </c>
      <c r="BP30" s="87" t="s">
        <v>9</v>
      </c>
      <c r="BQ30" s="87"/>
      <c r="BS30" s="10">
        <f t="shared" si="38"/>
        <v>-0.9610161021266912</v>
      </c>
      <c r="BY30" s="38"/>
      <c r="BZ30" s="39"/>
      <c r="CA30" s="39"/>
      <c r="CB30" s="93" t="s">
        <v>9</v>
      </c>
      <c r="CC30" s="93"/>
      <c r="CD30" s="39"/>
      <c r="CE30" s="43">
        <f t="shared" si="39"/>
        <v>-0.96118663248833125</v>
      </c>
      <c r="CF30" s="39"/>
      <c r="CG30" s="106" t="s">
        <v>85</v>
      </c>
      <c r="CH30" s="39"/>
      <c r="CI30" s="39"/>
      <c r="CJ30" s="42"/>
      <c r="CN30" s="87" t="s">
        <v>9</v>
      </c>
      <c r="CO30" s="87"/>
      <c r="CQ30" s="10">
        <f t="shared" si="40"/>
        <v>-0.96118680968946735</v>
      </c>
    </row>
    <row r="31" spans="5:95" x14ac:dyDescent="0.45">
      <c r="H31" s="9" t="s">
        <v>10</v>
      </c>
      <c r="I31" s="10">
        <f>SUM(K25:K34)</f>
        <v>-6.9314718055994531</v>
      </c>
      <c r="K31" s="10">
        <f t="shared" si="33"/>
        <v>-0.69314718055994529</v>
      </c>
      <c r="T31" s="9" t="s">
        <v>10</v>
      </c>
      <c r="U31" s="10">
        <f>SUM(W25:W34)</f>
        <v>-5.0459509379402432</v>
      </c>
      <c r="W31" s="10">
        <f t="shared" si="34"/>
        <v>-0.96602692524639189</v>
      </c>
      <c r="AF31" s="9" t="s">
        <v>10</v>
      </c>
      <c r="AG31" s="10">
        <f>SUM(AI25:AI34)</f>
        <v>-4.7657818232063818</v>
      </c>
      <c r="AI31" s="10">
        <f t="shared" si="35"/>
        <v>-1.0423510754768692</v>
      </c>
      <c r="AR31" s="9" t="s">
        <v>10</v>
      </c>
      <c r="AS31" s="10">
        <f>SUM(AU25:AU34)</f>
        <v>-4.6851316143394612</v>
      </c>
      <c r="AU31" s="10">
        <f t="shared" si="36"/>
        <v>-1.0533705139989797</v>
      </c>
      <c r="BD31" s="9" t="s">
        <v>10</v>
      </c>
      <c r="BE31" s="10">
        <f>SUM(BG25:BG34)</f>
        <v>-4.672533529244129</v>
      </c>
      <c r="BG31" s="10">
        <f t="shared" si="37"/>
        <v>-1.0519379048881949</v>
      </c>
      <c r="BP31" s="9" t="s">
        <v>10</v>
      </c>
      <c r="BQ31" s="10">
        <f>SUM(BS25:BS34)</f>
        <v>-4.6721581881643042</v>
      </c>
      <c r="BS31" s="10">
        <f t="shared" si="38"/>
        <v>-1.051055686895781</v>
      </c>
      <c r="BY31" s="38"/>
      <c r="BZ31" s="39"/>
      <c r="CA31" s="39"/>
      <c r="CB31" s="50" t="s">
        <v>10</v>
      </c>
      <c r="CC31" s="43">
        <f>SUM(CE25:CE34)</f>
        <v>-4.6721578158094355</v>
      </c>
      <c r="CD31" s="39"/>
      <c r="CE31" s="43">
        <f t="shared" si="39"/>
        <v>-1.0510170626645576</v>
      </c>
      <c r="CF31" s="39"/>
      <c r="CG31" s="106">
        <f>-2*CC31</f>
        <v>9.3443156316188709</v>
      </c>
      <c r="CH31" s="39"/>
      <c r="CI31" s="39"/>
      <c r="CJ31" s="42"/>
      <c r="CN31" s="9" t="s">
        <v>10</v>
      </c>
      <c r="CO31" s="10">
        <f>SUM(CQ25:CQ34)</f>
        <v>-4.6721578158090589</v>
      </c>
      <c r="CQ31" s="10">
        <f t="shared" si="40"/>
        <v>-1.051017020051815</v>
      </c>
    </row>
    <row r="32" spans="5:95" x14ac:dyDescent="0.45">
      <c r="H32" s="87" t="s">
        <v>8</v>
      </c>
      <c r="I32" s="87"/>
      <c r="K32" s="10">
        <f t="shared" si="33"/>
        <v>-0.69314718055994529</v>
      </c>
      <c r="T32" s="87" t="s">
        <v>8</v>
      </c>
      <c r="U32" s="87"/>
      <c r="W32" s="10">
        <f t="shared" si="34"/>
        <v>-0.50489636389674786</v>
      </c>
      <c r="AF32" s="87" t="s">
        <v>8</v>
      </c>
      <c r="AG32" s="87"/>
      <c r="AI32" s="10">
        <f t="shared" si="35"/>
        <v>-0.39331659908320882</v>
      </c>
      <c r="AR32" s="87" t="s">
        <v>8</v>
      </c>
      <c r="AS32" s="87"/>
      <c r="AU32" s="10">
        <f t="shared" si="36"/>
        <v>-0.31687527776918412</v>
      </c>
      <c r="BD32" s="87" t="s">
        <v>8</v>
      </c>
      <c r="BE32" s="87"/>
      <c r="BG32" s="10">
        <f t="shared" si="37"/>
        <v>-0.27972176744339533</v>
      </c>
      <c r="BP32" s="87" t="s">
        <v>8</v>
      </c>
      <c r="BQ32" s="87"/>
      <c r="BS32" s="10">
        <f t="shared" si="38"/>
        <v>-0.2726071062673685</v>
      </c>
      <c r="BY32" s="38"/>
      <c r="BZ32" s="39"/>
      <c r="CA32" s="39"/>
      <c r="CB32" s="93" t="s">
        <v>8</v>
      </c>
      <c r="CC32" s="93"/>
      <c r="CD32" s="39"/>
      <c r="CE32" s="43">
        <f t="shared" si="39"/>
        <v>-0.27238134140127729</v>
      </c>
      <c r="CF32" s="39"/>
      <c r="CG32" s="39"/>
      <c r="CH32" s="39"/>
      <c r="CI32" s="39"/>
      <c r="CJ32" s="42"/>
      <c r="CN32" s="87" t="s">
        <v>8</v>
      </c>
      <c r="CO32" s="87"/>
      <c r="CQ32" s="10">
        <f t="shared" si="40"/>
        <v>-0.27238111530212417</v>
      </c>
    </row>
    <row r="33" spans="5:99" x14ac:dyDescent="0.45">
      <c r="H33" s="7" t="s">
        <v>7</v>
      </c>
      <c r="I33" s="33">
        <f t="array" ref="I33:I35">MMULT(TRANSPOSE(E18:G27),I18:I27)</f>
        <v>-1</v>
      </c>
      <c r="K33" s="10">
        <f t="shared" si="33"/>
        <v>-0.69314718055994529</v>
      </c>
      <c r="T33" s="7" t="s">
        <v>7</v>
      </c>
      <c r="U33" s="33">
        <f t="array" ref="U33:U35">MMULT(TRANSPOSE(Q18:S27),U18:U27)</f>
        <v>-0.30923176657733276</v>
      </c>
      <c r="W33" s="10">
        <f t="shared" si="34"/>
        <v>-0.17563998045085827</v>
      </c>
      <c r="AF33" s="7" t="s">
        <v>7</v>
      </c>
      <c r="AG33" s="33">
        <f t="array" ref="AG33:AG35">MMULT(TRANSPOSE(AC18:AE27),AG18:AG27)</f>
        <v>-0.10199481065841629</v>
      </c>
      <c r="AI33" s="10">
        <f t="shared" si="35"/>
        <v>-5.6698661447808503E-2</v>
      </c>
      <c r="AR33" s="7" t="s">
        <v>7</v>
      </c>
      <c r="AS33" s="33">
        <f t="array" ref="AS33:AS35">MMULT(TRANSPOSE(AO18:AQ27),AS18:AS27)</f>
        <v>-2.4570825179288186E-2</v>
      </c>
      <c r="AU33" s="10">
        <f t="shared" si="36"/>
        <v>-1.9737465632447701E-2</v>
      </c>
      <c r="BD33" s="7" t="s">
        <v>7</v>
      </c>
      <c r="BE33" s="33">
        <f t="array" ref="BE33:BE35">MMULT(TRANSPOSE(BA18:BC27),BE18:BE27)</f>
        <v>-2.3492780058207152E-3</v>
      </c>
      <c r="BG33" s="10">
        <f t="shared" si="37"/>
        <v>-1.0559181827360976E-2</v>
      </c>
      <c r="BP33" s="7" t="s">
        <v>7</v>
      </c>
      <c r="BQ33" s="33">
        <f t="array" ref="BQ33:BQ35">MMULT(TRANSPOSE(BM18:BO27),BQ18:BQ27)</f>
        <v>-3.7269391222338744E-5</v>
      </c>
      <c r="BS33" s="10">
        <f t="shared" si="38"/>
        <v>-9.2521622778638235E-3</v>
      </c>
      <c r="BY33" s="38"/>
      <c r="BZ33" s="39"/>
      <c r="CA33" s="39"/>
      <c r="CB33" s="51" t="s">
        <v>7</v>
      </c>
      <c r="CC33" s="52">
        <f t="array" ref="CC33:CC35">MMULT(TRANSPOSE(BY18:CA27),CC18:CC27)</f>
        <v>-2.5584691587532404E-8</v>
      </c>
      <c r="CD33" s="39"/>
      <c r="CE33" s="43">
        <f t="shared" si="39"/>
        <v>-9.2122914963992629E-3</v>
      </c>
      <c r="CF33" s="39"/>
      <c r="CG33" s="39"/>
      <c r="CH33" s="39"/>
      <c r="CI33" s="39"/>
      <c r="CJ33" s="42"/>
      <c r="CN33" s="7" t="s">
        <v>7</v>
      </c>
      <c r="CO33" s="33">
        <f t="array" ref="CO33:CO35">MMULT(TRANSPOSE(CK18:CM27),CO18:CO27)</f>
        <v>-2.3703261575747092E-14</v>
      </c>
      <c r="CQ33" s="10">
        <f t="shared" si="40"/>
        <v>-9.2122514049533949E-3</v>
      </c>
    </row>
    <row r="34" spans="5:99" x14ac:dyDescent="0.45">
      <c r="I34" s="33">
        <v>16.5</v>
      </c>
      <c r="K34" s="10">
        <f>K12+K23</f>
        <v>-0.69314718055994529</v>
      </c>
      <c r="U34" s="33">
        <v>2.5461336846303153</v>
      </c>
      <c r="W34" s="10">
        <f t="shared" si="34"/>
        <v>-0.22237731069111119</v>
      </c>
      <c r="AG34" s="33">
        <v>0.51772699253241594</v>
      </c>
      <c r="AI34" s="10">
        <f t="shared" si="35"/>
        <v>-0.16641058617376173</v>
      </c>
      <c r="AS34" s="33">
        <v>0.13601108546820084</v>
      </c>
      <c r="AU34" s="10">
        <f t="shared" si="36"/>
        <v>-0.15468001246996729</v>
      </c>
      <c r="BE34" s="33">
        <v>2.8351853138433469E-2</v>
      </c>
      <c r="BG34" s="10">
        <f t="shared" si="37"/>
        <v>-0.15081617234286065</v>
      </c>
      <c r="BQ34" s="33">
        <v>1.0863060809702674E-3</v>
      </c>
      <c r="BS34" s="10">
        <f t="shared" si="38"/>
        <v>-0.15005410944802428</v>
      </c>
      <c r="BY34" s="38"/>
      <c r="BZ34" s="39"/>
      <c r="CA34" s="39"/>
      <c r="CB34" s="39"/>
      <c r="CC34" s="52">
        <v>1.1562292270284047E-6</v>
      </c>
      <c r="CD34" s="39"/>
      <c r="CE34" s="43">
        <f>CE12+CE23</f>
        <v>-0.15002943590940612</v>
      </c>
      <c r="CF34" s="39"/>
      <c r="CG34" s="39"/>
      <c r="CH34" s="39"/>
      <c r="CI34" s="39"/>
      <c r="CJ34" s="42"/>
      <c r="CO34" s="33">
        <v>1.1932677068671182E-12</v>
      </c>
      <c r="CQ34" s="10">
        <f t="shared" si="40"/>
        <v>-0.15002941138478035</v>
      </c>
    </row>
    <row r="35" spans="5:99" x14ac:dyDescent="0.45">
      <c r="I35" s="33">
        <v>3</v>
      </c>
      <c r="U35" s="33">
        <v>-0.9689302788276124</v>
      </c>
      <c r="AG35" s="33">
        <v>-0.73845708622710582</v>
      </c>
      <c r="AS35" s="33">
        <v>-0.2394650025977958</v>
      </c>
      <c r="BE35" s="33">
        <v>-3.0827439186914773E-2</v>
      </c>
      <c r="BQ35" s="33">
        <v>-7.8381990726139605E-4</v>
      </c>
      <c r="BY35" s="38"/>
      <c r="BZ35" s="39"/>
      <c r="CA35" s="39"/>
      <c r="CB35" s="39"/>
      <c r="CC35" s="52">
        <v>-7.4305188713097436E-7</v>
      </c>
      <c r="CD35" s="39"/>
      <c r="CE35" s="39"/>
      <c r="CF35" s="39"/>
      <c r="CG35" s="39"/>
      <c r="CH35" s="39"/>
      <c r="CI35" s="39"/>
      <c r="CJ35" s="42"/>
      <c r="CO35" s="33">
        <v>-7.4029671282005438E-13</v>
      </c>
    </row>
    <row r="36" spans="5:99" x14ac:dyDescent="0.45">
      <c r="H36" s="87" t="s">
        <v>15</v>
      </c>
      <c r="I36" s="87"/>
      <c r="T36" s="87" t="s">
        <v>15</v>
      </c>
      <c r="U36" s="87"/>
      <c r="AF36" s="87" t="s">
        <v>15</v>
      </c>
      <c r="AG36" s="87"/>
      <c r="AR36" s="87" t="s">
        <v>15</v>
      </c>
      <c r="AS36" s="87"/>
      <c r="BD36" s="87" t="s">
        <v>15</v>
      </c>
      <c r="BE36" s="87"/>
      <c r="BP36" s="87" t="s">
        <v>15</v>
      </c>
      <c r="BQ36" s="87"/>
      <c r="BY36" s="38"/>
      <c r="BZ36" s="39"/>
      <c r="CA36" s="39"/>
      <c r="CB36" s="93" t="s">
        <v>15</v>
      </c>
      <c r="CC36" s="93"/>
      <c r="CD36" s="39"/>
      <c r="CE36" s="39"/>
      <c r="CF36" s="39"/>
      <c r="CG36" s="39"/>
      <c r="CH36" s="39"/>
      <c r="CI36" s="39"/>
      <c r="CJ36" s="42"/>
      <c r="CN36" s="87" t="s">
        <v>15</v>
      </c>
      <c r="CO36" s="87"/>
    </row>
    <row r="37" spans="5:99" x14ac:dyDescent="0.45">
      <c r="F37" s="12">
        <f>-1*I5*(1-I5)</f>
        <v>-0.25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R37" s="12">
        <f>-1*U5*(1-U5)</f>
        <v>-0.19620504902711919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D37" s="12">
        <f>-1*AG5*(1-AG5)</f>
        <v>-0.15072869694014465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P37" s="12">
        <f>-1*AS5*(1-AS5)</f>
        <v>-0.11363316045289154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BB37" s="12">
        <f>-1*BE5*(1-BE5)</f>
        <v>-9.3920175865467762E-2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N37" s="12">
        <f>-1*BQ5*(1-BQ5)</f>
        <v>-8.9944137903111329E-2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Y37" s="38"/>
      <c r="BZ37" s="53">
        <f>-1*CC5*(1-CC5)</f>
        <v>-8.9813626971608482E-2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42"/>
      <c r="CL37" s="12">
        <f>-1*CO5*(1-CO5)</f>
        <v>-8.9813494694188825E-2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</row>
    <row r="38" spans="5:99" x14ac:dyDescent="0.45">
      <c r="F38" s="13">
        <v>0</v>
      </c>
      <c r="G38" s="12">
        <f>-1*I6*(1-I6)</f>
        <v>-0.25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R38" s="13">
        <v>0</v>
      </c>
      <c r="S38" s="12">
        <f>-1*U6*(1-U6)</f>
        <v>-0.22272854669783315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D38" s="13">
        <v>0</v>
      </c>
      <c r="AE38" s="12">
        <f>-1*AG6*(1-AG6)</f>
        <v>-0.22263445013601682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P38" s="13">
        <v>0</v>
      </c>
      <c r="AQ38" s="12">
        <f>-1*AS6*(1-AS6)</f>
        <v>-0.22954229220518671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BB38" s="13">
        <v>0</v>
      </c>
      <c r="BC38" s="12">
        <f>-1*BE6*(1-BE6)</f>
        <v>-0.23323519976383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N38" s="13">
        <v>0</v>
      </c>
      <c r="BO38" s="12">
        <f>-1*BQ6*(1-BQ6)</f>
        <v>-0.23387545168143997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Y38" s="38"/>
      <c r="BZ38" s="54">
        <v>0</v>
      </c>
      <c r="CA38" s="53">
        <f>-1*CC6*(1-CC6)</f>
        <v>-0.23389419389364013</v>
      </c>
      <c r="CB38" s="54">
        <v>0</v>
      </c>
      <c r="CC38" s="54">
        <v>0</v>
      </c>
      <c r="CD38" s="54">
        <v>0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42"/>
      <c r="CL38" s="13">
        <v>0</v>
      </c>
      <c r="CM38" s="12">
        <f>-1*CO6*(1-CO6)</f>
        <v>-0.23389421220200271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</row>
    <row r="39" spans="5:99" x14ac:dyDescent="0.45">
      <c r="F39" s="13">
        <v>0</v>
      </c>
      <c r="G39" s="13">
        <v>0</v>
      </c>
      <c r="H39" s="12">
        <f>-1*I7*(1-I7)</f>
        <v>-0.25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R39" s="13">
        <v>0</v>
      </c>
      <c r="S39" s="13">
        <v>0</v>
      </c>
      <c r="T39" s="12">
        <f>-1*U7*(1-U7)</f>
        <v>-6.6500823310854509E-2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D39" s="13">
        <v>0</v>
      </c>
      <c r="AE39" s="13">
        <v>0</v>
      </c>
      <c r="AF39" s="12">
        <f>-1*AG7*(1-AG7)</f>
        <v>-1.5171999292647068E-2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P39" s="13">
        <v>0</v>
      </c>
      <c r="AQ39" s="13">
        <v>0</v>
      </c>
      <c r="AR39" s="12">
        <f>-1*AS7*(1-AS7)</f>
        <v>-3.9035386410902059E-3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BB39" s="13">
        <v>0</v>
      </c>
      <c r="BC39" s="13">
        <v>0</v>
      </c>
      <c r="BD39" s="12">
        <f>-1*BE7*(1-BE7)</f>
        <v>-1.7467602749593213E-3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N39" s="13">
        <v>0</v>
      </c>
      <c r="BO39" s="13">
        <v>0</v>
      </c>
      <c r="BP39" s="12">
        <f>-1*BQ7*(1-BQ7)</f>
        <v>-1.4729970096322524E-3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Y39" s="38"/>
      <c r="BZ39" s="54">
        <v>0</v>
      </c>
      <c r="CA39" s="54">
        <v>0</v>
      </c>
      <c r="CB39" s="53">
        <f>-1*CC7*(1-CC7)</f>
        <v>-1.4647943873038658E-3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42"/>
      <c r="CL39" s="13">
        <v>0</v>
      </c>
      <c r="CM39" s="13">
        <v>0</v>
      </c>
      <c r="CN39" s="12">
        <f>-1*CO7*(1-CO7)</f>
        <v>-1.464786139183384E-3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</row>
    <row r="40" spans="5:99" x14ac:dyDescent="0.45">
      <c r="F40" s="13">
        <v>0</v>
      </c>
      <c r="G40" s="13">
        <v>0</v>
      </c>
      <c r="H40" s="13">
        <v>0</v>
      </c>
      <c r="I40" s="12">
        <f>-1*I8*(1-I8)</f>
        <v>-0.25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R40" s="13">
        <v>0</v>
      </c>
      <c r="S40" s="13">
        <v>0</v>
      </c>
      <c r="T40" s="13">
        <v>0</v>
      </c>
      <c r="U40" s="12">
        <f>-1*U8*(1-U8)</f>
        <v>-0.24287910399642254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D40" s="13">
        <v>0</v>
      </c>
      <c r="AE40" s="13">
        <v>0</v>
      </c>
      <c r="AF40" s="13">
        <v>0</v>
      </c>
      <c r="AG40" s="12">
        <f>-1*AG8*(1-AG8)</f>
        <v>-0.2401604752834238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P40" s="13">
        <v>0</v>
      </c>
      <c r="AQ40" s="13">
        <v>0</v>
      </c>
      <c r="AR40" s="13">
        <v>0</v>
      </c>
      <c r="AS40" s="12">
        <f>-1*AS8*(1-AS8)</f>
        <v>-0.23817089731928301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BB40" s="13">
        <v>0</v>
      </c>
      <c r="BC40" s="13">
        <v>0</v>
      </c>
      <c r="BD40" s="13">
        <v>0</v>
      </c>
      <c r="BE40" s="12">
        <f>-1*BE8*(1-BE8)</f>
        <v>-0.23661371011019136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N40" s="13">
        <v>0</v>
      </c>
      <c r="BO40" s="13">
        <v>0</v>
      </c>
      <c r="BP40" s="13">
        <v>0</v>
      </c>
      <c r="BQ40" s="12">
        <f>-1*BQ8*(1-BQ8)</f>
        <v>-0.23619469592786763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Y40" s="38"/>
      <c r="BZ40" s="54">
        <v>0</v>
      </c>
      <c r="CA40" s="54">
        <v>0</v>
      </c>
      <c r="CB40" s="54">
        <v>0</v>
      </c>
      <c r="CC40" s="53">
        <f>-1*CC8*(1-CC8)</f>
        <v>-0.23617936479664953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42"/>
      <c r="CL40" s="13">
        <v>0</v>
      </c>
      <c r="CM40" s="13">
        <v>0</v>
      </c>
      <c r="CN40" s="13">
        <v>0</v>
      </c>
      <c r="CO40" s="12">
        <f>-1*CO8*(1-CO8)</f>
        <v>-0.23617934886273312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</row>
    <row r="41" spans="5:99" x14ac:dyDescent="0.45">
      <c r="E41" s="11" t="s">
        <v>14</v>
      </c>
      <c r="F41" s="13">
        <v>0</v>
      </c>
      <c r="G41" s="13">
        <v>0</v>
      </c>
      <c r="H41" s="13">
        <v>0</v>
      </c>
      <c r="I41" s="13">
        <v>0</v>
      </c>
      <c r="J41" s="12">
        <f>-1*I9*(1-I9)</f>
        <v>-0.25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Q41" s="11" t="s">
        <v>14</v>
      </c>
      <c r="R41" s="13">
        <v>0</v>
      </c>
      <c r="S41" s="13">
        <v>0</v>
      </c>
      <c r="T41" s="13">
        <v>0</v>
      </c>
      <c r="U41" s="13">
        <v>0</v>
      </c>
      <c r="V41" s="12">
        <f>-1*U9*(1-U9)</f>
        <v>-0.24882624849188556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C41" s="11" t="s">
        <v>14</v>
      </c>
      <c r="AD41" s="13">
        <v>0</v>
      </c>
      <c r="AE41" s="13">
        <v>0</v>
      </c>
      <c r="AF41" s="13">
        <v>0</v>
      </c>
      <c r="AG41" s="13">
        <v>0</v>
      </c>
      <c r="AH41" s="12">
        <f>-1*AG9*(1-AG9)</f>
        <v>-0.24953923497053476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O41" s="11" t="s">
        <v>14</v>
      </c>
      <c r="AP41" s="13">
        <v>0</v>
      </c>
      <c r="AQ41" s="13">
        <v>0</v>
      </c>
      <c r="AR41" s="13">
        <v>0</v>
      </c>
      <c r="AS41" s="13">
        <v>0</v>
      </c>
      <c r="AT41" s="12">
        <f>-1*AS9*(1-AS9)</f>
        <v>-0.24994184473132952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BA41" s="11" t="s">
        <v>14</v>
      </c>
      <c r="BB41" s="13">
        <v>0</v>
      </c>
      <c r="BC41" s="13">
        <v>0</v>
      </c>
      <c r="BD41" s="13">
        <v>0</v>
      </c>
      <c r="BE41" s="13">
        <v>0</v>
      </c>
      <c r="BF41" s="12">
        <f>-1*BE9*(1-BE9)</f>
        <v>-0.24999921007116874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M41" s="11" t="s">
        <v>14</v>
      </c>
      <c r="BN41" s="13">
        <v>0</v>
      </c>
      <c r="BO41" s="13">
        <v>0</v>
      </c>
      <c r="BP41" s="13">
        <v>0</v>
      </c>
      <c r="BQ41" s="13">
        <v>0</v>
      </c>
      <c r="BR41" s="12">
        <f>-1*BQ9*(1-BQ9)</f>
        <v>-0.24999995720106788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Y41" s="55" t="s">
        <v>14</v>
      </c>
      <c r="BZ41" s="54">
        <v>0</v>
      </c>
      <c r="CA41" s="54">
        <v>0</v>
      </c>
      <c r="CB41" s="54">
        <v>0</v>
      </c>
      <c r="CC41" s="54">
        <v>0</v>
      </c>
      <c r="CD41" s="53">
        <f>-1*CC9*(1-CC9)</f>
        <v>-0.24999994409329229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42"/>
      <c r="CK41" s="11" t="s">
        <v>14</v>
      </c>
      <c r="CL41" s="13">
        <v>0</v>
      </c>
      <c r="CM41" s="13">
        <v>0</v>
      </c>
      <c r="CN41" s="13">
        <v>0</v>
      </c>
      <c r="CO41" s="13">
        <v>0</v>
      </c>
      <c r="CP41" s="12">
        <f>-1*CO9*(1-CO9)</f>
        <v>-0.24999994408012433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</row>
    <row r="42" spans="5:99" x14ac:dyDescent="0.45"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2">
        <f>-1*I10*(1-I10)</f>
        <v>-0.25</v>
      </c>
      <c r="L42" s="13">
        <v>0</v>
      </c>
      <c r="M42" s="13">
        <v>0</v>
      </c>
      <c r="N42" s="13">
        <v>0</v>
      </c>
      <c r="O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2">
        <f>-1*U10*(1-U10)</f>
        <v>-0.24287910399642254</v>
      </c>
      <c r="X42" s="13">
        <v>0</v>
      </c>
      <c r="Y42" s="13">
        <v>0</v>
      </c>
      <c r="Z42" s="13">
        <v>0</v>
      </c>
      <c r="AA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2">
        <f>-1*AG10*(1-AG10)</f>
        <v>-0.2401604752834238</v>
      </c>
      <c r="AJ42" s="13">
        <v>0</v>
      </c>
      <c r="AK42" s="13">
        <v>0</v>
      </c>
      <c r="AL42" s="13">
        <v>0</v>
      </c>
      <c r="AM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2">
        <f>-1*AS10*(1-AS10)</f>
        <v>-0.23817089731928301</v>
      </c>
      <c r="AV42" s="13">
        <v>0</v>
      </c>
      <c r="AW42" s="13">
        <v>0</v>
      </c>
      <c r="AX42" s="13">
        <v>0</v>
      </c>
      <c r="AY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2">
        <f>-1*BE10*(1-BE10)</f>
        <v>-0.23661371011019136</v>
      </c>
      <c r="BH42" s="13">
        <v>0</v>
      </c>
      <c r="BI42" s="13">
        <v>0</v>
      </c>
      <c r="BJ42" s="13">
        <v>0</v>
      </c>
      <c r="BK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2">
        <f>-1*BQ10*(1-BQ10)</f>
        <v>-0.23619469592786763</v>
      </c>
      <c r="BT42" s="13">
        <v>0</v>
      </c>
      <c r="BU42" s="13">
        <v>0</v>
      </c>
      <c r="BV42" s="13">
        <v>0</v>
      </c>
      <c r="BW42" s="13">
        <v>0</v>
      </c>
      <c r="BY42" s="38"/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3">
        <f>-1*CC10*(1-CC10)</f>
        <v>-0.23617936479664953</v>
      </c>
      <c r="CF42" s="54">
        <v>0</v>
      </c>
      <c r="CG42" s="54">
        <v>0</v>
      </c>
      <c r="CH42" s="54">
        <v>0</v>
      </c>
      <c r="CI42" s="54">
        <v>0</v>
      </c>
      <c r="CJ42" s="42"/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2">
        <f>-1*CO10*(1-CO10)</f>
        <v>-0.23617934886273312</v>
      </c>
      <c r="CR42" s="13">
        <v>0</v>
      </c>
      <c r="CS42" s="13">
        <v>0</v>
      </c>
      <c r="CT42" s="13">
        <v>0</v>
      </c>
      <c r="CU42" s="13">
        <v>0</v>
      </c>
    </row>
    <row r="43" spans="5:99" x14ac:dyDescent="0.45"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2">
        <f>-1*I11*(1-I11)</f>
        <v>-0.25</v>
      </c>
      <c r="M43" s="13">
        <v>0</v>
      </c>
      <c r="N43" s="13">
        <v>0</v>
      </c>
      <c r="O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2">
        <f>-1*U11*(1-U11)</f>
        <v>-0.23574176757747506</v>
      </c>
      <c r="Y43" s="13">
        <v>0</v>
      </c>
      <c r="Z43" s="13">
        <v>0</v>
      </c>
      <c r="AA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2">
        <f>-1*AG11*(1-AG11)</f>
        <v>-0.2282805089915767</v>
      </c>
      <c r="AK43" s="13">
        <v>0</v>
      </c>
      <c r="AL43" s="13">
        <v>0</v>
      </c>
      <c r="AM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2">
        <f>-1*AS11*(1-AS11)</f>
        <v>-0.22712654240827815</v>
      </c>
      <c r="AW43" s="13">
        <v>0</v>
      </c>
      <c r="AX43" s="13">
        <v>0</v>
      </c>
      <c r="AY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2">
        <f>-1*BE11*(1-BE11)</f>
        <v>-0.22727753069538312</v>
      </c>
      <c r="BI43" s="13">
        <v>0</v>
      </c>
      <c r="BJ43" s="13">
        <v>0</v>
      </c>
      <c r="BK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2">
        <f>-1*BQ11*(1-BQ11)</f>
        <v>-0.22737036962790946</v>
      </c>
      <c r="BU43" s="13">
        <v>0</v>
      </c>
      <c r="BV43" s="13">
        <v>0</v>
      </c>
      <c r="BW43" s="13">
        <v>0</v>
      </c>
      <c r="BY43" s="38"/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3">
        <f>-1*CC11*(1-CC11)</f>
        <v>-0.22737443172019409</v>
      </c>
      <c r="CG43" s="54">
        <v>0</v>
      </c>
      <c r="CH43" s="54">
        <v>0</v>
      </c>
      <c r="CI43" s="54">
        <v>0</v>
      </c>
      <c r="CJ43" s="42"/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2">
        <f>-1*CO11*(1-CO11)</f>
        <v>-0.22737443620164155</v>
      </c>
      <c r="CS43" s="13">
        <v>0</v>
      </c>
      <c r="CT43" s="13">
        <v>0</v>
      </c>
      <c r="CU43" s="13">
        <v>0</v>
      </c>
    </row>
    <row r="44" spans="5:99" x14ac:dyDescent="0.45"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2">
        <f>-1*I12*(1-I12)</f>
        <v>-0.25</v>
      </c>
      <c r="N44" s="13">
        <v>0</v>
      </c>
      <c r="O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2">
        <f>-1*U12*(1-U12)</f>
        <v>-0.23927364376688298</v>
      </c>
      <c r="Z44" s="13">
        <v>0</v>
      </c>
      <c r="AA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2">
        <f>-1*AG12*(1-AG12)</f>
        <v>-0.21943969202439026</v>
      </c>
      <c r="AL44" s="13">
        <v>0</v>
      </c>
      <c r="AM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2">
        <f>-1*AS12*(1-AS12)</f>
        <v>-0.19782357273233137</v>
      </c>
      <c r="AX44" s="13">
        <v>0</v>
      </c>
      <c r="AY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2">
        <f>-1*BE12*(1-BE12)</f>
        <v>-0.18446704413491899</v>
      </c>
      <c r="BJ44" s="13">
        <v>0</v>
      </c>
      <c r="BK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2">
        <f>-1*BQ12*(1-BQ12)</f>
        <v>-0.18167428770172372</v>
      </c>
      <c r="BV44" s="13">
        <v>0</v>
      </c>
      <c r="BW44" s="13">
        <v>0</v>
      </c>
      <c r="BY44" s="38"/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3">
        <f>-1*CC12*(1-CC12)</f>
        <v>-0.18158438380990077</v>
      </c>
      <c r="CH44" s="54">
        <v>0</v>
      </c>
      <c r="CI44" s="54">
        <v>0</v>
      </c>
      <c r="CJ44" s="42"/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2">
        <f>-1*CO12*(1-CO12)</f>
        <v>-0.1815842937330838</v>
      </c>
      <c r="CT44" s="13">
        <v>0</v>
      </c>
      <c r="CU44" s="13">
        <v>0</v>
      </c>
    </row>
    <row r="45" spans="5:99" x14ac:dyDescent="0.45"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2">
        <f>-1*I13*(1-I13)</f>
        <v>-0.25</v>
      </c>
      <c r="O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2">
        <f>-1*U13*(1-U13)</f>
        <v>-0.13513326304522716</v>
      </c>
      <c r="AA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2">
        <f>-1*AG13*(1-AG13)</f>
        <v>-5.2082893467988729E-2</v>
      </c>
      <c r="AM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2">
        <f>-1*AS13*(1-AS13)</f>
        <v>-1.9161990813742282E-2</v>
      </c>
      <c r="AY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2">
        <f>-1*BE13*(1-BE13)</f>
        <v>-1.0393303138457828E-2</v>
      </c>
      <c r="BK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2">
        <f>-1*BQ13*(1-BQ13)</f>
        <v>-9.1246779648966828E-3</v>
      </c>
      <c r="BW45" s="13">
        <v>0</v>
      </c>
      <c r="BY45" s="38"/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3">
        <f>-1*CC13*(1-CC13)</f>
        <v>-9.085899655565487E-3</v>
      </c>
      <c r="CI45" s="54">
        <v>0</v>
      </c>
      <c r="CJ45" s="42"/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2">
        <f>-1*CO13*(1-CO13)</f>
        <v>-9.085860660288941E-3</v>
      </c>
      <c r="CU45" s="13">
        <v>0</v>
      </c>
    </row>
    <row r="46" spans="5:99" x14ac:dyDescent="0.45"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2">
        <f>-1*I14*(1-I14)</f>
        <v>-0.25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2">
        <f>-1*U14*(1-U14)</f>
        <v>-0.15963168750713494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2">
        <f>-1*AG14*(1-AG14)</f>
        <v>-0.12980013615680383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2">
        <f>-1*AS14*(1-AS14)</f>
        <v>-0.12277276929622602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2">
        <f>-1*BE14*(1-BE14)</f>
        <v>-0.1203958405437015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2">
        <f>-1*BQ14*(1-BQ14)</f>
        <v>-0.11992335076199528</v>
      </c>
      <c r="BY46" s="38"/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54">
        <v>0</v>
      </c>
      <c r="CF46" s="54">
        <v>0</v>
      </c>
      <c r="CG46" s="54">
        <v>0</v>
      </c>
      <c r="CH46" s="54">
        <v>0</v>
      </c>
      <c r="CI46" s="53">
        <f>-1*CC14*(1-CC14)</f>
        <v>-0.11990803242649545</v>
      </c>
      <c r="CJ46" s="42"/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2">
        <f>-1*CO14*(1-CO14)</f>
        <v>-0.11990801719997443</v>
      </c>
    </row>
    <row r="47" spans="5:99" x14ac:dyDescent="0.45">
      <c r="H47" s="27" t="s">
        <v>16</v>
      </c>
      <c r="I47" s="27"/>
      <c r="T47" s="27" t="s">
        <v>16</v>
      </c>
      <c r="U47" s="27"/>
      <c r="AF47" s="27" t="s">
        <v>16</v>
      </c>
      <c r="AG47" s="27"/>
      <c r="AR47" s="27" t="s">
        <v>16</v>
      </c>
      <c r="AS47" s="27"/>
      <c r="BD47" s="27" t="s">
        <v>16</v>
      </c>
      <c r="BE47" s="27"/>
      <c r="BP47" s="27" t="s">
        <v>16</v>
      </c>
      <c r="BQ47" s="27"/>
      <c r="BY47" s="38"/>
      <c r="BZ47" s="39"/>
      <c r="CA47" s="39"/>
      <c r="CB47" s="56" t="s">
        <v>16</v>
      </c>
      <c r="CC47" s="56"/>
      <c r="CD47" s="39"/>
      <c r="CE47" s="39"/>
      <c r="CF47" s="39"/>
      <c r="CG47" s="39"/>
      <c r="CH47" s="39"/>
      <c r="CI47" s="39"/>
      <c r="CJ47" s="42"/>
      <c r="CN47" s="27" t="s">
        <v>16</v>
      </c>
      <c r="CO47" s="27"/>
    </row>
    <row r="48" spans="5:99" x14ac:dyDescent="0.45">
      <c r="H48" s="7" t="s">
        <v>26</v>
      </c>
      <c r="I48" s="35">
        <f t="array" ref="I48:K50">MMULT(MMULT(TRANSPOSE(E18:G27),F37:O46),E18:G27)</f>
        <v>-2.5</v>
      </c>
      <c r="J48" s="35">
        <v>-2.75</v>
      </c>
      <c r="K48" s="35">
        <v>-5</v>
      </c>
      <c r="T48" s="7" t="s">
        <v>26</v>
      </c>
      <c r="U48" s="35">
        <f t="array" ref="U48:W50">MMULT(MMULT(TRANSPOSE(Q18:S27),R37:AA46),Q18:S27)</f>
        <v>-1.9897992374172575</v>
      </c>
      <c r="V48" s="35">
        <v>-4.7278408914853483</v>
      </c>
      <c r="W48" s="35">
        <v>-3.9946379999360992</v>
      </c>
      <c r="AF48" s="7" t="s">
        <v>26</v>
      </c>
      <c r="AG48" s="35">
        <f t="array" ref="AG48:AI50">MMULT(MMULT(TRANSPOSE(AC18:AE27),AD37:AM46),AC18:AE27)</f>
        <v>-1.7479985625469503</v>
      </c>
      <c r="AH48" s="35">
        <v>-5.2175645930314642</v>
      </c>
      <c r="AI48" s="35">
        <v>-3.3243546024982948</v>
      </c>
      <c r="AR48" s="7" t="s">
        <v>26</v>
      </c>
      <c r="AS48" s="35">
        <f t="array" ref="AS48:AU50">MMULT(MMULT(TRANSPOSE(AO18:AQ27),AP37:AY46),AO18:AQ27)</f>
        <v>-1.640247505919642</v>
      </c>
      <c r="AT48" s="35">
        <v>-5.1781463781512596</v>
      </c>
      <c r="AU48" s="35">
        <v>-3.0341128412203666</v>
      </c>
      <c r="BD48" s="7" t="s">
        <v>26</v>
      </c>
      <c r="BE48" s="35">
        <f t="array" ref="BE48:BG50">MMULT(MMULT(TRANSPOSE(BA18:BC27),BB37:BK46),BA18:BC27)</f>
        <v>-1.59466248470827</v>
      </c>
      <c r="BF48" s="35">
        <v>-5.0951375547858628</v>
      </c>
      <c r="BG48" s="35">
        <v>-2.9509236656969229</v>
      </c>
      <c r="BP48" s="7" t="s">
        <v>26</v>
      </c>
      <c r="BQ48" s="35">
        <f t="array" ref="BQ48:BS50">MMULT(MMULT(TRANSPOSE(BM18:BO27),BN37:BW46),BM18:BO27)</f>
        <v>-1.5857746217075115</v>
      </c>
      <c r="BR48" s="35">
        <v>-5.0739600614456313</v>
      </c>
      <c r="BS48" s="35">
        <v>-2.9369990808105251</v>
      </c>
      <c r="BY48" s="38"/>
      <c r="BZ48" s="39"/>
      <c r="CA48" s="39"/>
      <c r="CB48" s="51" t="s">
        <v>26</v>
      </c>
      <c r="CC48" s="57">
        <f t="array" ref="CC48:CE50">MMULT(MMULT(TRANSPOSE(BY18:CA27),BZ37:CI46),BY18:CA27)</f>
        <v>-1.5854840365512992</v>
      </c>
      <c r="CD48" s="57">
        <v>-5.0732019415574658</v>
      </c>
      <c r="CE48" s="57">
        <v>-2.9365235555550515</v>
      </c>
      <c r="CF48" s="39"/>
      <c r="CG48" s="39"/>
      <c r="CH48" s="39"/>
      <c r="CI48" s="39"/>
      <c r="CJ48" s="42"/>
      <c r="CN48" s="7" t="s">
        <v>26</v>
      </c>
      <c r="CO48" s="35">
        <f t="array" ref="CO48:CQ50">MMULT(MMULT(TRANSPOSE(CK18:CM27),CL37:CU46),CK18:CM27)</f>
        <v>-1.5854837426359543</v>
      </c>
      <c r="CP48" s="35">
        <v>-5.0732011524859946</v>
      </c>
      <c r="CQ48" s="35">
        <v>-2.9365230581319293</v>
      </c>
    </row>
    <row r="49" spans="8:95" x14ac:dyDescent="0.45">
      <c r="I49" s="35">
        <v>-2.75</v>
      </c>
      <c r="J49" s="35">
        <v>-180.25</v>
      </c>
      <c r="K49" s="35">
        <v>-149.5</v>
      </c>
      <c r="U49" s="35">
        <v>-4.7278408914853483</v>
      </c>
      <c r="V49" s="35">
        <v>-135.4447858555481</v>
      </c>
      <c r="W49" s="35">
        <v>-120.92630753736928</v>
      </c>
      <c r="AG49" s="35">
        <v>-5.2175645930314642</v>
      </c>
      <c r="AH49" s="35">
        <v>-120.99514365696828</v>
      </c>
      <c r="AI49" s="35">
        <v>-112.28341609782709</v>
      </c>
      <c r="AS49" s="35">
        <v>-5.1781463781512596</v>
      </c>
      <c r="AT49" s="35">
        <v>-117.2082531194353</v>
      </c>
      <c r="AU49" s="35">
        <v>-111.07619179492465</v>
      </c>
      <c r="BE49" s="35">
        <v>-5.0951375547858628</v>
      </c>
      <c r="BF49" s="35">
        <v>-115.75755227093586</v>
      </c>
      <c r="BG49" s="35">
        <v>-110.71240448094625</v>
      </c>
      <c r="BQ49" s="35">
        <v>-5.0739600614456313</v>
      </c>
      <c r="BR49" s="35">
        <v>-115.4479891442826</v>
      </c>
      <c r="BS49" s="35">
        <v>-110.61072721867123</v>
      </c>
      <c r="BY49" s="38"/>
      <c r="BZ49" s="39"/>
      <c r="CA49" s="39"/>
      <c r="CB49" s="39"/>
      <c r="CC49" s="57">
        <v>-5.0732019415574658</v>
      </c>
      <c r="CD49" s="57">
        <v>-115.43738847007731</v>
      </c>
      <c r="CE49" s="57">
        <v>-110.60693541412209</v>
      </c>
      <c r="CF49" s="39"/>
      <c r="CG49" s="39"/>
      <c r="CH49" s="39"/>
      <c r="CI49" s="39"/>
      <c r="CJ49" s="42"/>
      <c r="CO49" s="35">
        <v>-5.0732011524859946</v>
      </c>
      <c r="CP49" s="35">
        <v>-115.43737766252721</v>
      </c>
      <c r="CQ49" s="35">
        <v>-110.60693152598289</v>
      </c>
    </row>
    <row r="50" spans="8:95" x14ac:dyDescent="0.45">
      <c r="I50" s="35">
        <v>-5</v>
      </c>
      <c r="J50" s="35">
        <v>-149.5</v>
      </c>
      <c r="K50" s="35">
        <v>-199.5</v>
      </c>
      <c r="U50" s="35">
        <v>-3.9946379999360992</v>
      </c>
      <c r="V50" s="35">
        <v>-120.92630753736928</v>
      </c>
      <c r="W50" s="35">
        <v>-142.23580297279247</v>
      </c>
      <c r="AG50" s="35">
        <v>-3.3243546024982948</v>
      </c>
      <c r="AH50" s="35">
        <v>-112.28341609782709</v>
      </c>
      <c r="AI50" s="35">
        <v>-120.59286416564316</v>
      </c>
      <c r="AS50" s="35">
        <v>-3.0341128412203666</v>
      </c>
      <c r="AT50" s="35">
        <v>-111.07619179492465</v>
      </c>
      <c r="AU50" s="35">
        <v>-115.36355120127253</v>
      </c>
      <c r="BE50" s="35">
        <v>-2.9509236656969229</v>
      </c>
      <c r="BF50" s="35">
        <v>-110.71240448094625</v>
      </c>
      <c r="BG50" s="35">
        <v>-114.1009852424714</v>
      </c>
      <c r="BQ50" s="35">
        <v>-2.9369990808105251</v>
      </c>
      <c r="BR50" s="35">
        <v>-110.61072721867123</v>
      </c>
      <c r="BS50" s="35">
        <v>-113.88326524257472</v>
      </c>
      <c r="BY50" s="38"/>
      <c r="BZ50" s="39"/>
      <c r="CA50" s="39"/>
      <c r="CB50" s="39"/>
      <c r="CC50" s="57">
        <v>-2.9365235555550515</v>
      </c>
      <c r="CD50" s="57">
        <v>-110.60693541412209</v>
      </c>
      <c r="CE50" s="57">
        <v>-113.87606224901883</v>
      </c>
      <c r="CF50" s="39"/>
      <c r="CG50" s="39"/>
      <c r="CH50" s="39"/>
      <c r="CI50" s="39"/>
      <c r="CJ50" s="42"/>
      <c r="CO50" s="35">
        <v>-2.9365230581319293</v>
      </c>
      <c r="CP50" s="35">
        <v>-110.6069315259829</v>
      </c>
      <c r="CQ50" s="35">
        <v>-113.87605496430179</v>
      </c>
    </row>
    <row r="51" spans="8:95" x14ac:dyDescent="0.45">
      <c r="H51" s="27" t="s">
        <v>18</v>
      </c>
      <c r="I51" s="27"/>
      <c r="T51" s="27" t="s">
        <v>18</v>
      </c>
      <c r="U51" s="27"/>
      <c r="AF51" s="27" t="s">
        <v>18</v>
      </c>
      <c r="AG51" s="27"/>
      <c r="AR51" s="27" t="s">
        <v>18</v>
      </c>
      <c r="AS51" s="27"/>
      <c r="BD51" s="27" t="s">
        <v>18</v>
      </c>
      <c r="BE51" s="27"/>
      <c r="BP51" s="27" t="s">
        <v>18</v>
      </c>
      <c r="BQ51" s="27"/>
      <c r="BY51" s="38"/>
      <c r="BZ51" s="39"/>
      <c r="CA51" s="39"/>
      <c r="CB51" s="56" t="s">
        <v>18</v>
      </c>
      <c r="CC51" s="56"/>
      <c r="CD51" s="39"/>
      <c r="CE51" s="39"/>
      <c r="CF51" s="39"/>
      <c r="CG51" s="39"/>
      <c r="CH51" s="39"/>
      <c r="CI51" s="39"/>
      <c r="CJ51" s="42"/>
      <c r="CN51" s="27" t="s">
        <v>18</v>
      </c>
      <c r="CO51" s="27"/>
    </row>
    <row r="52" spans="8:95" x14ac:dyDescent="0.45">
      <c r="H52" s="36" t="s">
        <v>3</v>
      </c>
      <c r="I52" s="37">
        <f t="array" ref="I52:I54">I2:I4-MMULT(MINVERSE(I48:K50),I33:I35)</f>
        <v>-0.36732366850837406</v>
      </c>
      <c r="T52" s="36" t="s">
        <v>3</v>
      </c>
      <c r="U52" s="37">
        <f t="array" ref="U52:U54">U2:U4-MMULT(MINVERSE(U48:W50),U33:U35)</f>
        <v>-0.59741909036610374</v>
      </c>
      <c r="AF52" s="36" t="s">
        <v>3</v>
      </c>
      <c r="AG52" s="37">
        <f t="array" ref="AG52:AG54">AG2:AG4-MMULT(MINVERSE(AG48:AI50),AG33:AG35)</f>
        <v>-0.76895320137232936</v>
      </c>
      <c r="AR52" s="36" t="s">
        <v>3</v>
      </c>
      <c r="AS52" s="37">
        <f t="array" ref="AS52:AS54">AS2:AS4-MMULT(MINVERSE(AS48:AU50),AS33:AS35)</f>
        <v>-0.86190428521683726</v>
      </c>
      <c r="BD52" s="36" t="s">
        <v>3</v>
      </c>
      <c r="BE52" s="37">
        <f t="array" ref="BE52:BE54">BE2:BE4-MMULT(MINVERSE(BE48:BG50),BE33:BE35)</f>
        <v>-0.8805410379368297</v>
      </c>
      <c r="BP52" s="36" t="s">
        <v>3</v>
      </c>
      <c r="BQ52" s="37">
        <f t="array" ref="BQ52:BQ54">BQ2:BQ4-MMULT(MINVERSE(BQ48:BS50),BQ33:BQ35)</f>
        <v>-0.88113254769072347</v>
      </c>
      <c r="BY52" s="38"/>
      <c r="BZ52" s="39"/>
      <c r="CA52" s="39"/>
      <c r="CB52" s="58" t="s">
        <v>3</v>
      </c>
      <c r="CC52" s="74">
        <f t="array" ref="CC52:CC54">CC2:CC4-MMULT(MINVERSE(CC48:CE50),CC33:CC35)</f>
        <v>-0.88113313789542902</v>
      </c>
      <c r="CD52" s="39"/>
      <c r="CE52" s="39"/>
      <c r="CF52" s="39"/>
      <c r="CG52" s="39"/>
      <c r="CH52" s="39"/>
      <c r="CI52" s="39"/>
      <c r="CJ52" s="42"/>
      <c r="CN52" s="36" t="s">
        <v>3</v>
      </c>
      <c r="CO52" s="37">
        <f t="array" ref="CO52:CO54">CO2:CO4-MMULT(MINVERSE(CO48:CQ50),CO33:CO35)</f>
        <v>-0.88113313789602787</v>
      </c>
    </row>
    <row r="53" spans="8:95" x14ac:dyDescent="0.45">
      <c r="H53" s="36" t="s">
        <v>33</v>
      </c>
      <c r="I53" s="37">
        <v>0.2035470121642145</v>
      </c>
      <c r="T53" s="36" t="s">
        <v>33</v>
      </c>
      <c r="U53" s="37">
        <v>0.31619491496162316</v>
      </c>
      <c r="AF53" s="36" t="s">
        <v>33</v>
      </c>
      <c r="AG53" s="37">
        <v>0.41160375950172146</v>
      </c>
      <c r="AR53" s="36" t="s">
        <v>33</v>
      </c>
      <c r="AS53" s="37">
        <v>0.46777755814599759</v>
      </c>
      <c r="BD53" s="36" t="s">
        <v>33</v>
      </c>
      <c r="BE53" s="37">
        <v>0.47976088908874148</v>
      </c>
      <c r="BP53" s="36" t="s">
        <v>33</v>
      </c>
      <c r="BQ53" s="37">
        <v>0.48015530671933287</v>
      </c>
      <c r="BY53" s="38"/>
      <c r="BZ53" s="39"/>
      <c r="CA53" s="39"/>
      <c r="CB53" s="58" t="s">
        <v>33</v>
      </c>
      <c r="CC53" s="74">
        <v>0.48015570503179444</v>
      </c>
      <c r="CD53" s="39"/>
      <c r="CE53" s="39"/>
      <c r="CF53" s="39"/>
      <c r="CG53" s="39"/>
      <c r="CH53" s="39"/>
      <c r="CI53" s="39"/>
      <c r="CJ53" s="42"/>
      <c r="CN53" s="36" t="s">
        <v>33</v>
      </c>
      <c r="CO53" s="37">
        <v>0.48015570503219945</v>
      </c>
    </row>
    <row r="54" spans="8:95" x14ac:dyDescent="0.45">
      <c r="H54" s="36" t="s">
        <v>34</v>
      </c>
      <c r="I54" s="37">
        <v>-0.12828902243613127</v>
      </c>
      <c r="T54" s="36" t="s">
        <v>34</v>
      </c>
      <c r="U54" s="37">
        <v>-0.22441023112222938</v>
      </c>
      <c r="AF54" s="36" t="s">
        <v>34</v>
      </c>
      <c r="AG54" s="37">
        <v>-0.31463984745160806</v>
      </c>
      <c r="AR54" s="36" t="s">
        <v>34</v>
      </c>
      <c r="AS54" s="37">
        <v>-0.36835709603690092</v>
      </c>
      <c r="BD54" s="36" t="s">
        <v>34</v>
      </c>
      <c r="BE54" s="37">
        <v>-0.37977273091619568</v>
      </c>
      <c r="BP54" s="36" t="s">
        <v>34</v>
      </c>
      <c r="BQ54" s="37">
        <v>-0.3801474424873863</v>
      </c>
      <c r="BY54" s="38"/>
      <c r="BZ54" s="39"/>
      <c r="CA54" s="39"/>
      <c r="CB54" s="58" t="s">
        <v>34</v>
      </c>
      <c r="CC54" s="74">
        <v>-0.38014782067066494</v>
      </c>
      <c r="CD54" s="39"/>
      <c r="CE54" s="39"/>
      <c r="CF54" s="39"/>
      <c r="CG54" s="39"/>
      <c r="CH54" s="39"/>
      <c r="CI54" s="39"/>
      <c r="CJ54" s="42"/>
      <c r="CN54" s="36" t="s">
        <v>34</v>
      </c>
      <c r="CO54" s="37">
        <v>-0.38014782067104935</v>
      </c>
    </row>
    <row r="55" spans="8:95" ht="14.65" thickBot="1" x14ac:dyDescent="0.5">
      <c r="U55" s="17">
        <f>-1*(U31-I31)/I31</f>
        <v>0.27202316052645975</v>
      </c>
      <c r="AG55" s="17">
        <f>-1*(AG31-U31)/U31</f>
        <v>5.5523551096639562E-2</v>
      </c>
      <c r="AS55" s="17">
        <f>-1*(AS31-AG31)/AG31</f>
        <v>1.6922765636102847E-2</v>
      </c>
      <c r="BE55" s="17">
        <f>-1*(BE31-AS31)/AS31</f>
        <v>2.6889500941177677E-3</v>
      </c>
      <c r="BQ55" s="17">
        <f>-1*(BQ31-BE31)/BE31</f>
        <v>8.0329242685083736E-5</v>
      </c>
      <c r="BY55" s="59"/>
      <c r="BZ55" s="60"/>
      <c r="CA55" s="60"/>
      <c r="CB55" s="60"/>
      <c r="CC55" s="61">
        <f>-1*(CC31-BQ31)/BQ31</f>
        <v>7.9696545733295871E-8</v>
      </c>
      <c r="CD55" s="60"/>
      <c r="CE55" s="60"/>
      <c r="CF55" s="60"/>
      <c r="CG55" s="60"/>
      <c r="CH55" s="60"/>
      <c r="CI55" s="60"/>
      <c r="CJ55" s="62"/>
      <c r="CO55" s="17">
        <f>-1*(CO31-CC31)/CC31</f>
        <v>8.0602510616951536E-14</v>
      </c>
    </row>
    <row r="57" spans="8:95" ht="14.65" thickBot="1" x14ac:dyDescent="0.5"/>
    <row r="58" spans="8:95" ht="15.75" x14ac:dyDescent="0.45">
      <c r="BY58" s="66" t="s">
        <v>41</v>
      </c>
      <c r="BZ58" s="67"/>
      <c r="CA58" s="67"/>
      <c r="CB58" s="67"/>
      <c r="CC58" s="67"/>
      <c r="CD58" s="67"/>
      <c r="CE58" s="67"/>
      <c r="CF58" s="67"/>
      <c r="CG58" s="67"/>
      <c r="CH58" s="68"/>
    </row>
    <row r="59" spans="8:95" ht="15.75" x14ac:dyDescent="0.45">
      <c r="BY59" s="69" t="s">
        <v>42</v>
      </c>
      <c r="BZ59" s="70"/>
      <c r="CA59" s="70"/>
      <c r="CB59" s="70"/>
      <c r="CC59" s="70"/>
      <c r="CD59" s="70"/>
      <c r="CE59" s="70"/>
      <c r="CF59" s="70"/>
      <c r="CG59" s="70"/>
      <c r="CH59" s="71"/>
    </row>
    <row r="60" spans="8:95" ht="15.75" x14ac:dyDescent="0.45">
      <c r="BY60" s="69" t="s">
        <v>43</v>
      </c>
      <c r="BZ60" s="70"/>
      <c r="CA60" s="70"/>
      <c r="CB60" s="70"/>
      <c r="CC60" s="70"/>
      <c r="CD60" s="70"/>
      <c r="CE60" s="70"/>
      <c r="CF60" s="70"/>
      <c r="CG60" s="70"/>
      <c r="CH60" s="71"/>
    </row>
    <row r="61" spans="8:95" ht="15.75" x14ac:dyDescent="0.45">
      <c r="BY61" s="69" t="s">
        <v>44</v>
      </c>
      <c r="BZ61" s="70"/>
      <c r="CA61" s="70"/>
      <c r="CB61" s="70"/>
      <c r="CC61" s="70"/>
      <c r="CD61" s="70"/>
      <c r="CE61" s="70"/>
      <c r="CF61" s="70"/>
      <c r="CG61" s="70"/>
      <c r="CH61" s="71"/>
    </row>
    <row r="62" spans="8:95" ht="15.75" x14ac:dyDescent="0.45">
      <c r="BY62" s="69" t="s">
        <v>45</v>
      </c>
      <c r="BZ62" s="70"/>
      <c r="CA62" s="70"/>
      <c r="CB62" s="70"/>
      <c r="CC62" s="70"/>
      <c r="CD62" s="70"/>
      <c r="CE62" s="70"/>
      <c r="CF62" s="70"/>
      <c r="CG62" s="70"/>
      <c r="CH62" s="71"/>
    </row>
    <row r="63" spans="8:95" ht="15.75" x14ac:dyDescent="0.45">
      <c r="BY63" s="69" t="s">
        <v>46</v>
      </c>
      <c r="BZ63" s="70"/>
      <c r="CA63" s="70"/>
      <c r="CB63" s="70"/>
      <c r="CC63" s="70"/>
      <c r="CD63" s="70"/>
      <c r="CE63" s="70"/>
      <c r="CF63" s="70"/>
      <c r="CG63" s="70"/>
      <c r="CH63" s="71"/>
    </row>
    <row r="64" spans="8:95" ht="15.75" x14ac:dyDescent="0.45">
      <c r="BY64" s="69" t="s">
        <v>47</v>
      </c>
      <c r="BZ64" s="70"/>
      <c r="CA64" s="70"/>
      <c r="CB64" s="70"/>
      <c r="CC64" s="70"/>
      <c r="CD64" s="70"/>
      <c r="CE64" s="70"/>
      <c r="CF64" s="70"/>
      <c r="CG64" s="70"/>
      <c r="CH64" s="71"/>
    </row>
    <row r="65" spans="74:89" ht="15.75" x14ac:dyDescent="0.45">
      <c r="BY65" s="69" t="s">
        <v>48</v>
      </c>
      <c r="BZ65" s="70"/>
      <c r="CA65" s="70"/>
      <c r="CB65" s="70"/>
      <c r="CC65" s="70"/>
      <c r="CD65" s="70"/>
      <c r="CE65" s="70"/>
      <c r="CF65" s="70"/>
      <c r="CG65" s="70"/>
      <c r="CH65" s="71"/>
    </row>
    <row r="66" spans="74:89" ht="16.149999999999999" x14ac:dyDescent="0.45">
      <c r="BY66" s="78"/>
      <c r="BZ66" s="51"/>
      <c r="CA66" s="79" t="s">
        <v>53</v>
      </c>
      <c r="CB66" s="95" t="s">
        <v>58</v>
      </c>
      <c r="CC66" s="79" t="s">
        <v>54</v>
      </c>
      <c r="CD66" s="79" t="s">
        <v>59</v>
      </c>
      <c r="CE66" s="51"/>
      <c r="CF66" s="70"/>
      <c r="CG66" s="70"/>
      <c r="CH66" s="71"/>
    </row>
    <row r="67" spans="74:89" ht="15.75" x14ac:dyDescent="0.45">
      <c r="BV67">
        <f>LN(1)</f>
        <v>0</v>
      </c>
      <c r="BW67">
        <v>0</v>
      </c>
      <c r="BY67" s="75" t="s">
        <v>55</v>
      </c>
      <c r="BZ67" s="76"/>
      <c r="CA67" s="79">
        <v>-0.88109999999999999</v>
      </c>
      <c r="CB67" s="79">
        <v>1.0578000000000001</v>
      </c>
      <c r="CC67" s="79">
        <v>-0.83299999999999996</v>
      </c>
      <c r="CD67" s="79">
        <v>0.40500000000000003</v>
      </c>
      <c r="CE67" s="76"/>
      <c r="CF67" s="76"/>
      <c r="CG67" s="76"/>
      <c r="CH67" s="77"/>
      <c r="CI67">
        <f>1/1</f>
        <v>1</v>
      </c>
      <c r="CK67" t="s">
        <v>94</v>
      </c>
    </row>
    <row r="68" spans="74:89" ht="15.75" x14ac:dyDescent="0.45">
      <c r="BX68" t="s">
        <v>33</v>
      </c>
      <c r="BY68" s="75" t="s">
        <v>57</v>
      </c>
      <c r="BZ68" s="76"/>
      <c r="CA68" s="79">
        <v>0.48020000000000002</v>
      </c>
      <c r="CB68" s="79">
        <v>0.45929999999999999</v>
      </c>
      <c r="CC68" s="79">
        <v>1.0449999999999999</v>
      </c>
      <c r="CD68" s="79">
        <v>0.29599999999999999</v>
      </c>
      <c r="CE68" s="76"/>
      <c r="CF68" s="76"/>
      <c r="CG68" s="76"/>
      <c r="CH68" s="77"/>
      <c r="CI68" s="97">
        <f>EXP(CA68)</f>
        <v>1.6163976493969749</v>
      </c>
      <c r="CJ68">
        <f>(1.61/1)/(1/1)</f>
        <v>1.61</v>
      </c>
      <c r="CK68" t="s">
        <v>92</v>
      </c>
    </row>
    <row r="69" spans="74:89" ht="15.75" x14ac:dyDescent="0.45">
      <c r="BX69" t="s">
        <v>34</v>
      </c>
      <c r="BY69" s="75" t="s">
        <v>56</v>
      </c>
      <c r="BZ69" s="76"/>
      <c r="CA69" s="79">
        <v>-0.38009999999999999</v>
      </c>
      <c r="CB69" s="79">
        <v>0.43930000000000002</v>
      </c>
      <c r="CC69" s="79">
        <v>-0.86499999999999999</v>
      </c>
      <c r="CD69" s="79">
        <v>0.38700000000000001</v>
      </c>
      <c r="CE69" s="76"/>
      <c r="CF69" s="76"/>
      <c r="CG69" s="76"/>
      <c r="CH69" s="77"/>
      <c r="CI69" s="97">
        <f>EXP(CA69)</f>
        <v>0.68379302649062768</v>
      </c>
      <c r="CJ69">
        <f>(0.68/1)/(1/1)</f>
        <v>0.68</v>
      </c>
      <c r="CK69" t="s">
        <v>93</v>
      </c>
    </row>
    <row r="70" spans="74:89" ht="15.75" x14ac:dyDescent="0.45">
      <c r="BY70" s="69" t="s">
        <v>49</v>
      </c>
      <c r="BZ70" s="70"/>
      <c r="CA70" s="70"/>
      <c r="CB70" s="70"/>
      <c r="CC70" s="70"/>
      <c r="CD70" s="70"/>
      <c r="CE70" s="70"/>
      <c r="CF70" s="70"/>
      <c r="CG70" s="70"/>
      <c r="CH70" s="71"/>
    </row>
    <row r="71" spans="74:89" ht="16.149999999999999" x14ac:dyDescent="0.45">
      <c r="BY71" s="69" t="s">
        <v>60</v>
      </c>
      <c r="BZ71" s="70"/>
      <c r="CA71" s="70"/>
      <c r="CB71" s="70"/>
      <c r="CC71" s="70"/>
      <c r="CD71" s="70"/>
      <c r="CE71" s="70"/>
      <c r="CF71" s="70"/>
      <c r="CG71" s="70"/>
      <c r="CH71" s="71"/>
    </row>
    <row r="72" spans="74:89" ht="16.149999999999999" x14ac:dyDescent="0.45">
      <c r="BY72" s="80" t="s">
        <v>50</v>
      </c>
      <c r="BZ72" s="70"/>
      <c r="CA72" s="70"/>
      <c r="CB72" s="70"/>
      <c r="CC72" s="70"/>
      <c r="CD72" s="70"/>
      <c r="CE72" s="70"/>
      <c r="CF72" s="70"/>
      <c r="CG72" s="70"/>
      <c r="CH72" s="71"/>
    </row>
    <row r="73" spans="74:89" ht="15.75" x14ac:dyDescent="0.45">
      <c r="BY73" s="69" t="s">
        <v>51</v>
      </c>
      <c r="BZ73" s="70"/>
      <c r="CA73" s="70"/>
      <c r="CB73" s="70"/>
      <c r="CC73" s="70"/>
      <c r="CD73" s="70"/>
      <c r="CE73" s="70"/>
      <c r="CF73" s="70"/>
      <c r="CG73" s="70"/>
      <c r="CH73" s="71"/>
    </row>
    <row r="74" spans="74:89" ht="16.5" thickBot="1" x14ac:dyDescent="0.5">
      <c r="BY74" s="81" t="s">
        <v>52</v>
      </c>
      <c r="BZ74" s="72"/>
      <c r="CA74" s="72"/>
      <c r="CB74" s="72"/>
      <c r="CC74" s="72"/>
      <c r="CD74" s="72"/>
      <c r="CE74" s="72"/>
      <c r="CF74" s="72"/>
      <c r="CG74" s="72"/>
      <c r="CH74" s="73"/>
    </row>
    <row r="75" spans="74:89" x14ac:dyDescent="0.45">
      <c r="CA75">
        <f>CA67-CA68</f>
        <v>-1.3613</v>
      </c>
    </row>
    <row r="77" spans="74:89" x14ac:dyDescent="0.45">
      <c r="CB77" s="87" t="s">
        <v>62</v>
      </c>
      <c r="CC77" s="87"/>
      <c r="CD77" s="87"/>
    </row>
    <row r="78" spans="74:89" x14ac:dyDescent="0.45">
      <c r="CA78" s="58" t="s">
        <v>3</v>
      </c>
      <c r="CB78" s="98">
        <f t="array" ref="CB78:CD80">-1*MINVERSE(CC48:CE50)</f>
        <v>1.1190594941680181</v>
      </c>
      <c r="CC78" s="99">
        <v>-0.31045362621351197</v>
      </c>
      <c r="CD78" s="99">
        <v>0.27268399526392645</v>
      </c>
    </row>
    <row r="79" spans="74:89" x14ac:dyDescent="0.45">
      <c r="CA79" s="58" t="s">
        <v>33</v>
      </c>
      <c r="CB79" s="99">
        <v>-0.31045362621351241</v>
      </c>
      <c r="CC79" s="98">
        <v>0.21103771771257948</v>
      </c>
      <c r="CD79" s="99">
        <v>-0.19697362539324029</v>
      </c>
    </row>
    <row r="80" spans="74:89" x14ac:dyDescent="0.45">
      <c r="CA80" s="58" t="s">
        <v>34</v>
      </c>
      <c r="CB80" s="99">
        <v>0.27268399526392662</v>
      </c>
      <c r="CC80" s="99">
        <v>-0.19697362539324029</v>
      </c>
      <c r="CD80" s="98">
        <v>0.19306872447663739</v>
      </c>
    </row>
    <row r="81" spans="79:84" x14ac:dyDescent="0.45">
      <c r="CB81" s="87" t="s">
        <v>61</v>
      </c>
      <c r="CC81" s="87"/>
      <c r="CD81" s="87"/>
    </row>
    <row r="82" spans="79:84" x14ac:dyDescent="0.45">
      <c r="CA82" s="58" t="s">
        <v>3</v>
      </c>
      <c r="CB82" s="96">
        <f>SQRT(CB78)</f>
        <v>1.0578560838639717</v>
      </c>
    </row>
    <row r="83" spans="79:84" x14ac:dyDescent="0.45">
      <c r="CA83" s="58" t="s">
        <v>33</v>
      </c>
      <c r="CB83" s="83"/>
      <c r="CC83" s="96">
        <f>SQRT(CC79)</f>
        <v>0.45938841704224487</v>
      </c>
    </row>
    <row r="84" spans="79:84" x14ac:dyDescent="0.45">
      <c r="CA84" s="58" t="s">
        <v>34</v>
      </c>
      <c r="CD84" s="96">
        <f>SQRT(CD80)</f>
        <v>0.43939586306272549</v>
      </c>
    </row>
    <row r="85" spans="79:84" x14ac:dyDescent="0.45">
      <c r="CB85" s="87" t="s">
        <v>63</v>
      </c>
      <c r="CC85" s="87"/>
      <c r="CD85" s="87"/>
      <c r="CE85" t="s">
        <v>64</v>
      </c>
      <c r="CF85" t="s">
        <v>65</v>
      </c>
    </row>
    <row r="86" spans="79:84" x14ac:dyDescent="0.45">
      <c r="CA86" s="58" t="s">
        <v>3</v>
      </c>
      <c r="CB86" s="84">
        <f>CA67/CB82</f>
        <v>-0.83291102961912866</v>
      </c>
      <c r="CE86" s="83">
        <f>1-_xlfn.NORM.S.DIST(ABS(CB86),TRUE)</f>
        <v>0.20244745434307698</v>
      </c>
      <c r="CF86" s="4">
        <f>CE86*2</f>
        <v>0.40489490868615396</v>
      </c>
    </row>
    <row r="87" spans="79:84" x14ac:dyDescent="0.45">
      <c r="CA87" s="58" t="s">
        <v>33</v>
      </c>
      <c r="CB87" s="83"/>
      <c r="CC87" s="84">
        <f>CA68/CC83</f>
        <v>1.0453028030000184</v>
      </c>
      <c r="CE87" s="83">
        <f>1-_xlfn.NORM.S.DIST(ABS(CC87),TRUE)</f>
        <v>0.14794152129685589</v>
      </c>
      <c r="CF87" s="4">
        <f t="shared" ref="CF87:CF88" si="41">CE87*2</f>
        <v>0.29588304259371179</v>
      </c>
    </row>
    <row r="88" spans="79:84" x14ac:dyDescent="0.45">
      <c r="CA88" s="58" t="s">
        <v>34</v>
      </c>
      <c r="CD88" s="84">
        <f>CA69/CD84</f>
        <v>-0.86505138521465597</v>
      </c>
      <c r="CE88" s="83">
        <f>1-_xlfn.NORM.S.DIST(ABS(CD88),TRUE)</f>
        <v>0.19350529294923646</v>
      </c>
      <c r="CF88" s="4">
        <f t="shared" si="41"/>
        <v>0.38701058589847293</v>
      </c>
    </row>
    <row r="90" spans="79:84" x14ac:dyDescent="0.45">
      <c r="CB90" s="87" t="s">
        <v>66</v>
      </c>
      <c r="CC90" s="87"/>
      <c r="CD90" s="87"/>
    </row>
    <row r="91" spans="79:84" x14ac:dyDescent="0.45">
      <c r="CB91" s="79">
        <v>1</v>
      </c>
      <c r="CC91" t="s">
        <v>3</v>
      </c>
    </row>
    <row r="92" spans="79:84" x14ac:dyDescent="0.45">
      <c r="CA92" s="58" t="s">
        <v>67</v>
      </c>
      <c r="CB92" s="79">
        <v>-1</v>
      </c>
      <c r="CC92" s="97" t="s">
        <v>33</v>
      </c>
    </row>
    <row r="93" spans="79:84" x14ac:dyDescent="0.45">
      <c r="CA93" t="s">
        <v>74</v>
      </c>
      <c r="CB93" s="79">
        <v>0</v>
      </c>
      <c r="CC93" s="97" t="s">
        <v>34</v>
      </c>
    </row>
    <row r="95" spans="79:84" x14ac:dyDescent="0.45">
      <c r="CB95" s="79">
        <v>-0.88113313789542902</v>
      </c>
      <c r="CC95" t="s">
        <v>97</v>
      </c>
    </row>
    <row r="96" spans="79:84" x14ac:dyDescent="0.45">
      <c r="CA96" s="58" t="s">
        <v>70</v>
      </c>
      <c r="CB96" s="79">
        <v>0.48015570503179444</v>
      </c>
      <c r="CC96" t="s">
        <v>33</v>
      </c>
      <c r="CD96">
        <f>CB95-CB96</f>
        <v>-1.3612888429272234</v>
      </c>
    </row>
    <row r="97" spans="79:84" x14ac:dyDescent="0.45">
      <c r="CB97" s="79">
        <v>-0.38014782067066494</v>
      </c>
      <c r="CC97" t="s">
        <v>34</v>
      </c>
      <c r="CD97">
        <f>CB96-CB97</f>
        <v>0.86030352570245938</v>
      </c>
    </row>
    <row r="99" spans="79:84" x14ac:dyDescent="0.45">
      <c r="CA99" s="58" t="s">
        <v>68</v>
      </c>
      <c r="CB99" s="83">
        <f t="array" ref="CB99">MMULT(MMULT(TRANSPOSE(CB91:CB93),-1*MINVERSE(CC48:CE50)),CB91:CB93)</f>
        <v>1.9510044643076219</v>
      </c>
    </row>
    <row r="101" spans="79:84" x14ac:dyDescent="0.45">
      <c r="CA101" s="58" t="s">
        <v>69</v>
      </c>
      <c r="CB101">
        <f t="array" ref="CB101">MMULT(TRANSPOSE(CB91:CB93),CB95:CB97)</f>
        <v>-1.3612888429272234</v>
      </c>
      <c r="CD101" t="s">
        <v>95</v>
      </c>
      <c r="CE101">
        <f>CB101/SQRT(CB99)</f>
        <v>-0.97458821058172551</v>
      </c>
      <c r="CF101">
        <f>CE101^2</f>
        <v>0.94982218020488973</v>
      </c>
    </row>
    <row r="103" spans="79:84" x14ac:dyDescent="0.45">
      <c r="CA103" t="s">
        <v>71</v>
      </c>
      <c r="CB103" s="4">
        <f>CB101*CB99^(-1)*CB101</f>
        <v>0.94982218020488984</v>
      </c>
      <c r="CC103" s="27" t="s">
        <v>72</v>
      </c>
      <c r="CD103" s="82">
        <f>_xlfn.CHISQ.DIST.RT(CB103,1)</f>
        <v>0.32976456393824055</v>
      </c>
      <c r="CE103" t="s">
        <v>96</v>
      </c>
    </row>
    <row r="104" spans="79:84" x14ac:dyDescent="0.45">
      <c r="CA104" t="s">
        <v>73</v>
      </c>
    </row>
    <row r="105" spans="79:84" x14ac:dyDescent="0.45">
      <c r="CA105" s="87" t="s">
        <v>78</v>
      </c>
      <c r="CB105" s="87"/>
      <c r="CC105" s="87"/>
      <c r="CD105" s="87"/>
      <c r="CE105" s="87"/>
    </row>
    <row r="106" spans="79:84" x14ac:dyDescent="0.45">
      <c r="CB106" s="79">
        <v>1</v>
      </c>
    </row>
    <row r="107" spans="79:84" x14ac:dyDescent="0.45">
      <c r="CA107" s="58" t="s">
        <v>67</v>
      </c>
      <c r="CB107" s="79">
        <v>10</v>
      </c>
    </row>
    <row r="108" spans="79:84" x14ac:dyDescent="0.45">
      <c r="CB108" s="79">
        <v>5</v>
      </c>
    </row>
    <row r="110" spans="79:84" x14ac:dyDescent="0.45">
      <c r="CB110" s="79">
        <v>-0.88113313789542902</v>
      </c>
    </row>
    <row r="111" spans="79:84" x14ac:dyDescent="0.45">
      <c r="CA111" s="58" t="s">
        <v>70</v>
      </c>
      <c r="CB111" s="79">
        <v>0.48015570503179444</v>
      </c>
    </row>
    <row r="112" spans="79:84" x14ac:dyDescent="0.45">
      <c r="CB112" s="79">
        <v>-0.38014782067066494</v>
      </c>
    </row>
    <row r="114" spans="73:86" x14ac:dyDescent="0.45">
      <c r="CA114" s="58" t="s">
        <v>68</v>
      </c>
      <c r="CB114" s="83">
        <f t="array" ref="CB114">MMULT(MMULT(TRANSPOSE(CB106:CB108),-1*MINVERSE(CC48:CE50)),CB106:CB108)</f>
        <v>3.8699542663868907</v>
      </c>
    </row>
    <row r="115" spans="73:86" x14ac:dyDescent="0.45">
      <c r="BU115" t="s">
        <v>104</v>
      </c>
      <c r="BV115" t="s">
        <v>105</v>
      </c>
      <c r="BW115" t="s">
        <v>100</v>
      </c>
      <c r="BX115" s="104" t="s">
        <v>5</v>
      </c>
      <c r="BY115" t="s">
        <v>101</v>
      </c>
      <c r="CB115" t="s">
        <v>24</v>
      </c>
      <c r="CC115" t="s">
        <v>98</v>
      </c>
    </row>
    <row r="116" spans="73:86" x14ac:dyDescent="0.45">
      <c r="BX116" s="29" t="s">
        <v>99</v>
      </c>
      <c r="CA116" s="58" t="s">
        <v>69</v>
      </c>
      <c r="CB116" s="83">
        <f t="array" ref="CB116">MMULT(TRANSPOSE(CB106:CB108),CB110:CB112)</f>
        <v>2.0196848090691906</v>
      </c>
      <c r="CC116" s="102">
        <f>EXP(CB116)/(1+EXP(CB116))</f>
        <v>0.88284841377636125</v>
      </c>
    </row>
    <row r="117" spans="73:86" x14ac:dyDescent="0.45">
      <c r="CA117" s="85" t="s">
        <v>77</v>
      </c>
      <c r="CB117" s="86" t="s">
        <v>24</v>
      </c>
      <c r="CC117" s="86" t="s">
        <v>5</v>
      </c>
    </row>
    <row r="118" spans="73:86" x14ac:dyDescent="0.45">
      <c r="BV118" t="s">
        <v>102</v>
      </c>
      <c r="BW118" s="103" t="s">
        <v>103</v>
      </c>
      <c r="CA118" s="85" t="s">
        <v>75</v>
      </c>
      <c r="CB118" s="84">
        <f>CB116-_xlfn.NORM.S.INV(0.975)*SQRT(CB114)</f>
        <v>-1.8359954100743496</v>
      </c>
      <c r="CC118" s="101">
        <f>EXP(CB118)/(1+EXP(CB118))</f>
        <v>0.13752559711014473</v>
      </c>
      <c r="CD118" s="83"/>
    </row>
    <row r="119" spans="73:86" x14ac:dyDescent="0.45">
      <c r="BW119" t="s">
        <v>106</v>
      </c>
      <c r="CA119" s="85" t="s">
        <v>76</v>
      </c>
      <c r="CB119" s="84">
        <f>CB116+_xlfn.NORM.S.INV(0.975)*SQRT(CB114)</f>
        <v>5.8753650282127303</v>
      </c>
      <c r="CC119" s="101">
        <f>EXP(CB119)/(1+EXP(CB119))</f>
        <v>0.9972000924015092</v>
      </c>
    </row>
    <row r="121" spans="73:86" x14ac:dyDescent="0.45">
      <c r="CB121" s="87" t="s">
        <v>79</v>
      </c>
      <c r="CC121" s="87"/>
      <c r="CD121" s="87"/>
    </row>
    <row r="122" spans="73:86" x14ac:dyDescent="0.45">
      <c r="CD122" t="s">
        <v>85</v>
      </c>
      <c r="CE122" t="s">
        <v>87</v>
      </c>
      <c r="CF122" t="s">
        <v>86</v>
      </c>
      <c r="CG122" t="s">
        <v>88</v>
      </c>
      <c r="CH122" t="s">
        <v>5</v>
      </c>
    </row>
    <row r="123" spans="73:86" x14ac:dyDescent="0.45">
      <c r="CA123" s="85" t="s">
        <v>80</v>
      </c>
      <c r="CB123" s="50" t="s">
        <v>83</v>
      </c>
      <c r="CC123" s="10">
        <f>'Logit 1 covariata'!BE31</f>
        <v>-5.6698061899653123</v>
      </c>
      <c r="CD123">
        <f>-2*CC123</f>
        <v>11.339612379930625</v>
      </c>
      <c r="CE123" s="34">
        <f>10-2</f>
        <v>8</v>
      </c>
    </row>
    <row r="125" spans="73:86" x14ac:dyDescent="0.45">
      <c r="CA125" s="85" t="s">
        <v>81</v>
      </c>
      <c r="CB125" s="50" t="s">
        <v>82</v>
      </c>
      <c r="CC125" s="43">
        <f>SUM(CE25:CE34)</f>
        <v>-4.6721578158094355</v>
      </c>
      <c r="CD125">
        <f>-2*CC125</f>
        <v>9.3443156316188709</v>
      </c>
      <c r="CE125" s="34">
        <f>10-3</f>
        <v>7</v>
      </c>
      <c r="CF125">
        <f>CD123-CD125</f>
        <v>1.9952967483117536</v>
      </c>
      <c r="CG125" s="34">
        <f>CE123-CE125</f>
        <v>1</v>
      </c>
      <c r="CH125" s="1">
        <f>_xlfn.CHISQ.DIST.RT(CF125,CG125)</f>
        <v>0.15778815790029146</v>
      </c>
    </row>
  </sheetData>
  <mergeCells count="46">
    <mergeCell ref="H1:K1"/>
    <mergeCell ref="F17:G17"/>
    <mergeCell ref="H30:I30"/>
    <mergeCell ref="H32:I32"/>
    <mergeCell ref="H36:I36"/>
    <mergeCell ref="T1:W1"/>
    <mergeCell ref="R17:S17"/>
    <mergeCell ref="T30:U30"/>
    <mergeCell ref="T32:U32"/>
    <mergeCell ref="T36:U36"/>
    <mergeCell ref="AR1:AU1"/>
    <mergeCell ref="AP17:AQ17"/>
    <mergeCell ref="AR30:AS30"/>
    <mergeCell ref="AR32:AS32"/>
    <mergeCell ref="AR36:AS36"/>
    <mergeCell ref="AF1:AI1"/>
    <mergeCell ref="AD17:AE17"/>
    <mergeCell ref="AF30:AG30"/>
    <mergeCell ref="AF32:AG32"/>
    <mergeCell ref="AF36:AG36"/>
    <mergeCell ref="BP1:BS1"/>
    <mergeCell ref="BN17:BO17"/>
    <mergeCell ref="BP30:BQ30"/>
    <mergeCell ref="BP32:BQ32"/>
    <mergeCell ref="BP36:BQ36"/>
    <mergeCell ref="BD1:BG1"/>
    <mergeCell ref="BB17:BC17"/>
    <mergeCell ref="BD30:BE30"/>
    <mergeCell ref="BD32:BE32"/>
    <mergeCell ref="BD36:BE36"/>
    <mergeCell ref="CN1:CQ1"/>
    <mergeCell ref="CL17:CM17"/>
    <mergeCell ref="CN30:CO30"/>
    <mergeCell ref="CN32:CO32"/>
    <mergeCell ref="CN36:CO36"/>
    <mergeCell ref="CB1:CE1"/>
    <mergeCell ref="BZ17:CA17"/>
    <mergeCell ref="CB30:CC30"/>
    <mergeCell ref="CB32:CC32"/>
    <mergeCell ref="CB36:CC36"/>
    <mergeCell ref="CA105:CE105"/>
    <mergeCell ref="CB121:CD121"/>
    <mergeCell ref="CB77:CD77"/>
    <mergeCell ref="CB81:CD81"/>
    <mergeCell ref="CB85:CD85"/>
    <mergeCell ref="CB90:C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Logit 1 covariata</vt:lpstr>
      <vt:lpstr>Logit 2 Covariate</vt:lpstr>
    </vt:vector>
  </TitlesOfParts>
  <Company>Dipartimento di Scienze della 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</dc:creator>
  <cp:lastModifiedBy>Grassi</cp:lastModifiedBy>
  <dcterms:created xsi:type="dcterms:W3CDTF">2021-05-08T09:19:50Z</dcterms:created>
  <dcterms:modified xsi:type="dcterms:W3CDTF">2021-05-25T13:52:14Z</dcterms:modified>
</cp:coreProperties>
</file>