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701\babich\lezioni\Wireless Networks\mlab\2018\"/>
    </mc:Choice>
  </mc:AlternateContent>
  <bookViews>
    <workbookView xWindow="0" yWindow="0" windowWidth="15330" windowHeight="4560"/>
  </bookViews>
  <sheets>
    <sheet name="Esempio" sheetId="1" r:id="rId1"/>
    <sheet name="Grafici" sheetId="2" r:id="rId2"/>
  </sheets>
  <definedNames>
    <definedName name="B">Grafici!$B$3</definedName>
    <definedName name="Co">Grafici!$B$5</definedName>
    <definedName name="Cp">Grafici!$B$17</definedName>
    <definedName name="kh">Grafici!$B$7</definedName>
    <definedName name="kp">Grafici!$B$18</definedName>
    <definedName name="L">Grafici!$B$4</definedName>
    <definedName name="m">Grafici!$B$6</definedName>
    <definedName name="Nbh">Grafici!$B$10</definedName>
    <definedName name="Nbp">Grafici!$B$21</definedName>
    <definedName name="nh">Grafici!$B$8</definedName>
    <definedName name="nhe">Grafici!$B$13</definedName>
    <definedName name="np">Grafici!$B$19</definedName>
    <definedName name="Rch">Grafici!$B$9</definedName>
    <definedName name="Rche">Grafici!$B$14</definedName>
    <definedName name="Rcp">Grafici!$B$20</definedName>
    <definedName name="Rp">Grafici!$B$16</definedName>
    <definedName name="th">Grafici!$B$11</definedName>
    <definedName name="tp">Grafici!$B$22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B17" i="2"/>
  <c r="C4" i="2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D18" i="2" s="1"/>
  <c r="B19" i="2" l="1"/>
  <c r="B18" i="2"/>
  <c r="B21" i="2" s="1"/>
  <c r="B8" i="2"/>
  <c r="B10" i="2"/>
  <c r="D4" i="2"/>
  <c r="B5" i="2"/>
  <c r="D3" i="2"/>
  <c r="H4" i="2" l="1"/>
  <c r="I4" i="2" s="1"/>
  <c r="J4" i="2" s="1"/>
  <c r="E4" i="2"/>
  <c r="F4" i="2" s="1"/>
  <c r="G4" i="2" s="1"/>
  <c r="H3" i="2"/>
  <c r="I3" i="2" s="1"/>
  <c r="J3" i="2" s="1"/>
  <c r="E3" i="2"/>
  <c r="F3" i="2" s="1"/>
  <c r="G3" i="2" s="1"/>
  <c r="H18" i="2"/>
  <c r="I18" i="2" s="1"/>
  <c r="J18" i="2" s="1"/>
  <c r="E18" i="2"/>
  <c r="F18" i="2" s="1"/>
  <c r="G18" i="2" s="1"/>
  <c r="L19" i="2"/>
  <c r="B20" i="2"/>
  <c r="B13" i="2"/>
  <c r="D5" i="2"/>
  <c r="H5" i="2" s="1"/>
  <c r="B9" i="2"/>
  <c r="B13" i="1"/>
  <c r="E5" i="2" l="1"/>
  <c r="F5" i="2" s="1"/>
  <c r="G5" i="2" s="1"/>
  <c r="W5" i="2"/>
  <c r="S5" i="2"/>
  <c r="W4" i="2"/>
  <c r="S4" i="2"/>
  <c r="W3" i="2"/>
  <c r="S3" i="2"/>
  <c r="T3" i="2" s="1"/>
  <c r="W18" i="2"/>
  <c r="S18" i="2"/>
  <c r="O3" i="2"/>
  <c r="K3" i="2"/>
  <c r="O18" i="2"/>
  <c r="K18" i="2"/>
  <c r="O4" i="2"/>
  <c r="K4" i="2"/>
  <c r="L4" i="2" s="1"/>
  <c r="M4" i="2" s="1"/>
  <c r="O5" i="2"/>
  <c r="K5" i="2"/>
  <c r="B16" i="1"/>
  <c r="B14" i="2"/>
  <c r="I5" i="2"/>
  <c r="J5" i="2" s="1"/>
  <c r="D6" i="2"/>
  <c r="S6" i="2" s="1"/>
  <c r="F5" i="1"/>
  <c r="B15" i="1"/>
  <c r="B17" i="1"/>
  <c r="B6" i="1"/>
  <c r="B3" i="1"/>
  <c r="W6" i="2" l="1"/>
  <c r="X6" i="2" s="1"/>
  <c r="O6" i="2"/>
  <c r="K6" i="2"/>
  <c r="H6" i="2"/>
  <c r="I6" i="2" s="1"/>
  <c r="J6" i="2" s="1"/>
  <c r="E6" i="2"/>
  <c r="F6" i="2" s="1"/>
  <c r="G6" i="2" s="1"/>
  <c r="Y3" i="2"/>
  <c r="X3" i="2"/>
  <c r="U4" i="2"/>
  <c r="T4" i="2"/>
  <c r="Y4" i="2"/>
  <c r="X4" i="2"/>
  <c r="U5" i="2"/>
  <c r="T5" i="2"/>
  <c r="Y5" i="2"/>
  <c r="X5" i="2"/>
  <c r="U18" i="2"/>
  <c r="T18" i="2"/>
  <c r="U6" i="2"/>
  <c r="T6" i="2"/>
  <c r="Y18" i="2"/>
  <c r="X18" i="2"/>
  <c r="U3" i="2"/>
  <c r="V3" i="2" s="1"/>
  <c r="AE3" i="2"/>
  <c r="AA3" i="2"/>
  <c r="AE18" i="2"/>
  <c r="AE6" i="2"/>
  <c r="AA18" i="2"/>
  <c r="AA6" i="2"/>
  <c r="AE5" i="2"/>
  <c r="AA4" i="2"/>
  <c r="AE4" i="2"/>
  <c r="AA5" i="2"/>
  <c r="P3" i="2"/>
  <c r="L5" i="2"/>
  <c r="M5" i="2" s="1"/>
  <c r="P4" i="2"/>
  <c r="L18" i="2"/>
  <c r="M18" i="2" s="1"/>
  <c r="P5" i="2"/>
  <c r="Q5" i="2" s="1"/>
  <c r="R5" i="2" s="1"/>
  <c r="P18" i="2"/>
  <c r="Q18" i="2" s="1"/>
  <c r="L3" i="2"/>
  <c r="M3" i="2" s="1"/>
  <c r="F4" i="1"/>
  <c r="F17" i="1" s="1"/>
  <c r="F18" i="1" s="1"/>
  <c r="N4" i="2"/>
  <c r="D7" i="2"/>
  <c r="AA7" i="2" s="1"/>
  <c r="J8" i="1"/>
  <c r="J9" i="1" s="1"/>
  <c r="J10" i="1" s="1"/>
  <c r="J19" i="1"/>
  <c r="J22" i="1" s="1"/>
  <c r="B7" i="1"/>
  <c r="B8" i="1" s="1"/>
  <c r="B10" i="1" s="1"/>
  <c r="B18" i="1"/>
  <c r="B19" i="1" s="1"/>
  <c r="D7" i="1"/>
  <c r="D8" i="1" s="1"/>
  <c r="D10" i="1" s="1"/>
  <c r="Y6" i="2" l="1"/>
  <c r="J20" i="1"/>
  <c r="AE7" i="2"/>
  <c r="AF7" i="2" s="1"/>
  <c r="Z18" i="2"/>
  <c r="Z5" i="2"/>
  <c r="Z4" i="2"/>
  <c r="Z3" i="2"/>
  <c r="V4" i="2"/>
  <c r="H7" i="2"/>
  <c r="I7" i="2" s="1"/>
  <c r="J7" i="2" s="1"/>
  <c r="E7" i="2"/>
  <c r="F7" i="2" s="1"/>
  <c r="G7" i="2" s="1"/>
  <c r="W7" i="2"/>
  <c r="S7" i="2"/>
  <c r="O7" i="2"/>
  <c r="K7" i="2"/>
  <c r="AC5" i="2"/>
  <c r="AB5" i="2"/>
  <c r="AC4" i="2"/>
  <c r="AB4" i="2"/>
  <c r="AG5" i="2"/>
  <c r="AF5" i="2"/>
  <c r="AC6" i="2"/>
  <c r="AB6" i="2"/>
  <c r="AG6" i="2"/>
  <c r="AF6" i="2"/>
  <c r="AC3" i="2"/>
  <c r="AB3" i="2"/>
  <c r="AG3" i="2"/>
  <c r="AF3" i="2"/>
  <c r="AC7" i="2"/>
  <c r="AB7" i="2"/>
  <c r="AG7" i="2"/>
  <c r="AG4" i="2"/>
  <c r="AF4" i="2"/>
  <c r="AC18" i="2"/>
  <c r="AB18" i="2"/>
  <c r="AG18" i="2"/>
  <c r="AF18" i="2"/>
  <c r="Q4" i="2"/>
  <c r="R4" i="2" s="1"/>
  <c r="Q3" i="2"/>
  <c r="R3" i="2" s="1"/>
  <c r="N5" i="2"/>
  <c r="P6" i="2"/>
  <c r="L6" i="2"/>
  <c r="M6" i="2" s="1"/>
  <c r="B22" i="1"/>
  <c r="B20" i="1"/>
  <c r="N18" i="2"/>
  <c r="N3" i="2"/>
  <c r="R18" i="2"/>
  <c r="V5" i="2"/>
  <c r="V18" i="2"/>
  <c r="L19" i="1"/>
  <c r="F7" i="1"/>
  <c r="F8" i="1" s="1"/>
  <c r="F6" i="1"/>
  <c r="Z6" i="2"/>
  <c r="D8" i="2"/>
  <c r="K8" i="2" s="1"/>
  <c r="H19" i="1"/>
  <c r="F19" i="1"/>
  <c r="D19" i="1"/>
  <c r="H8" i="2" l="1"/>
  <c r="I8" i="2" s="1"/>
  <c r="J8" i="2" s="1"/>
  <c r="E8" i="2"/>
  <c r="F8" i="2" s="1"/>
  <c r="G8" i="2" s="1"/>
  <c r="O8" i="2"/>
  <c r="W8" i="2"/>
  <c r="S8" i="2"/>
  <c r="AE8" i="2"/>
  <c r="AA8" i="2"/>
  <c r="U7" i="2"/>
  <c r="T7" i="2"/>
  <c r="Y7" i="2"/>
  <c r="X7" i="2"/>
  <c r="L20" i="1"/>
  <c r="L21" i="1" s="1"/>
  <c r="L24" i="1" s="1"/>
  <c r="L22" i="1"/>
  <c r="N6" i="2"/>
  <c r="Q6" i="2"/>
  <c r="R6" i="2" s="1"/>
  <c r="L7" i="2"/>
  <c r="P7" i="2"/>
  <c r="F20" i="1"/>
  <c r="F22" i="1"/>
  <c r="D22" i="1"/>
  <c r="D20" i="1"/>
  <c r="H22" i="1"/>
  <c r="H20" i="1"/>
  <c r="H21" i="1" s="1"/>
  <c r="H24" i="1" s="1"/>
  <c r="F9" i="1"/>
  <c r="H9" i="1"/>
  <c r="H10" i="1" s="1"/>
  <c r="AD18" i="2"/>
  <c r="AD6" i="2"/>
  <c r="AH18" i="2"/>
  <c r="AH6" i="2"/>
  <c r="AH5" i="2"/>
  <c r="AH4" i="2"/>
  <c r="AH3" i="2"/>
  <c r="AD7" i="2"/>
  <c r="AD4" i="2"/>
  <c r="AD5" i="2"/>
  <c r="AD3" i="2"/>
  <c r="B21" i="1"/>
  <c r="B24" i="1" s="1"/>
  <c r="B23" i="1"/>
  <c r="V6" i="2"/>
  <c r="J21" i="1"/>
  <c r="J24" i="1" s="1"/>
  <c r="J23" i="1"/>
  <c r="AH7" i="2"/>
  <c r="L9" i="1"/>
  <c r="L10" i="1" s="1"/>
  <c r="L12" i="1" s="1"/>
  <c r="D9" i="2"/>
  <c r="F10" i="1" l="1"/>
  <c r="U8" i="2"/>
  <c r="T8" i="2"/>
  <c r="H9" i="2"/>
  <c r="I9" i="2" s="1"/>
  <c r="J9" i="2" s="1"/>
  <c r="E9" i="2"/>
  <c r="F9" i="2" s="1"/>
  <c r="G9" i="2" s="1"/>
  <c r="O9" i="2"/>
  <c r="W9" i="2"/>
  <c r="S9" i="2"/>
  <c r="K9" i="2"/>
  <c r="AA9" i="2"/>
  <c r="AE9" i="2"/>
  <c r="AC8" i="2"/>
  <c r="AB8" i="2"/>
  <c r="Y8" i="2"/>
  <c r="X8" i="2"/>
  <c r="AG8" i="2"/>
  <c r="AF8" i="2"/>
  <c r="M7" i="2"/>
  <c r="N7" i="2" s="1"/>
  <c r="Q7" i="2"/>
  <c r="R7" i="2" s="1"/>
  <c r="L8" i="2"/>
  <c r="P8" i="2"/>
  <c r="H12" i="1"/>
  <c r="D21" i="1"/>
  <c r="D24" i="1" s="1"/>
  <c r="D23" i="1"/>
  <c r="V7" i="2"/>
  <c r="Z7" i="2"/>
  <c r="L11" i="1"/>
  <c r="L14" i="1" s="1"/>
  <c r="F21" i="1"/>
  <c r="F24" i="1" s="1"/>
  <c r="D10" i="2"/>
  <c r="F12" i="1" l="1"/>
  <c r="F11" i="1"/>
  <c r="F14" i="1" s="1"/>
  <c r="AG9" i="2"/>
  <c r="AF9" i="2"/>
  <c r="Y9" i="2"/>
  <c r="X9" i="2"/>
  <c r="AC9" i="2"/>
  <c r="AB9" i="2"/>
  <c r="H10" i="2"/>
  <c r="I10" i="2" s="1"/>
  <c r="J10" i="2" s="1"/>
  <c r="E10" i="2"/>
  <c r="F10" i="2" s="1"/>
  <c r="G10" i="2" s="1"/>
  <c r="W10" i="2"/>
  <c r="S10" i="2"/>
  <c r="O10" i="2"/>
  <c r="K10" i="2"/>
  <c r="AE10" i="2"/>
  <c r="AA10" i="2"/>
  <c r="U9" i="2"/>
  <c r="T9" i="2"/>
  <c r="Q8" i="2"/>
  <c r="R8" i="2" s="1"/>
  <c r="M8" i="2"/>
  <c r="P9" i="2"/>
  <c r="L9" i="2"/>
  <c r="M9" i="2" s="1"/>
  <c r="N9" i="2" s="1"/>
  <c r="Z8" i="2"/>
  <c r="AD8" i="2"/>
  <c r="AH8" i="2"/>
  <c r="L13" i="1"/>
  <c r="V8" i="2"/>
  <c r="H11" i="1"/>
  <c r="H14" i="1" s="1"/>
  <c r="H13" i="1"/>
  <c r="D11" i="2"/>
  <c r="F13" i="1" l="1"/>
  <c r="N8" i="2"/>
  <c r="Z9" i="2"/>
  <c r="AD9" i="2"/>
  <c r="AH9" i="2"/>
  <c r="H11" i="2"/>
  <c r="I11" i="2" s="1"/>
  <c r="J11" i="2" s="1"/>
  <c r="E11" i="2"/>
  <c r="F11" i="2" s="1"/>
  <c r="G11" i="2" s="1"/>
  <c r="W11" i="2"/>
  <c r="S11" i="2"/>
  <c r="O11" i="2"/>
  <c r="K11" i="2"/>
  <c r="AE11" i="2"/>
  <c r="AA11" i="2"/>
  <c r="AC10" i="2"/>
  <c r="AB10" i="2"/>
  <c r="U10" i="2"/>
  <c r="T10" i="2"/>
  <c r="AG10" i="2"/>
  <c r="AF10" i="2"/>
  <c r="Y10" i="2"/>
  <c r="X10" i="2"/>
  <c r="Q9" i="2"/>
  <c r="R9" i="2" s="1"/>
  <c r="P10" i="2"/>
  <c r="L10" i="2"/>
  <c r="V9" i="2"/>
  <c r="D12" i="2"/>
  <c r="H12" i="2" l="1"/>
  <c r="I12" i="2" s="1"/>
  <c r="J12" i="2" s="1"/>
  <c r="E12" i="2"/>
  <c r="F12" i="2" s="1"/>
  <c r="G12" i="2" s="1"/>
  <c r="O12" i="2"/>
  <c r="W12" i="2"/>
  <c r="S12" i="2"/>
  <c r="K12" i="2"/>
  <c r="AE12" i="2"/>
  <c r="AA12" i="2"/>
  <c r="AC11" i="2"/>
  <c r="AB11" i="2"/>
  <c r="U11" i="2"/>
  <c r="T11" i="2"/>
  <c r="AG11" i="2"/>
  <c r="AF11" i="2"/>
  <c r="Y11" i="2"/>
  <c r="X11" i="2"/>
  <c r="Q10" i="2"/>
  <c r="R10" i="2" s="1"/>
  <c r="M10" i="2"/>
  <c r="N10" i="2" s="1"/>
  <c r="L11" i="2"/>
  <c r="P11" i="2"/>
  <c r="V10" i="2"/>
  <c r="Z10" i="2"/>
  <c r="AD10" i="2"/>
  <c r="AH10" i="2"/>
  <c r="D13" i="2"/>
  <c r="AD11" i="2" l="1"/>
  <c r="H13" i="2"/>
  <c r="E13" i="2"/>
  <c r="O13" i="2"/>
  <c r="W13" i="2"/>
  <c r="S13" i="2"/>
  <c r="K13" i="2"/>
  <c r="AE13" i="2"/>
  <c r="AA13" i="2"/>
  <c r="U12" i="2"/>
  <c r="T12" i="2"/>
  <c r="AC12" i="2"/>
  <c r="AB12" i="2"/>
  <c r="Y12" i="2"/>
  <c r="X12" i="2"/>
  <c r="AG12" i="2"/>
  <c r="AF12" i="2"/>
  <c r="Q11" i="2"/>
  <c r="R11" i="2" s="1"/>
  <c r="M11" i="2"/>
  <c r="N11" i="2" s="1"/>
  <c r="L12" i="2"/>
  <c r="P12" i="2"/>
  <c r="Z11" i="2"/>
  <c r="AH11" i="2"/>
  <c r="V11" i="2"/>
  <c r="D14" i="2"/>
  <c r="I13" i="2"/>
  <c r="J13" i="2" s="1"/>
  <c r="F13" i="2"/>
  <c r="G13" i="2" s="1"/>
  <c r="U13" i="2" l="1"/>
  <c r="T13" i="2"/>
  <c r="H14" i="2"/>
  <c r="I14" i="2" s="1"/>
  <c r="J14" i="2" s="1"/>
  <c r="E14" i="2"/>
  <c r="F14" i="2" s="1"/>
  <c r="G14" i="2" s="1"/>
  <c r="W14" i="2"/>
  <c r="O14" i="2"/>
  <c r="K14" i="2"/>
  <c r="S14" i="2"/>
  <c r="AE14" i="2"/>
  <c r="AA14" i="2"/>
  <c r="AC13" i="2"/>
  <c r="AB13" i="2"/>
  <c r="Y13" i="2"/>
  <c r="X13" i="2"/>
  <c r="AG13" i="2"/>
  <c r="AF13" i="2"/>
  <c r="Q12" i="2"/>
  <c r="R12" i="2" s="1"/>
  <c r="M12" i="2"/>
  <c r="N12" i="2" s="1"/>
  <c r="L13" i="2"/>
  <c r="P13" i="2"/>
  <c r="AH12" i="2"/>
  <c r="Z12" i="2"/>
  <c r="AD12" i="2"/>
  <c r="V12" i="2"/>
  <c r="D15" i="2"/>
  <c r="AC14" i="2" l="1"/>
  <c r="AB14" i="2"/>
  <c r="H15" i="2"/>
  <c r="E15" i="2"/>
  <c r="W15" i="2"/>
  <c r="S15" i="2"/>
  <c r="O15" i="2"/>
  <c r="K15" i="2"/>
  <c r="AE15" i="2"/>
  <c r="AA15" i="2"/>
  <c r="AG14" i="2"/>
  <c r="AF14" i="2"/>
  <c r="X14" i="2"/>
  <c r="Y14" i="2"/>
  <c r="U14" i="2"/>
  <c r="T14" i="2"/>
  <c r="Q13" i="2"/>
  <c r="R13" i="2" s="1"/>
  <c r="M13" i="2"/>
  <c r="N13" i="2" s="1"/>
  <c r="P14" i="2"/>
  <c r="L14" i="2"/>
  <c r="V13" i="2"/>
  <c r="Z13" i="2"/>
  <c r="AH13" i="2"/>
  <c r="AD13" i="2"/>
  <c r="D16" i="2"/>
  <c r="D17" i="2"/>
  <c r="I15" i="2"/>
  <c r="J15" i="2" s="1"/>
  <c r="F15" i="2"/>
  <c r="G15" i="2" s="1"/>
  <c r="V14" i="2" l="1"/>
  <c r="H16" i="2"/>
  <c r="I16" i="2" s="1"/>
  <c r="J16" i="2" s="1"/>
  <c r="E16" i="2"/>
  <c r="F16" i="2" s="1"/>
  <c r="G16" i="2" s="1"/>
  <c r="W16" i="2"/>
  <c r="S16" i="2"/>
  <c r="O16" i="2"/>
  <c r="K16" i="2"/>
  <c r="AE16" i="2"/>
  <c r="AA16" i="2"/>
  <c r="AC15" i="2"/>
  <c r="AB15" i="2"/>
  <c r="T15" i="2"/>
  <c r="U15" i="2"/>
  <c r="AG15" i="2"/>
  <c r="AF15" i="2"/>
  <c r="Y15" i="2"/>
  <c r="X15" i="2"/>
  <c r="H17" i="2"/>
  <c r="I17" i="2" s="1"/>
  <c r="J17" i="2" s="1"/>
  <c r="E17" i="2"/>
  <c r="F17" i="2" s="1"/>
  <c r="G17" i="2" s="1"/>
  <c r="W17" i="2"/>
  <c r="S17" i="2"/>
  <c r="O17" i="2"/>
  <c r="K17" i="2"/>
  <c r="AE17" i="2"/>
  <c r="AA17" i="2"/>
  <c r="M14" i="2"/>
  <c r="N14" i="2" s="1"/>
  <c r="Q14" i="2"/>
  <c r="R14" i="2" s="1"/>
  <c r="P15" i="2"/>
  <c r="L15" i="2"/>
  <c r="M15" i="2" s="1"/>
  <c r="Z14" i="2"/>
  <c r="AH14" i="2"/>
  <c r="AD14" i="2"/>
  <c r="Z15" i="2" l="1"/>
  <c r="AC17" i="2"/>
  <c r="AB17" i="2"/>
  <c r="T17" i="2"/>
  <c r="U17" i="2"/>
  <c r="AC16" i="2"/>
  <c r="AB16" i="2"/>
  <c r="T16" i="2"/>
  <c r="U16" i="2"/>
  <c r="AG17" i="2"/>
  <c r="AF17" i="2"/>
  <c r="Y17" i="2"/>
  <c r="X17" i="2"/>
  <c r="AG16" i="2"/>
  <c r="AF16" i="2"/>
  <c r="Y16" i="2"/>
  <c r="X16" i="2"/>
  <c r="Q15" i="2"/>
  <c r="R15" i="2" s="1"/>
  <c r="N15" i="2"/>
  <c r="L16" i="2"/>
  <c r="M16" i="2" s="1"/>
  <c r="P17" i="2"/>
  <c r="L17" i="2"/>
  <c r="M17" i="2" s="1"/>
  <c r="P16" i="2"/>
  <c r="AD15" i="2"/>
  <c r="AH15" i="2"/>
  <c r="V15" i="2"/>
  <c r="Q16" i="2" l="1"/>
  <c r="R16" i="2" s="1"/>
  <c r="Q17" i="2"/>
  <c r="R17" i="2" s="1"/>
  <c r="N17" i="2"/>
  <c r="N16" i="2"/>
  <c r="Z17" i="2"/>
  <c r="AH17" i="2"/>
  <c r="AD16" i="2"/>
  <c r="AD17" i="2"/>
  <c r="AH16" i="2"/>
  <c r="Z16" i="2"/>
  <c r="V16" i="2"/>
  <c r="V17" i="2"/>
  <c r="H23" i="1"/>
  <c r="F23" i="1"/>
  <c r="L23" i="1"/>
</calcChain>
</file>

<file path=xl/sharedStrings.xml><?xml version="1.0" encoding="utf-8"?>
<sst xmlns="http://schemas.openxmlformats.org/spreadsheetml/2006/main" count="139" uniqueCount="66">
  <si>
    <t>ebn0dB</t>
  </si>
  <si>
    <t>ebn0</t>
  </si>
  <si>
    <t>R</t>
  </si>
  <si>
    <t>C</t>
  </si>
  <si>
    <t>Rc</t>
  </si>
  <si>
    <t>Hamming</t>
  </si>
  <si>
    <t>eavn0</t>
  </si>
  <si>
    <t>Pebit</t>
  </si>
  <si>
    <t>Lunghezza blocco</t>
  </si>
  <si>
    <t>P pacchetto corretto</t>
  </si>
  <si>
    <t>Diversità in trasmissione</t>
  </si>
  <si>
    <t>con div. in trasmissione</t>
  </si>
  <si>
    <t>B (lunghezza blocco dati)</t>
  </si>
  <si>
    <t>L (diversità)</t>
  </si>
  <si>
    <t>C=combinazioni (2L-1)(L)</t>
  </si>
  <si>
    <t xml:space="preserve">parità </t>
  </si>
  <si>
    <t>P (numero di blocchi)</t>
  </si>
  <si>
    <t>Hamming+parità</t>
  </si>
  <si>
    <t>P corretto (blocco)</t>
  </si>
  <si>
    <t>P errore non rilevato (blocco)</t>
  </si>
  <si>
    <t>Penr (blocco)</t>
  </si>
  <si>
    <t>n (lunghezza blocco)</t>
  </si>
  <si>
    <t>k (bit informazione blocco)</t>
  </si>
  <si>
    <t>m (parametro di progetto)</t>
  </si>
  <si>
    <t>Fast (independent) fading</t>
  </si>
  <si>
    <t>ricezione</t>
  </si>
  <si>
    <t>AWGN</t>
  </si>
  <si>
    <t>pebit</t>
  </si>
  <si>
    <t>Tempo tx ripetizione pacchetto</t>
  </si>
  <si>
    <t>Tempo tx rip. pacchetto</t>
  </si>
  <si>
    <t>t0 (capacità correttiva)</t>
  </si>
  <si>
    <t>No code, diversità trasmissione</t>
  </si>
  <si>
    <t>No code, diversità ricezione</t>
  </si>
  <si>
    <t>m</t>
  </si>
  <si>
    <t>co</t>
  </si>
  <si>
    <t>L</t>
  </si>
  <si>
    <t>B</t>
  </si>
  <si>
    <t>Rch</t>
  </si>
  <si>
    <t>Hamming, diversità trasmissione</t>
  </si>
  <si>
    <t>kh</t>
  </si>
  <si>
    <t>nh</t>
  </si>
  <si>
    <t>Hamming, diversità ricezione</t>
  </si>
  <si>
    <t>Nbh</t>
  </si>
  <si>
    <t>Hamming esteso, diversità trasmissione</t>
  </si>
  <si>
    <t>nhe</t>
  </si>
  <si>
    <t>Rche</t>
  </si>
  <si>
    <t>Rp</t>
  </si>
  <si>
    <t>Cp</t>
  </si>
  <si>
    <t>Rcp</t>
  </si>
  <si>
    <t>kp</t>
  </si>
  <si>
    <t>np</t>
  </si>
  <si>
    <t>Parità diversità trasmissione</t>
  </si>
  <si>
    <t>Parità diversità ricezione</t>
  </si>
  <si>
    <t>pnr</t>
  </si>
  <si>
    <t>P p corretto</t>
  </si>
  <si>
    <t>P w corretto</t>
  </si>
  <si>
    <t>P nr</t>
  </si>
  <si>
    <t>th</t>
  </si>
  <si>
    <t>tp</t>
  </si>
  <si>
    <t>Nbp</t>
  </si>
  <si>
    <t>step</t>
  </si>
  <si>
    <t>Hamming esteso, diversità ricezione</t>
  </si>
  <si>
    <t>t (capacità correttiva)</t>
  </si>
  <si>
    <t>parità  doppia</t>
  </si>
  <si>
    <t>Tempo tx con ripetizione blocco</t>
  </si>
  <si>
    <t>Tempo tx con rip. blocco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</si>
</sst>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medium">
        <color auto="1"/>
      </top>
      <bottom/>
      <diagonal/>
    </border>
    <border>
      <left/>
      <right/>
      <top/>
      <bottom style="thick">
        <color rgb="FFFF0000"/>
      </bottom>
      <diagonal/>
    </border>
    <border>
      <left/>
      <right style="medium">
        <color auto="1"/>
      </right>
      <top/>
      <bottom style="thick">
        <color rgb="FFFF0000"/>
      </bottom>
      <diagonal/>
    </border>
    <border>
      <left style="medium">
        <color auto="1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 style="medium">
        <color auto="1"/>
      </bottom>
      <diagonal/>
    </border>
    <border>
      <left/>
      <right style="medium">
        <color auto="1"/>
      </right>
      <top style="thick">
        <color rgb="FFFF0000"/>
      </top>
      <bottom/>
      <diagonal/>
    </border>
    <border>
      <left style="medium">
        <color theme="1"/>
      </left>
      <right/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11" fontId="0" fillId="0" borderId="0" xfId="0" applyNumberFormat="1"/>
    <xf numFmtId="0" fontId="1" fillId="0" borderId="1" xfId="0" applyFont="1" applyBorder="1"/>
    <xf numFmtId="0" fontId="0" fillId="0" borderId="1" xfId="0" applyBorder="1"/>
    <xf numFmtId="0" fontId="1" fillId="0" borderId="2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2" fontId="0" fillId="0" borderId="0" xfId="0" applyNumberFormat="1" applyBorder="1"/>
    <xf numFmtId="11" fontId="0" fillId="0" borderId="0" xfId="0" applyNumberFormat="1" applyBorder="1"/>
    <xf numFmtId="11" fontId="3" fillId="0" borderId="0" xfId="0" applyNumberFormat="1" applyFont="1" applyBorder="1"/>
    <xf numFmtId="0" fontId="1" fillId="0" borderId="0" xfId="0" applyFont="1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0" fontId="0" fillId="0" borderId="9" xfId="0" applyBorder="1"/>
    <xf numFmtId="0" fontId="1" fillId="0" borderId="10" xfId="0" applyFont="1" applyBorder="1"/>
    <xf numFmtId="0" fontId="0" fillId="0" borderId="10" xfId="0" applyBorder="1"/>
    <xf numFmtId="11" fontId="2" fillId="0" borderId="0" xfId="0" applyNumberFormat="1" applyFont="1" applyBorder="1"/>
    <xf numFmtId="0" fontId="2" fillId="0" borderId="0" xfId="0" applyFont="1" applyBorder="1"/>
    <xf numFmtId="11" fontId="3" fillId="0" borderId="10" xfId="0" applyNumberFormat="1" applyFont="1" applyBorder="1"/>
    <xf numFmtId="0" fontId="0" fillId="0" borderId="12" xfId="0" applyBorder="1"/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7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0" borderId="9" xfId="0" applyFill="1" applyBorder="1"/>
    <xf numFmtId="11" fontId="0" fillId="0" borderId="12" xfId="0" applyNumberFormat="1" applyBorder="1"/>
    <xf numFmtId="11" fontId="0" fillId="0" borderId="13" xfId="0" applyNumberFormat="1" applyBorder="1"/>
    <xf numFmtId="0" fontId="5" fillId="0" borderId="0" xfId="0" applyFont="1" applyBorder="1"/>
    <xf numFmtId="0" fontId="4" fillId="2" borderId="9" xfId="0" applyFont="1" applyFill="1" applyBorder="1" applyAlignment="1">
      <alignment horizontal="center"/>
    </xf>
    <xf numFmtId="2" fontId="0" fillId="0" borderId="0" xfId="0" applyNumberFormat="1"/>
    <xf numFmtId="0" fontId="2" fillId="0" borderId="0" xfId="0" applyFont="1" applyFill="1" applyBorder="1"/>
    <xf numFmtId="0" fontId="0" fillId="0" borderId="0" xfId="0" applyFill="1" applyBorder="1"/>
    <xf numFmtId="0" fontId="1" fillId="0" borderId="0" xfId="0" applyFont="1"/>
    <xf numFmtId="0" fontId="5" fillId="0" borderId="9" xfId="0" applyFont="1" applyBorder="1"/>
    <xf numFmtId="1" fontId="5" fillId="0" borderId="0" xfId="0" applyNumberFormat="1" applyFont="1" applyBorder="1"/>
    <xf numFmtId="0" fontId="0" fillId="0" borderId="9" xfId="0" applyFont="1" applyBorder="1"/>
    <xf numFmtId="1" fontId="0" fillId="0" borderId="0" xfId="0" applyNumberFormat="1" applyFont="1" applyBorder="1"/>
    <xf numFmtId="0" fontId="0" fillId="0" borderId="0" xfId="0" applyFont="1"/>
    <xf numFmtId="11" fontId="0" fillId="0" borderId="0" xfId="0" applyNumberFormat="1" applyFont="1" applyBorder="1"/>
    <xf numFmtId="11" fontId="1" fillId="0" borderId="0" xfId="0" applyNumberFormat="1" applyFont="1" applyBorder="1"/>
    <xf numFmtId="0" fontId="0" fillId="0" borderId="19" xfId="0" applyBorder="1"/>
    <xf numFmtId="2" fontId="0" fillId="0" borderId="20" xfId="0" applyNumberFormat="1" applyBorder="1"/>
    <xf numFmtId="11" fontId="0" fillId="0" borderId="20" xfId="0" applyNumberFormat="1" applyBorder="1"/>
    <xf numFmtId="11" fontId="0" fillId="0" borderId="20" xfId="0" applyNumberFormat="1" applyFont="1" applyBorder="1"/>
    <xf numFmtId="11" fontId="2" fillId="0" borderId="20" xfId="0" applyNumberFormat="1" applyFont="1" applyBorder="1"/>
    <xf numFmtId="0" fontId="0" fillId="0" borderId="0" xfId="0" applyFont="1" applyBorder="1"/>
    <xf numFmtId="11" fontId="0" fillId="0" borderId="4" xfId="0" applyNumberFormat="1" applyFont="1" applyBorder="1"/>
    <xf numFmtId="0" fontId="0" fillId="0" borderId="3" xfId="0" applyFont="1" applyBorder="1"/>
    <xf numFmtId="2" fontId="0" fillId="0" borderId="0" xfId="0" applyNumberFormat="1" applyFont="1" applyBorder="1"/>
    <xf numFmtId="0" fontId="0" fillId="0" borderId="10" xfId="0" applyFont="1" applyBorder="1"/>
    <xf numFmtId="11" fontId="0" fillId="0" borderId="10" xfId="0" applyNumberFormat="1" applyFont="1" applyBorder="1"/>
    <xf numFmtId="0" fontId="0" fillId="0" borderId="0" xfId="0" applyNumberFormat="1" applyFont="1" applyBorder="1"/>
    <xf numFmtId="0" fontId="0" fillId="0" borderId="18" xfId="0" applyFont="1" applyBorder="1"/>
    <xf numFmtId="0" fontId="0" fillId="0" borderId="14" xfId="0" applyFont="1" applyBorder="1"/>
    <xf numFmtId="11" fontId="0" fillId="0" borderId="12" xfId="0" applyNumberFormat="1" applyFont="1" applyBorder="1"/>
    <xf numFmtId="0" fontId="0" fillId="0" borderId="12" xfId="0" applyFont="1" applyBorder="1"/>
    <xf numFmtId="11" fontId="0" fillId="0" borderId="15" xfId="0" applyNumberFormat="1" applyFont="1" applyBorder="1"/>
    <xf numFmtId="0" fontId="0" fillId="0" borderId="16" xfId="0" applyFont="1" applyBorder="1"/>
    <xf numFmtId="11" fontId="0" fillId="0" borderId="5" xfId="0" applyNumberFormat="1" applyFont="1" applyBorder="1"/>
    <xf numFmtId="0" fontId="3" fillId="0" borderId="3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9" xfId="0" applyFont="1" applyFill="1" applyBorder="1"/>
    <xf numFmtId="11" fontId="1" fillId="0" borderId="20" xfId="0" applyNumberFormat="1" applyFont="1" applyBorder="1"/>
    <xf numFmtId="11" fontId="3" fillId="0" borderId="20" xfId="0" applyNumberFormat="1" applyFont="1" applyBorder="1"/>
    <xf numFmtId="11" fontId="0" fillId="0" borderId="9" xfId="0" applyNumberForma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B0F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Grafici!$C$3:$C$18</c:f>
              <c:numCache>
                <c:formatCode>General</c:formatCode>
                <c:ptCount val="16"/>
                <c:pt idx="0">
                  <c:v>4</c:v>
                </c:pt>
                <c:pt idx="1">
                  <c:v>4.4000000000000004</c:v>
                </c:pt>
                <c:pt idx="2">
                  <c:v>4.8000000000000007</c:v>
                </c:pt>
                <c:pt idx="3">
                  <c:v>5.2000000000000011</c:v>
                </c:pt>
                <c:pt idx="4">
                  <c:v>5.6000000000000014</c:v>
                </c:pt>
                <c:pt idx="5">
                  <c:v>6.0000000000000018</c:v>
                </c:pt>
                <c:pt idx="6">
                  <c:v>6.4000000000000021</c:v>
                </c:pt>
                <c:pt idx="7">
                  <c:v>6.8000000000000025</c:v>
                </c:pt>
                <c:pt idx="8">
                  <c:v>7.2000000000000028</c:v>
                </c:pt>
                <c:pt idx="9">
                  <c:v>7.6000000000000032</c:v>
                </c:pt>
                <c:pt idx="10">
                  <c:v>8.0000000000000036</c:v>
                </c:pt>
                <c:pt idx="11">
                  <c:v>8.4000000000000039</c:v>
                </c:pt>
                <c:pt idx="12">
                  <c:v>8.8000000000000043</c:v>
                </c:pt>
                <c:pt idx="13">
                  <c:v>9.2000000000000046</c:v>
                </c:pt>
                <c:pt idx="14">
                  <c:v>9.600000000000005</c:v>
                </c:pt>
                <c:pt idx="15">
                  <c:v>10.000000000000005</c:v>
                </c:pt>
              </c:numCache>
            </c:numRef>
          </c:xVal>
          <c:yVal>
            <c:numRef>
              <c:f>Grafici!$AD$3:$AD$18</c:f>
              <c:numCache>
                <c:formatCode>0.00E+00</c:formatCode>
                <c:ptCount val="16"/>
                <c:pt idx="0">
                  <c:v>4.9460275433725928E+130</c:v>
                </c:pt>
                <c:pt idx="1">
                  <c:v>1.8227996462118348E+94</c:v>
                </c:pt>
                <c:pt idx="2">
                  <c:v>6.4678292198159354E+62</c:v>
                </c:pt>
                <c:pt idx="3">
                  <c:v>9.1406336079549371E+37</c:v>
                </c:pt>
                <c:pt idx="4">
                  <c:v>6.7060885946170304E+20</c:v>
                </c:pt>
                <c:pt idx="5">
                  <c:v>46530612106.636078</c:v>
                </c:pt>
                <c:pt idx="6">
                  <c:v>210355.49144435208</c:v>
                </c:pt>
                <c:pt idx="7">
                  <c:v>493.00182535339968</c:v>
                </c:pt>
                <c:pt idx="8">
                  <c:v>26.686234310828464</c:v>
                </c:pt>
                <c:pt idx="9">
                  <c:v>6.4600566631125513</c:v>
                </c:pt>
                <c:pt idx="10">
                  <c:v>3.1648140204589854</c:v>
                </c:pt>
                <c:pt idx="11">
                  <c:v>2.1665183162120245</c:v>
                </c:pt>
                <c:pt idx="12">
                  <c:v>1.745040197426422</c:v>
                </c:pt>
                <c:pt idx="13">
                  <c:v>1.5259691877080106</c:v>
                </c:pt>
                <c:pt idx="14">
                  <c:v>1.3943058313992891</c:v>
                </c:pt>
                <c:pt idx="15">
                  <c:v>1.306509224167681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rgbClr val="00B0F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Grafici!$C$3:$C$18</c:f>
              <c:numCache>
                <c:formatCode>General</c:formatCode>
                <c:ptCount val="16"/>
                <c:pt idx="0">
                  <c:v>4</c:v>
                </c:pt>
                <c:pt idx="1">
                  <c:v>4.4000000000000004</c:v>
                </c:pt>
                <c:pt idx="2">
                  <c:v>4.8000000000000007</c:v>
                </c:pt>
                <c:pt idx="3">
                  <c:v>5.2000000000000011</c:v>
                </c:pt>
                <c:pt idx="4">
                  <c:v>5.6000000000000014</c:v>
                </c:pt>
                <c:pt idx="5">
                  <c:v>6.0000000000000018</c:v>
                </c:pt>
                <c:pt idx="6">
                  <c:v>6.4000000000000021</c:v>
                </c:pt>
                <c:pt idx="7">
                  <c:v>6.8000000000000025</c:v>
                </c:pt>
                <c:pt idx="8">
                  <c:v>7.2000000000000028</c:v>
                </c:pt>
                <c:pt idx="9">
                  <c:v>7.6000000000000032</c:v>
                </c:pt>
                <c:pt idx="10">
                  <c:v>8.0000000000000036</c:v>
                </c:pt>
                <c:pt idx="11">
                  <c:v>8.4000000000000039</c:v>
                </c:pt>
                <c:pt idx="12">
                  <c:v>8.8000000000000043</c:v>
                </c:pt>
                <c:pt idx="13">
                  <c:v>9.2000000000000046</c:v>
                </c:pt>
                <c:pt idx="14">
                  <c:v>9.600000000000005</c:v>
                </c:pt>
                <c:pt idx="15">
                  <c:v>10.000000000000005</c:v>
                </c:pt>
              </c:numCache>
            </c:numRef>
          </c:xVal>
          <c:yVal>
            <c:numRef>
              <c:f>Grafici!$AH$3:$AH$18</c:f>
              <c:numCache>
                <c:formatCode>0.00E+00</c:formatCode>
                <c:ptCount val="16"/>
                <c:pt idx="0">
                  <c:v>81.971248169248895</c:v>
                </c:pt>
                <c:pt idx="1">
                  <c:v>11.195507992073001</c:v>
                </c:pt>
                <c:pt idx="2">
                  <c:v>4.1893925837364749</c:v>
                </c:pt>
                <c:pt idx="3">
                  <c:v>2.5219421138128397</c:v>
                </c:pt>
                <c:pt idx="4">
                  <c:v>1.9070892018601919</c:v>
                </c:pt>
                <c:pt idx="5">
                  <c:v>1.6145634866423608</c:v>
                </c:pt>
                <c:pt idx="6">
                  <c:v>1.4494711739370107</c:v>
                </c:pt>
                <c:pt idx="7">
                  <c:v>1.3442105081598728</c:v>
                </c:pt>
                <c:pt idx="8">
                  <c:v>1.2710511948340886</c:v>
                </c:pt>
                <c:pt idx="9">
                  <c:v>1.2171298664653081</c:v>
                </c:pt>
                <c:pt idx="10">
                  <c:v>1.1758233927052013</c:v>
                </c:pt>
                <c:pt idx="11">
                  <c:v>1.1433793168690343</c:v>
                </c:pt>
                <c:pt idx="12">
                  <c:v>1.1174787529297525</c:v>
                </c:pt>
                <c:pt idx="13">
                  <c:v>1.0965785016009204</c:v>
                </c:pt>
                <c:pt idx="14">
                  <c:v>1.0795894522937688</c:v>
                </c:pt>
                <c:pt idx="15">
                  <c:v>1.0657085561807322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Grafici!$C$3:$C$18</c:f>
              <c:numCache>
                <c:formatCode>General</c:formatCode>
                <c:ptCount val="16"/>
                <c:pt idx="0">
                  <c:v>4</c:v>
                </c:pt>
                <c:pt idx="1">
                  <c:v>4.4000000000000004</c:v>
                </c:pt>
                <c:pt idx="2">
                  <c:v>4.8000000000000007</c:v>
                </c:pt>
                <c:pt idx="3">
                  <c:v>5.2000000000000011</c:v>
                </c:pt>
                <c:pt idx="4">
                  <c:v>5.6000000000000014</c:v>
                </c:pt>
                <c:pt idx="5">
                  <c:v>6.0000000000000018</c:v>
                </c:pt>
                <c:pt idx="6">
                  <c:v>6.4000000000000021</c:v>
                </c:pt>
                <c:pt idx="7">
                  <c:v>6.8000000000000025</c:v>
                </c:pt>
                <c:pt idx="8">
                  <c:v>7.2000000000000028</c:v>
                </c:pt>
                <c:pt idx="9">
                  <c:v>7.6000000000000032</c:v>
                </c:pt>
                <c:pt idx="10">
                  <c:v>8.0000000000000036</c:v>
                </c:pt>
                <c:pt idx="11">
                  <c:v>8.4000000000000039</c:v>
                </c:pt>
                <c:pt idx="12">
                  <c:v>8.8000000000000043</c:v>
                </c:pt>
                <c:pt idx="13">
                  <c:v>9.2000000000000046</c:v>
                </c:pt>
                <c:pt idx="14">
                  <c:v>9.600000000000005</c:v>
                </c:pt>
                <c:pt idx="15">
                  <c:v>10.000000000000005</c:v>
                </c:pt>
              </c:numCache>
            </c:numRef>
          </c:xVal>
          <c:yVal>
            <c:numRef>
              <c:f>Grafici!$N$3:$N$18</c:f>
              <c:numCache>
                <c:formatCode>0.00E+00</c:formatCode>
                <c:ptCount val="16"/>
                <c:pt idx="0">
                  <c:v>7.9830015059840751E+99</c:v>
                </c:pt>
                <c:pt idx="1">
                  <c:v>1.050278148390333E+75</c:v>
                </c:pt>
                <c:pt idx="2">
                  <c:v>4.6713056132143466E+53</c:v>
                </c:pt>
                <c:pt idx="3">
                  <c:v>2.4085131323037134E+36</c:v>
                </c:pt>
                <c:pt idx="4">
                  <c:v>2.5778447370089122E+23</c:v>
                </c:pt>
                <c:pt idx="5">
                  <c:v>275363660776371.94</c:v>
                </c:pt>
                <c:pt idx="6">
                  <c:v>458859586.78926682</c:v>
                </c:pt>
                <c:pt idx="7">
                  <c:v>134390.35296048148</c:v>
                </c:pt>
                <c:pt idx="8">
                  <c:v>1083.6027128663447</c:v>
                </c:pt>
                <c:pt idx="9">
                  <c:v>65.011429086810423</c:v>
                </c:pt>
                <c:pt idx="10">
                  <c:v>12.650951581314573</c:v>
                </c:pt>
                <c:pt idx="11">
                  <c:v>4.8574230747153857</c:v>
                </c:pt>
                <c:pt idx="12">
                  <c:v>2.7570298889795626</c:v>
                </c:pt>
                <c:pt idx="13">
                  <c:v>1.9605183755080147</c:v>
                </c:pt>
                <c:pt idx="14">
                  <c:v>1.5892284039753548</c:v>
                </c:pt>
                <c:pt idx="15">
                  <c:v>1.3913993735726395</c:v>
                </c:pt>
              </c:numCache>
            </c:numRef>
          </c:yVal>
          <c:smooth val="0"/>
        </c:ser>
        <c:ser>
          <c:idx val="3"/>
          <c:order val="3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Grafici!$C$3:$C$18</c:f>
              <c:numCache>
                <c:formatCode>General</c:formatCode>
                <c:ptCount val="16"/>
                <c:pt idx="0">
                  <c:v>4</c:v>
                </c:pt>
                <c:pt idx="1">
                  <c:v>4.4000000000000004</c:v>
                </c:pt>
                <c:pt idx="2">
                  <c:v>4.8000000000000007</c:v>
                </c:pt>
                <c:pt idx="3">
                  <c:v>5.2000000000000011</c:v>
                </c:pt>
                <c:pt idx="4">
                  <c:v>5.6000000000000014</c:v>
                </c:pt>
                <c:pt idx="5">
                  <c:v>6.0000000000000018</c:v>
                </c:pt>
                <c:pt idx="6">
                  <c:v>6.4000000000000021</c:v>
                </c:pt>
                <c:pt idx="7">
                  <c:v>6.8000000000000025</c:v>
                </c:pt>
                <c:pt idx="8">
                  <c:v>7.2000000000000028</c:v>
                </c:pt>
                <c:pt idx="9">
                  <c:v>7.6000000000000032</c:v>
                </c:pt>
                <c:pt idx="10">
                  <c:v>8.0000000000000036</c:v>
                </c:pt>
                <c:pt idx="11">
                  <c:v>8.4000000000000039</c:v>
                </c:pt>
                <c:pt idx="12">
                  <c:v>8.8000000000000043</c:v>
                </c:pt>
                <c:pt idx="13">
                  <c:v>9.2000000000000046</c:v>
                </c:pt>
                <c:pt idx="14">
                  <c:v>9.600000000000005</c:v>
                </c:pt>
                <c:pt idx="15">
                  <c:v>10.000000000000005</c:v>
                </c:pt>
              </c:numCache>
            </c:numRef>
          </c:xVal>
          <c:yVal>
            <c:numRef>
              <c:f>Grafici!$R$3:$R$18</c:f>
              <c:numCache>
                <c:formatCode>0.00E+00</c:formatCode>
                <c:ptCount val="16"/>
                <c:pt idx="0">
                  <c:v>7758.2028884501142</c:v>
                </c:pt>
                <c:pt idx="1">
                  <c:v>204.54379577021928</c:v>
                </c:pt>
                <c:pt idx="2">
                  <c:v>24.654056577572188</c:v>
                </c:pt>
                <c:pt idx="3">
                  <c:v>7.183091075887635</c:v>
                </c:pt>
                <c:pt idx="4">
                  <c:v>3.478643891582379</c:v>
                </c:pt>
                <c:pt idx="5">
                  <c:v>2.2569310804739948</c:v>
                </c:pt>
                <c:pt idx="6">
                  <c:v>1.7343033720599994</c:v>
                </c:pt>
                <c:pt idx="7">
                  <c:v>1.4712493981683972</c:v>
                </c:pt>
                <c:pt idx="8">
                  <c:v>1.3234449864981979</c:v>
                </c:pt>
                <c:pt idx="9">
                  <c:v>1.2333721576438839</c:v>
                </c:pt>
                <c:pt idx="10">
                  <c:v>1.1748335214080723</c:v>
                </c:pt>
                <c:pt idx="11">
                  <c:v>1.1347186913103298</c:v>
                </c:pt>
                <c:pt idx="12">
                  <c:v>1.1059954299393808</c:v>
                </c:pt>
                <c:pt idx="13">
                  <c:v>1.0846791489196785</c:v>
                </c:pt>
                <c:pt idx="14">
                  <c:v>1.0684029622300104</c:v>
                </c:pt>
                <c:pt idx="15">
                  <c:v>1.0556981079065377</c:v>
                </c:pt>
              </c:numCache>
            </c:numRef>
          </c:yVal>
          <c:smooth val="0"/>
        </c:ser>
        <c:ser>
          <c:idx val="4"/>
          <c:order val="4"/>
          <c:spPr>
            <a:ln w="1905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Grafici!$C$3:$C$18</c:f>
              <c:numCache>
                <c:formatCode>General</c:formatCode>
                <c:ptCount val="16"/>
                <c:pt idx="0">
                  <c:v>4</c:v>
                </c:pt>
                <c:pt idx="1">
                  <c:v>4.4000000000000004</c:v>
                </c:pt>
                <c:pt idx="2">
                  <c:v>4.8000000000000007</c:v>
                </c:pt>
                <c:pt idx="3">
                  <c:v>5.2000000000000011</c:v>
                </c:pt>
                <c:pt idx="4">
                  <c:v>5.6000000000000014</c:v>
                </c:pt>
                <c:pt idx="5">
                  <c:v>6.0000000000000018</c:v>
                </c:pt>
                <c:pt idx="6">
                  <c:v>6.4000000000000021</c:v>
                </c:pt>
                <c:pt idx="7">
                  <c:v>6.8000000000000025</c:v>
                </c:pt>
                <c:pt idx="8">
                  <c:v>7.2000000000000028</c:v>
                </c:pt>
                <c:pt idx="9">
                  <c:v>7.6000000000000032</c:v>
                </c:pt>
                <c:pt idx="10">
                  <c:v>8.0000000000000036</c:v>
                </c:pt>
                <c:pt idx="11">
                  <c:v>8.4000000000000039</c:v>
                </c:pt>
                <c:pt idx="12">
                  <c:v>8.8000000000000043</c:v>
                </c:pt>
                <c:pt idx="13">
                  <c:v>9.2000000000000046</c:v>
                </c:pt>
                <c:pt idx="14">
                  <c:v>9.600000000000005</c:v>
                </c:pt>
                <c:pt idx="15">
                  <c:v>10.000000000000005</c:v>
                </c:pt>
              </c:numCache>
            </c:numRef>
          </c:xVal>
          <c:yVal>
            <c:numRef>
              <c:f>Grafici!$V$3:$V$18</c:f>
              <c:numCache>
                <c:formatCode>0.00E+00</c:formatCode>
                <c:ptCount val="16"/>
                <c:pt idx="0">
                  <c:v>8.2357229739783337E+74</c:v>
                </c:pt>
                <c:pt idx="1">
                  <c:v>3.669017460069485E+52</c:v>
                </c:pt>
                <c:pt idx="2">
                  <c:v>7.8713378208105403E+35</c:v>
                </c:pt>
                <c:pt idx="3">
                  <c:v>8.3314335659487465E+23</c:v>
                </c:pt>
                <c:pt idx="4">
                  <c:v>4308447464338728.5</c:v>
                </c:pt>
                <c:pt idx="5">
                  <c:v>11937490812.149843</c:v>
                </c:pt>
                <c:pt idx="6">
                  <c:v>2715608.4354237756</c:v>
                </c:pt>
                <c:pt idx="7">
                  <c:v>12077.7220027656</c:v>
                </c:pt>
                <c:pt idx="8">
                  <c:v>378.86694222748105</c:v>
                </c:pt>
                <c:pt idx="9">
                  <c:v>42.018393877266739</c:v>
                </c:pt>
                <c:pt idx="10">
                  <c:v>10.458231641873942</c:v>
                </c:pt>
                <c:pt idx="11">
                  <c:v>4.353149432760544</c:v>
                </c:pt>
                <c:pt idx="12">
                  <c:v>2.509572336449942</c:v>
                </c:pt>
                <c:pt idx="13">
                  <c:v>1.7769435964400748</c:v>
                </c:pt>
                <c:pt idx="14">
                  <c:v>1.4319111098580264</c:v>
                </c:pt>
                <c:pt idx="15">
                  <c:v>1.2513806873572377</c:v>
                </c:pt>
              </c:numCache>
            </c:numRef>
          </c:yVal>
          <c:smooth val="0"/>
        </c:ser>
        <c:ser>
          <c:idx val="5"/>
          <c:order val="5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Grafici!$C$3:$C$18</c:f>
              <c:numCache>
                <c:formatCode>General</c:formatCode>
                <c:ptCount val="16"/>
                <c:pt idx="0">
                  <c:v>4</c:v>
                </c:pt>
                <c:pt idx="1">
                  <c:v>4.4000000000000004</c:v>
                </c:pt>
                <c:pt idx="2">
                  <c:v>4.8000000000000007</c:v>
                </c:pt>
                <c:pt idx="3">
                  <c:v>5.2000000000000011</c:v>
                </c:pt>
                <c:pt idx="4">
                  <c:v>5.6000000000000014</c:v>
                </c:pt>
                <c:pt idx="5">
                  <c:v>6.0000000000000018</c:v>
                </c:pt>
                <c:pt idx="6">
                  <c:v>6.4000000000000021</c:v>
                </c:pt>
                <c:pt idx="7">
                  <c:v>6.8000000000000025</c:v>
                </c:pt>
                <c:pt idx="8">
                  <c:v>7.2000000000000028</c:v>
                </c:pt>
                <c:pt idx="9">
                  <c:v>7.6000000000000032</c:v>
                </c:pt>
                <c:pt idx="10">
                  <c:v>8.0000000000000036</c:v>
                </c:pt>
                <c:pt idx="11">
                  <c:v>8.4000000000000039</c:v>
                </c:pt>
                <c:pt idx="12">
                  <c:v>8.8000000000000043</c:v>
                </c:pt>
                <c:pt idx="13">
                  <c:v>9.2000000000000046</c:v>
                </c:pt>
                <c:pt idx="14">
                  <c:v>9.600000000000005</c:v>
                </c:pt>
                <c:pt idx="15">
                  <c:v>10.000000000000005</c:v>
                </c:pt>
              </c:numCache>
            </c:numRef>
          </c:xVal>
          <c:yVal>
            <c:numRef>
              <c:f>Grafici!$Z$3:$Z$18</c:f>
              <c:numCache>
                <c:formatCode>0.00E+00</c:formatCode>
                <c:ptCount val="16"/>
                <c:pt idx="0">
                  <c:v>1612.9083359048357</c:v>
                </c:pt>
                <c:pt idx="1">
                  <c:v>105.31092877814301</c:v>
                </c:pt>
                <c:pt idx="2">
                  <c:v>18.686731639348604</c:v>
                </c:pt>
                <c:pt idx="3">
                  <c:v>6.273757969516236</c:v>
                </c:pt>
                <c:pt idx="4">
                  <c:v>3.1569102054569251</c:v>
                </c:pt>
                <c:pt idx="5">
                  <c:v>2.0516099451800689</c:v>
                </c:pt>
                <c:pt idx="6">
                  <c:v>1.5664926452791206</c:v>
                </c:pt>
                <c:pt idx="7">
                  <c:v>1.3235229896499894</c:v>
                </c:pt>
                <c:pt idx="8">
                  <c:v>1.1914399480773457</c:v>
                </c:pt>
                <c:pt idx="9">
                  <c:v>1.1158700284756375</c:v>
                </c:pt>
                <c:pt idx="10">
                  <c:v>1.0712129743781458</c:v>
                </c:pt>
                <c:pt idx="11">
                  <c:v>1.0442628500724302</c:v>
                </c:pt>
                <c:pt idx="12">
                  <c:v>1.0277629796666863</c:v>
                </c:pt>
                <c:pt idx="13">
                  <c:v>1.0175531029430323</c:v>
                </c:pt>
                <c:pt idx="14">
                  <c:v>1.0111806088142055</c:v>
                </c:pt>
                <c:pt idx="15">
                  <c:v>1.0071726880171041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376776"/>
        <c:axId val="240377952"/>
      </c:scatterChart>
      <c:valAx>
        <c:axId val="240376776"/>
        <c:scaling>
          <c:orientation val="minMax"/>
          <c:max val="10"/>
          <c:min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377952"/>
        <c:crosses val="autoZero"/>
        <c:crossBetween val="midCat"/>
      </c:valAx>
      <c:valAx>
        <c:axId val="240377952"/>
        <c:scaling>
          <c:logBase val="10"/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376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390524</xdr:colOff>
      <xdr:row>18</xdr:row>
      <xdr:rowOff>19050</xdr:rowOff>
    </xdr:from>
    <xdr:to>
      <xdr:col>22</xdr:col>
      <xdr:colOff>600075</xdr:colOff>
      <xdr:row>36</xdr:row>
      <xdr:rowOff>161925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="150" zoomScaleNormal="150" workbookViewId="0">
      <selection activeCell="F3" sqref="F3"/>
    </sheetView>
  </sheetViews>
  <sheetFormatPr defaultRowHeight="15" x14ac:dyDescent="0.25"/>
  <cols>
    <col min="1" max="1" width="26.85546875" customWidth="1"/>
    <col min="2" max="2" width="12.85546875" customWidth="1"/>
    <col min="3" max="3" width="5.28515625" customWidth="1"/>
    <col min="5" max="5" width="25.42578125" customWidth="1"/>
    <col min="6" max="6" width="13.85546875" customWidth="1"/>
    <col min="7" max="7" width="5.42578125" customWidth="1"/>
    <col min="9" max="9" width="26.140625" customWidth="1"/>
    <col min="10" max="10" width="12.42578125" bestFit="1" customWidth="1"/>
    <col min="11" max="11" width="19.140625" customWidth="1"/>
  </cols>
  <sheetData>
    <row r="1" spans="1:12" ht="15.75" thickTop="1" x14ac:dyDescent="0.25">
      <c r="A1" s="28" t="s">
        <v>24</v>
      </c>
      <c r="B1" s="23" t="s">
        <v>10</v>
      </c>
      <c r="C1" s="13"/>
      <c r="D1" s="12" t="s">
        <v>25</v>
      </c>
      <c r="E1" s="12" t="s">
        <v>5</v>
      </c>
      <c r="F1" s="12" t="s">
        <v>11</v>
      </c>
      <c r="H1" s="14" t="s">
        <v>25</v>
      </c>
      <c r="I1" s="28" t="s">
        <v>26</v>
      </c>
      <c r="J1" s="25"/>
      <c r="K1" s="22" t="s">
        <v>5</v>
      </c>
      <c r="L1" s="14"/>
    </row>
    <row r="2" spans="1:12" x14ac:dyDescent="0.25">
      <c r="A2" s="15" t="s">
        <v>0</v>
      </c>
      <c r="B2" s="11">
        <v>5</v>
      </c>
      <c r="C2" s="6"/>
      <c r="D2" s="6"/>
      <c r="E2" s="5" t="s">
        <v>23</v>
      </c>
      <c r="F2" s="11">
        <v>4</v>
      </c>
      <c r="G2" s="6"/>
      <c r="H2" s="17"/>
      <c r="I2" s="15"/>
      <c r="J2" s="7"/>
      <c r="K2" s="5"/>
      <c r="L2" s="17"/>
    </row>
    <row r="3" spans="1:12" x14ac:dyDescent="0.25">
      <c r="A3" s="15" t="s">
        <v>1</v>
      </c>
      <c r="B3" s="8">
        <f>10^(B2/10)</f>
        <v>3.1622776601683795</v>
      </c>
      <c r="C3" s="6"/>
      <c r="D3" s="6"/>
      <c r="E3" s="5" t="s">
        <v>62</v>
      </c>
      <c r="F3" s="37">
        <v>0</v>
      </c>
      <c r="G3" s="6"/>
      <c r="H3" s="17"/>
      <c r="I3" s="15"/>
      <c r="J3" s="7"/>
      <c r="K3" s="5"/>
      <c r="L3" s="17"/>
    </row>
    <row r="4" spans="1:12" x14ac:dyDescent="0.25">
      <c r="A4" s="15" t="s">
        <v>12</v>
      </c>
      <c r="B4" s="11">
        <v>1024</v>
      </c>
      <c r="C4" s="6"/>
      <c r="D4" s="6"/>
      <c r="E4" s="5" t="s">
        <v>22</v>
      </c>
      <c r="F4" s="6">
        <f>F5-F2</f>
        <v>11</v>
      </c>
      <c r="G4" s="6"/>
      <c r="H4" s="17"/>
      <c r="I4" s="70"/>
      <c r="J4" s="7"/>
      <c r="K4" s="5"/>
      <c r="L4" s="17"/>
    </row>
    <row r="5" spans="1:12" x14ac:dyDescent="0.25">
      <c r="A5" s="15" t="s">
        <v>13</v>
      </c>
      <c r="B5" s="11">
        <v>2</v>
      </c>
      <c r="C5" s="6"/>
      <c r="D5" s="6"/>
      <c r="E5" s="5" t="s">
        <v>21</v>
      </c>
      <c r="F5" s="6">
        <f>2^F2-1</f>
        <v>15</v>
      </c>
      <c r="G5" s="6"/>
      <c r="H5" s="17"/>
      <c r="I5" s="15"/>
      <c r="J5" s="7"/>
      <c r="K5" s="5"/>
      <c r="L5" s="17"/>
    </row>
    <row r="6" spans="1:12" x14ac:dyDescent="0.25">
      <c r="A6" s="15" t="s">
        <v>14</v>
      </c>
      <c r="B6" s="6">
        <f>FACT(2*B5-1)/FACT(B5)/FACT(B5-1)</f>
        <v>3</v>
      </c>
      <c r="C6" s="6"/>
      <c r="D6" s="6"/>
      <c r="E6" s="5" t="s">
        <v>16</v>
      </c>
      <c r="F6" s="6">
        <f>CEILING($B4/F4,1)</f>
        <v>94</v>
      </c>
      <c r="G6" s="8"/>
      <c r="H6" s="17"/>
      <c r="I6" s="15"/>
      <c r="J6" s="7"/>
      <c r="K6" s="5"/>
      <c r="L6" s="17"/>
    </row>
    <row r="7" spans="1:12" x14ac:dyDescent="0.25">
      <c r="A7" s="40" t="s">
        <v>7</v>
      </c>
      <c r="B7" s="43">
        <f>$B$6*(1/(4*($B3/$B$5)))^$B$5</f>
        <v>7.5000000000000011E-2</v>
      </c>
      <c r="C7" s="50"/>
      <c r="D7" s="43">
        <f>$B$6*(1/(4*($B3)))^$B$5</f>
        <v>1.8750000000000003E-2</v>
      </c>
      <c r="E7" s="5" t="s">
        <v>4</v>
      </c>
      <c r="F7" s="8">
        <f>F4/F5</f>
        <v>0.73333333333333328</v>
      </c>
      <c r="G7" s="8"/>
      <c r="H7" s="17"/>
      <c r="I7" s="15"/>
      <c r="J7" s="7"/>
      <c r="K7" s="5"/>
      <c r="L7" s="17"/>
    </row>
    <row r="8" spans="1:12" x14ac:dyDescent="0.25">
      <c r="A8" s="40" t="s">
        <v>9</v>
      </c>
      <c r="B8" s="43">
        <f>(1-B7)^$B4</f>
        <v>2.1337047536285428E-35</v>
      </c>
      <c r="C8" s="50"/>
      <c r="D8" s="43">
        <f>(1-D7)^$B4</f>
        <v>3.8228022010357058E-9</v>
      </c>
      <c r="E8" s="52" t="s">
        <v>6</v>
      </c>
      <c r="F8" s="53">
        <f>$B$3*F7</f>
        <v>2.3190036174568114</v>
      </c>
      <c r="G8" s="43"/>
      <c r="H8" s="54"/>
      <c r="I8" s="40" t="s">
        <v>27</v>
      </c>
      <c r="J8" s="51">
        <f>1/2*ERFC(($B$3)^0.5)</f>
        <v>5.9538671477786607E-3</v>
      </c>
      <c r="K8" s="5"/>
      <c r="L8" s="17"/>
    </row>
    <row r="9" spans="1:12" x14ac:dyDescent="0.25">
      <c r="A9" s="40"/>
      <c r="B9" s="43"/>
      <c r="C9" s="50"/>
      <c r="D9" s="43"/>
      <c r="E9" s="52" t="s">
        <v>7</v>
      </c>
      <c r="F9" s="43">
        <f>$B$6*(1/(4*(F8/$B$5)))^$B$5</f>
        <v>0.13946280991735538</v>
      </c>
      <c r="G9" s="43"/>
      <c r="H9" s="55">
        <f>$B$6*(1/(4*(F8)))^$B$5</f>
        <v>3.4865702479338845E-2</v>
      </c>
      <c r="I9" s="40" t="s">
        <v>9</v>
      </c>
      <c r="J9" s="51">
        <f>(1-J8)^$B4</f>
        <v>2.2095156013858391E-3</v>
      </c>
      <c r="K9" s="50" t="s">
        <v>7</v>
      </c>
      <c r="L9" s="55">
        <f>1/2*ERFC((F7*$B$3)^0.5)</f>
        <v>1.5635647074802334E-2</v>
      </c>
    </row>
    <row r="10" spans="1:12" ht="15.75" thickBot="1" x14ac:dyDescent="0.3">
      <c r="A10" s="66" t="s">
        <v>28</v>
      </c>
      <c r="B10" s="10">
        <f>1/B8</f>
        <v>4.6866840330154237E+34</v>
      </c>
      <c r="C10" s="65"/>
      <c r="D10" s="10">
        <f>1/D8</f>
        <v>261588213.93612036</v>
      </c>
      <c r="E10" s="52" t="s">
        <v>18</v>
      </c>
      <c r="F10" s="43">
        <f>BINOMDIST(0,$F$5,F9,0)+$F$3*BINOMDIST(1,$F$5,F9,0)</f>
        <v>0.10508595163901518</v>
      </c>
      <c r="G10" s="56"/>
      <c r="H10" s="43">
        <f>BINOMDIST(0,$F$5,H9,0)+$F$3*BINOMDIST(1,$F$5,H9,0)</f>
        <v>0.58724082239855613</v>
      </c>
      <c r="I10" s="62" t="s">
        <v>28</v>
      </c>
      <c r="J10" s="63">
        <f>1/J9</f>
        <v>452.5878882107852</v>
      </c>
      <c r="K10" s="52" t="s">
        <v>18</v>
      </c>
      <c r="L10" s="55">
        <f>BINOMDIST(0,$F$5,L9,0)+$F$3*BINOMDIST(1,$F$5,L9,0)</f>
        <v>0.78947461699388155</v>
      </c>
    </row>
    <row r="11" spans="1:12" x14ac:dyDescent="0.25">
      <c r="A11" s="27" t="s">
        <v>63</v>
      </c>
      <c r="B11" s="2" t="s">
        <v>11</v>
      </c>
      <c r="C11" s="3"/>
      <c r="D11" s="4" t="s">
        <v>25</v>
      </c>
      <c r="E11" s="52" t="s">
        <v>9</v>
      </c>
      <c r="F11" s="43">
        <f>F10^$F$6</f>
        <v>1.0597371977422421E-92</v>
      </c>
      <c r="G11" s="43"/>
      <c r="H11" s="43">
        <f>H10^$F$6</f>
        <v>1.8566343908596718E-22</v>
      </c>
      <c r="I11" s="26" t="s">
        <v>15</v>
      </c>
      <c r="J11" s="7"/>
      <c r="K11" s="52" t="s">
        <v>9</v>
      </c>
      <c r="L11" s="55">
        <f>L10^$F$6</f>
        <v>2.2376290718407823E-10</v>
      </c>
    </row>
    <row r="12" spans="1:12" x14ac:dyDescent="0.25">
      <c r="A12" s="15" t="s">
        <v>2</v>
      </c>
      <c r="B12" s="11">
        <v>3</v>
      </c>
      <c r="C12" s="6"/>
      <c r="D12" s="6"/>
      <c r="E12" s="57" t="s">
        <v>19</v>
      </c>
      <c r="F12" s="43">
        <f>IF($F$3=1,1-F10,BINOMDIST(3,$F$5,F9,0))</f>
        <v>0.20352715384356729</v>
      </c>
      <c r="G12" s="43"/>
      <c r="H12" s="43">
        <f>IF($F$3=1,1-H10,BINOMDIST(3,$F$5,H9,0))</f>
        <v>1.2596782965095641E-2</v>
      </c>
      <c r="I12" s="15"/>
      <c r="J12" s="7"/>
      <c r="K12" s="57" t="s">
        <v>19</v>
      </c>
      <c r="L12" s="55">
        <f>IF($F$3=1,1-L10,BINOMDIST(3,$F$5,L9,0))</f>
        <v>1.4395591383876882E-3</v>
      </c>
    </row>
    <row r="13" spans="1:12" x14ac:dyDescent="0.25">
      <c r="A13" s="15" t="s">
        <v>3</v>
      </c>
      <c r="B13" s="32">
        <f>B12</f>
        <v>3</v>
      </c>
      <c r="C13" s="6"/>
      <c r="D13" s="7"/>
      <c r="E13" s="64" t="s">
        <v>64</v>
      </c>
      <c r="F13" s="10">
        <f>(F10+F12)^($F$6-1)/F10^$F$6</f>
        <v>3.0926996367442413E+44</v>
      </c>
      <c r="G13" s="65"/>
      <c r="H13" s="10">
        <f>(H10+H12)^($F$6-1)/H10^$F$6</f>
        <v>12.257635863769124</v>
      </c>
      <c r="I13" s="15"/>
      <c r="J13" s="7"/>
      <c r="K13" s="64" t="s">
        <v>65</v>
      </c>
      <c r="L13" s="20">
        <f>1/L10/(1-L12)^$F$6</f>
        <v>1.4503481755222334</v>
      </c>
    </row>
    <row r="14" spans="1:12" ht="15.75" thickBot="1" x14ac:dyDescent="0.3">
      <c r="A14" s="15" t="s">
        <v>30</v>
      </c>
      <c r="B14" s="11">
        <v>1</v>
      </c>
      <c r="C14" s="6"/>
      <c r="D14" s="7"/>
      <c r="E14" s="58" t="s">
        <v>28</v>
      </c>
      <c r="F14" s="59">
        <f>1/F11</f>
        <v>9.4363017749163526E+91</v>
      </c>
      <c r="G14" s="60"/>
      <c r="H14" s="59">
        <f>1/H11</f>
        <v>5.3860900397141354E+21</v>
      </c>
      <c r="I14" s="15"/>
      <c r="J14" s="7"/>
      <c r="K14" s="58" t="s">
        <v>29</v>
      </c>
      <c r="L14" s="61">
        <f>1/L11</f>
        <v>4469015944.5298567</v>
      </c>
    </row>
    <row r="15" spans="1:12" ht="15.75" thickTop="1" x14ac:dyDescent="0.25">
      <c r="A15" s="15" t="s">
        <v>8</v>
      </c>
      <c r="B15" s="6">
        <f>(B12+1)*(B13+1)</f>
        <v>16</v>
      </c>
      <c r="C15" s="6"/>
      <c r="D15" s="7"/>
      <c r="E15" s="5"/>
      <c r="F15" s="11" t="s">
        <v>17</v>
      </c>
      <c r="H15" s="16"/>
      <c r="I15" s="15"/>
      <c r="J15" s="7"/>
      <c r="K15" s="24" t="s">
        <v>17</v>
      </c>
      <c r="L15" s="17"/>
    </row>
    <row r="16" spans="1:12" x14ac:dyDescent="0.25">
      <c r="A16" s="15" t="s">
        <v>16</v>
      </c>
      <c r="B16" s="6">
        <f>CEILING(B4/(B12*B13),1)</f>
        <v>114</v>
      </c>
      <c r="C16" s="6"/>
      <c r="D16" s="7"/>
      <c r="E16" s="5"/>
      <c r="F16" s="11" t="s">
        <v>11</v>
      </c>
      <c r="G16" s="6"/>
      <c r="H16" s="16" t="s">
        <v>25</v>
      </c>
      <c r="I16" s="15"/>
      <c r="J16" s="7"/>
      <c r="K16" s="6"/>
      <c r="L16" s="17"/>
    </row>
    <row r="17" spans="1:12" x14ac:dyDescent="0.25">
      <c r="A17" s="15" t="s">
        <v>4</v>
      </c>
      <c r="B17" s="8">
        <f>B12*B13/(B12+1)/(B13+1)</f>
        <v>0.5625</v>
      </c>
      <c r="C17" s="6"/>
      <c r="D17" s="7"/>
      <c r="E17" s="5" t="s">
        <v>4</v>
      </c>
      <c r="F17" s="8">
        <f>F4/(F5+1)</f>
        <v>0.6875</v>
      </c>
      <c r="G17" s="6"/>
      <c r="H17" s="17"/>
      <c r="K17" s="5"/>
      <c r="L17" s="17"/>
    </row>
    <row r="18" spans="1:12" x14ac:dyDescent="0.25">
      <c r="A18" s="15" t="s">
        <v>6</v>
      </c>
      <c r="B18" s="8">
        <f>$B$3*B17</f>
        <v>1.7787811838447134</v>
      </c>
      <c r="C18" s="6"/>
      <c r="D18" s="7"/>
      <c r="E18" s="52" t="s">
        <v>6</v>
      </c>
      <c r="F18" s="53">
        <f>$B$3*F17</f>
        <v>2.1740658913657609</v>
      </c>
      <c r="G18" s="50"/>
      <c r="H18" s="54"/>
      <c r="K18" s="5"/>
      <c r="L18" s="17"/>
    </row>
    <row r="19" spans="1:12" x14ac:dyDescent="0.25">
      <c r="A19" s="40" t="s">
        <v>7</v>
      </c>
      <c r="B19" s="43">
        <f>$B$6*(1/(4*(B18/$B$5)))^$B$5</f>
        <v>0.23703703703703707</v>
      </c>
      <c r="C19" s="50"/>
      <c r="D19" s="51">
        <f>$B$6*(1/(4*(B18)))^$B$5</f>
        <v>5.9259259259259268E-2</v>
      </c>
      <c r="E19" s="52" t="s">
        <v>7</v>
      </c>
      <c r="F19" s="43">
        <f>$B$6*(1/(4*($F18/$B$5)))^$B$5</f>
        <v>0.15867768595041321</v>
      </c>
      <c r="G19" s="50"/>
      <c r="H19" s="55">
        <f>$B$6*(1/(4*($F18)))^$B$5</f>
        <v>3.9669421487603301E-2</v>
      </c>
      <c r="I19" s="40" t="s">
        <v>7</v>
      </c>
      <c r="J19" s="43">
        <f>1/2*ERFC(($B$3*$B17)^0.5)</f>
        <v>2.9637362321840669E-2</v>
      </c>
      <c r="K19" s="52" t="s">
        <v>7</v>
      </c>
      <c r="L19" s="55">
        <f>1/2*ERFC(($B$3*$F17)^0.5)</f>
        <v>1.8524783650275673E-2</v>
      </c>
    </row>
    <row r="20" spans="1:12" x14ac:dyDescent="0.25">
      <c r="A20" s="40" t="s">
        <v>18</v>
      </c>
      <c r="B20" s="43">
        <f>BINOMDIST(0,$B$15,B19,0)+$B$14*BINOMDIST(1,$B$15,B19,0)</f>
        <v>7.872146912368734E-2</v>
      </c>
      <c r="C20" s="50"/>
      <c r="D20" s="43">
        <f>BINOMDIST(0,$B$15,D19,0)+$B$14*BINOMDIST(1,$B$15,D19,0)</f>
        <v>0.75553693298514379</v>
      </c>
      <c r="E20" s="52" t="s">
        <v>18</v>
      </c>
      <c r="F20" s="43">
        <f>BINOMDIST(0,$F$5+1,F19,0)+$F$3*BINOMDIST(1,$F$5+1,F19,0)</f>
        <v>6.3008410362379363E-2</v>
      </c>
      <c r="G20" s="50"/>
      <c r="H20" s="55">
        <f>BINOMDIST(0,$F$5+1,H19,0)+$F$3*BINOMDIST(1,$F$5+1,H19,0)</f>
        <v>0.52327757537010078</v>
      </c>
      <c r="I20" s="50" t="s">
        <v>18</v>
      </c>
      <c r="J20" s="43">
        <f>BINOMDIST(0,$B$15,J19,0)+$B$14*BINOMDIST(1,$B$15,J19,0)</f>
        <v>0.91991290382695157</v>
      </c>
      <c r="K20" s="52" t="s">
        <v>18</v>
      </c>
      <c r="L20" s="55">
        <f>BINOMDIST(0,$F$5+1,L19,0)+$F$3*BINOMDIST(1,$F$5+1,L19,0)</f>
        <v>0.74142871221730888</v>
      </c>
    </row>
    <row r="21" spans="1:12" x14ac:dyDescent="0.25">
      <c r="A21" s="40" t="s">
        <v>9</v>
      </c>
      <c r="B21" s="43">
        <f>B20^$B$16</f>
        <v>1.4276564420537169E-126</v>
      </c>
      <c r="C21" s="50"/>
      <c r="D21" s="51">
        <f>D20^$B$16</f>
        <v>1.321751065779717E-14</v>
      </c>
      <c r="E21" s="52" t="s">
        <v>9</v>
      </c>
      <c r="F21" s="43">
        <f>F20^$F$6</f>
        <v>1.3914293413461388E-113</v>
      </c>
      <c r="G21" s="50"/>
      <c r="H21" s="55">
        <f>H20^$F$6</f>
        <v>3.6376393379448615E-27</v>
      </c>
      <c r="I21" s="50" t="s">
        <v>9</v>
      </c>
      <c r="J21" s="43">
        <f>J20^$B$16</f>
        <v>7.3641908757553212E-5</v>
      </c>
      <c r="K21" s="52" t="s">
        <v>9</v>
      </c>
      <c r="L21" s="55">
        <f>L20^$F$6</f>
        <v>6.1167908125158878E-13</v>
      </c>
    </row>
    <row r="22" spans="1:12" x14ac:dyDescent="0.25">
      <c r="A22" s="40" t="s">
        <v>19</v>
      </c>
      <c r="B22" s="43">
        <f>$B12*($B12+1)*$B13*($B13+1)/4*(B19^4*(1-B19)^($B15-4)+$B$14*4*B19^3*(1-B19)^($B15-3))</f>
        <v>6.1353848045036678E-2</v>
      </c>
      <c r="C22" s="50"/>
      <c r="D22" s="43">
        <f>$B12*($B12+1)*$B13*($B13+1)/4*(D19^4*(1-D19)^($B15-4)+$B$14*4*D19^3*(1-D19)^($B15-3))</f>
        <v>1.3757088113436369E-2</v>
      </c>
      <c r="E22" s="57" t="s">
        <v>19</v>
      </c>
      <c r="F22" s="43">
        <f>BINOMDIST(4,$F$5+1,F19,0)+$F$3*BINOMDIST(3,$F$5+1,F19,0)</f>
        <v>0.14510544645204432</v>
      </c>
      <c r="G22" s="50"/>
      <c r="H22" s="55">
        <f>BINOMDIST(4,$F$5+1,H19,0)+$F$3*BINOMDIST(3,$F$5+1,H19,0)</f>
        <v>2.7729621974477308E-3</v>
      </c>
      <c r="I22" s="50" t="s">
        <v>19</v>
      </c>
      <c r="J22" s="43">
        <f>$B12*($B12+1)*$B13*($B13+1)/4*(J19^4*(1-J19)^($B15-4)+$B$14*4*J19^3*(1-J19)^($B15-3))</f>
        <v>2.5546271500032627E-3</v>
      </c>
      <c r="K22" s="52" t="s">
        <v>20</v>
      </c>
      <c r="L22" s="55">
        <f>BINOMDIST(4,$F$5+1,L19,0)+$F$3*BINOMDIST(3,$F$5+1,L19,0)</f>
        <v>1.7125214367606811E-4</v>
      </c>
    </row>
    <row r="23" spans="1:12" x14ac:dyDescent="0.25">
      <c r="A23" s="67" t="s">
        <v>64</v>
      </c>
      <c r="B23" s="10">
        <f>(B20+B22)^($B$16-1)/B20^$B$16</f>
        <v>2.422360239339567E+29</v>
      </c>
      <c r="C23" s="65"/>
      <c r="D23" s="10">
        <f>(D20+D22)^($B$16-1)/D20^$B$16</f>
        <v>10.169197638411218</v>
      </c>
      <c r="E23" s="64" t="s">
        <v>64</v>
      </c>
      <c r="F23" s="10">
        <f>(F20+F22)^($F$6-1)/F20^$F$6</f>
        <v>2.8742969408732123E+49</v>
      </c>
      <c r="G23" s="65"/>
      <c r="H23" s="10">
        <f>(H20+H22)^($F$6-1)/H20^$F$6</f>
        <v>3.1241721389387278</v>
      </c>
      <c r="I23" s="66" t="s">
        <v>64</v>
      </c>
      <c r="J23" s="10">
        <f>(J20+J22)^($B$16-1)/J20^$B$16</f>
        <v>1.4871267905616388</v>
      </c>
      <c r="K23" s="64" t="s">
        <v>64</v>
      </c>
      <c r="L23" s="20">
        <f>(L20+L22)^($B$16-1)/L20^$B$16</f>
        <v>1.3844092602771001</v>
      </c>
    </row>
    <row r="24" spans="1:12" ht="15.75" thickBot="1" x14ac:dyDescent="0.3">
      <c r="A24" s="21" t="s">
        <v>28</v>
      </c>
      <c r="B24" s="30">
        <f>1/B21</f>
        <v>7.0044863073743199E+125</v>
      </c>
      <c r="C24" s="21"/>
      <c r="D24" s="31">
        <f>1/D21</f>
        <v>75657211549898.609</v>
      </c>
      <c r="E24" s="58" t="s">
        <v>28</v>
      </c>
      <c r="F24" s="59">
        <f>1/F21</f>
        <v>7.186854339527939E+112</v>
      </c>
      <c r="G24" s="60"/>
      <c r="H24" s="61">
        <f>1/H21</f>
        <v>2.7490355890118697E+26</v>
      </c>
      <c r="I24" s="60" t="s">
        <v>28</v>
      </c>
      <c r="J24" s="59">
        <f>1/J21</f>
        <v>13579.224342109861</v>
      </c>
      <c r="K24" s="58" t="s">
        <v>28</v>
      </c>
      <c r="L24" s="61">
        <f>1/L21</f>
        <v>1634844202868.3528</v>
      </c>
    </row>
    <row r="25" spans="1:12" ht="15.75" thickTop="1" x14ac:dyDescent="0.25"/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2"/>
  <sheetViews>
    <sheetView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 activeCell="C4" sqref="C4"/>
    </sheetView>
  </sheetViews>
  <sheetFormatPr defaultRowHeight="15" x14ac:dyDescent="0.25"/>
  <cols>
    <col min="2" max="2" width="9.140625" customWidth="1"/>
    <col min="7" max="7" width="9.140625" customWidth="1"/>
    <col min="11" max="11" width="9.140625" customWidth="1"/>
    <col min="14" max="14" width="9.140625" customWidth="1"/>
  </cols>
  <sheetData>
    <row r="1" spans="1:37" ht="15.75" thickTop="1" x14ac:dyDescent="0.25">
      <c r="A1" s="28" t="s">
        <v>24</v>
      </c>
      <c r="B1" t="s">
        <v>60</v>
      </c>
      <c r="C1" s="11">
        <v>0.4</v>
      </c>
      <c r="D1" s="6"/>
      <c r="E1" s="6" t="s">
        <v>31</v>
      </c>
      <c r="F1" s="6"/>
      <c r="G1" s="6"/>
      <c r="H1" s="6" t="s">
        <v>32</v>
      </c>
      <c r="J1" s="6"/>
      <c r="K1" t="s">
        <v>38</v>
      </c>
      <c r="O1" t="s">
        <v>41</v>
      </c>
      <c r="S1" t="s">
        <v>51</v>
      </c>
      <c r="W1" t="s">
        <v>52</v>
      </c>
      <c r="AA1" t="s">
        <v>43</v>
      </c>
      <c r="AE1" t="s">
        <v>61</v>
      </c>
    </row>
    <row r="2" spans="1:37" x14ac:dyDescent="0.25">
      <c r="A2" s="33"/>
      <c r="C2" s="6" t="s">
        <v>0</v>
      </c>
      <c r="D2" s="6" t="s">
        <v>1</v>
      </c>
      <c r="E2" s="6" t="s">
        <v>7</v>
      </c>
      <c r="F2" s="19" t="s">
        <v>54</v>
      </c>
      <c r="G2" s="19" t="s">
        <v>28</v>
      </c>
      <c r="H2" s="6" t="s">
        <v>7</v>
      </c>
      <c r="I2" s="19" t="s">
        <v>54</v>
      </c>
      <c r="J2" s="19" t="s">
        <v>28</v>
      </c>
      <c r="K2" s="6" t="s">
        <v>7</v>
      </c>
      <c r="L2" s="19" t="s">
        <v>55</v>
      </c>
      <c r="M2" s="19" t="s">
        <v>56</v>
      </c>
      <c r="N2" s="19" t="s">
        <v>28</v>
      </c>
      <c r="O2" s="6" t="s">
        <v>7</v>
      </c>
      <c r="P2" s="19" t="s">
        <v>55</v>
      </c>
      <c r="Q2" s="19" t="s">
        <v>56</v>
      </c>
      <c r="R2" s="19" t="s">
        <v>28</v>
      </c>
      <c r="S2" s="6" t="s">
        <v>7</v>
      </c>
      <c r="T2" s="19" t="s">
        <v>55</v>
      </c>
      <c r="U2" s="35" t="s">
        <v>53</v>
      </c>
      <c r="V2" s="19" t="s">
        <v>28</v>
      </c>
      <c r="W2" s="6" t="s">
        <v>7</v>
      </c>
      <c r="X2" s="19" t="s">
        <v>55</v>
      </c>
      <c r="Y2" s="35" t="s">
        <v>53</v>
      </c>
      <c r="Z2" s="19" t="s">
        <v>28</v>
      </c>
      <c r="AA2" s="6" t="s">
        <v>7</v>
      </c>
      <c r="AB2" s="19" t="s">
        <v>55</v>
      </c>
      <c r="AC2" s="19" t="s">
        <v>56</v>
      </c>
      <c r="AD2" s="19" t="s">
        <v>28</v>
      </c>
      <c r="AE2" s="6" t="s">
        <v>7</v>
      </c>
      <c r="AF2" s="19" t="s">
        <v>55</v>
      </c>
      <c r="AG2" s="19" t="s">
        <v>56</v>
      </c>
      <c r="AH2" s="19" t="s">
        <v>28</v>
      </c>
    </row>
    <row r="3" spans="1:37" x14ac:dyDescent="0.25">
      <c r="A3" s="15" t="s">
        <v>36</v>
      </c>
      <c r="B3" s="11">
        <v>1024</v>
      </c>
      <c r="C3" s="11">
        <v>4</v>
      </c>
      <c r="D3" s="8">
        <f>10^(C3/10)</f>
        <v>2.5118864315095806</v>
      </c>
      <c r="E3" s="9">
        <f>MIN(0.99,Co*(1/(4*($D3/L)))^L)</f>
        <v>0.11886698943458349</v>
      </c>
      <c r="F3" s="43">
        <f t="shared" ref="F3:F18" si="0">(1-E3)^B</f>
        <v>5.2779732022553121E-57</v>
      </c>
      <c r="G3" s="18">
        <f>1/F3</f>
        <v>1.8946666867741836E+56</v>
      </c>
      <c r="H3" s="9">
        <f>MIN(0.99,Co*(1/(4*($D3)))^L)</f>
        <v>2.9716747358645872E-2</v>
      </c>
      <c r="I3" s="43">
        <f t="shared" ref="I3:I18" si="1">(1-H3)^B</f>
        <v>3.8379582985216156E-14</v>
      </c>
      <c r="J3" s="18">
        <f>1/I3</f>
        <v>26055520206803.727</v>
      </c>
      <c r="K3" s="9">
        <f>MIN(0.99,Co*(1/(Rch*4*($D3/L)))^L)</f>
        <v>0.22103365803951475</v>
      </c>
      <c r="L3" s="1">
        <f>BINOMDIST(0,nh,K3,0)+th*BINOMDIST(1,nh,K3,0)</f>
        <v>2.3592849230734632E-2</v>
      </c>
      <c r="M3" s="1">
        <f>IF(th=1,1-L3,BINOMDIST(3,nh,K3,0))</f>
        <v>0.24525108879476762</v>
      </c>
      <c r="N3" s="44">
        <f t="shared" ref="N3:N18" si="2">(L3+M3)^(Nbh-1)/L3^Nbh</f>
        <v>7.9830015059840751E+99</v>
      </c>
      <c r="O3" s="9">
        <f>MIN(0.99,Co*(1/(Rch*4*($D3)))^L)</f>
        <v>5.5258414509878687E-2</v>
      </c>
      <c r="P3" s="1">
        <f>BINOMDIST(0,nh,O3,0)+th*BINOMDIST(1,nh,O3,0)</f>
        <v>0.42628052038325787</v>
      </c>
      <c r="Q3" s="1">
        <f>IF(th=1,1-P3,BINOMDIST(3,nh,O3,0))</f>
        <v>3.8811733983149271E-2</v>
      </c>
      <c r="R3" s="44">
        <f t="shared" ref="R3:R18" si="3">(P3+Q3)^(Nbh-1)/P3^Nbh</f>
        <v>7758.2028884501142</v>
      </c>
      <c r="S3" s="9">
        <f>MIN(0.99,Co*(1/(Rcp*4*($D3/L)))^L)</f>
        <v>0.37567838636115269</v>
      </c>
      <c r="T3" s="1">
        <f>BINOMDIST(0,np,S3,0)+tp*BINOMDIST(1,np,S3,0)</f>
        <v>5.6621058868608493E-3</v>
      </c>
      <c r="U3" s="1">
        <f t="shared" ref="U3" si="4">Rp*(Rp+1)/2*Cp*(Cp+1)/2*(S3^4*(1-S3)^(np-4)+tp*4*S3^3*(1-S3)^(np-3))</f>
        <v>1.9230115108866644E-2</v>
      </c>
      <c r="V3" s="10">
        <f t="shared" ref="V3:V18" si="5">(T3+U3)^(Nbp-1)/T3^Nbp</f>
        <v>8.2357229739783337E+74</v>
      </c>
      <c r="W3" s="9">
        <f>MIN(0.99,Co*(1/(Rcp*4*($D3)))^L)</f>
        <v>9.3919596590288174E-2</v>
      </c>
      <c r="X3" s="1">
        <f>BINOMDIST(0,np,W3,0)+tp*BINOMDIST(1,np,W3,0)</f>
        <v>0.54865673678073512</v>
      </c>
      <c r="Y3" s="1">
        <f t="shared" ref="Y3:Y18" si="6">Rp*(Rp+1)/2*Cp*(Cp+1)/2*(W3^4*(1-W3)^(np-4)+tp*4*W3^3*(1-W3)^(np-3))</f>
        <v>3.3955456060461846E-2</v>
      </c>
      <c r="Z3" s="10">
        <f t="shared" ref="Z3:Z18" si="7">(X3+Y3)^(Nbp-1)/X3^Nbp</f>
        <v>1612.9083359048357</v>
      </c>
      <c r="AA3" s="9">
        <f>MIN(0.99,Co*(1/(Rche*4*($D3/L)))^L)</f>
        <v>0.25148718425829231</v>
      </c>
      <c r="AB3" s="1">
        <f>BINOMDIST(0,nhe,AA3,0)+th*BINOMDIST(1,nhe,AA3,0)</f>
        <v>9.7092984075954E-3</v>
      </c>
      <c r="AC3" s="1">
        <f>BINOMDIST(4,nhe,AA3,0)+th*BINOMDIST(3,nhe,AA3,0)</f>
        <v>0.22517787079484566</v>
      </c>
      <c r="AD3" s="18">
        <f t="shared" ref="AD3:AD18" si="8">(AB3+AC3)^(Nbh-1)/AB3^Nbh</f>
        <v>4.9460275433725928E+130</v>
      </c>
      <c r="AE3" s="9">
        <f>MIN(0.99,Co*(1/(Rche*4*($D3)))^L)</f>
        <v>6.2871796064573077E-2</v>
      </c>
      <c r="AF3" s="1">
        <f>BINOMDIST(0,nhe,AE3,0)+th*BINOMDIST(1,nhe,AE3,0)</f>
        <v>0.35382143420678852</v>
      </c>
      <c r="AG3" s="1">
        <f>BINOMDIST(4,nhe,AE3,0)+th*BINOMDIST(3,nhe,AE3,0)</f>
        <v>1.3046167800685954E-2</v>
      </c>
      <c r="AH3" s="18">
        <f t="shared" ref="AH3:AH18" si="9">(AF3+AG3)^(Nbh-1)/AF3^Nbh</f>
        <v>81.971248169248895</v>
      </c>
    </row>
    <row r="4" spans="1:37" x14ac:dyDescent="0.25">
      <c r="A4" s="15" t="s">
        <v>35</v>
      </c>
      <c r="B4" s="11">
        <v>2</v>
      </c>
      <c r="C4">
        <f>C3+C$1</f>
        <v>4.4000000000000004</v>
      </c>
      <c r="D4" s="8">
        <f>10^(C4/10)</f>
        <v>2.7542287033381672</v>
      </c>
      <c r="E4" s="9">
        <f>MIN(0.99,Co*(1/(4*($D4/L)))^L)</f>
        <v>9.8869255391730484E-2</v>
      </c>
      <c r="F4" s="43">
        <f t="shared" si="0"/>
        <v>5.0432963705263226E-47</v>
      </c>
      <c r="G4" s="18">
        <f>1/F4</f>
        <v>1.9828301303967174E+46</v>
      </c>
      <c r="H4" s="9">
        <f>MIN(0.99,Co*(1/(4*($D4)))^L)</f>
        <v>2.4717313847932621E-2</v>
      </c>
      <c r="I4" s="43">
        <f t="shared" si="1"/>
        <v>7.407075202509275E-12</v>
      </c>
      <c r="J4" s="18">
        <f>1/I4</f>
        <v>135006054705.80786</v>
      </c>
      <c r="K4" s="9">
        <f>MIN(0.99,Co*(1/(Rch*4*($D4/L)))^L)</f>
        <v>0.18384778895156495</v>
      </c>
      <c r="L4" s="1">
        <f>BINOMDIST(0,nh,K4,0)+th*BINOMDIST(1,nh,K4,0)</f>
        <v>4.7486200592843343E-2</v>
      </c>
      <c r="M4" s="1">
        <f>IF(th=1,1-L4,BINOMDIST(3,nh,K4,0))</f>
        <v>0.24696793384477275</v>
      </c>
      <c r="N4" s="44">
        <f t="shared" si="2"/>
        <v>1.050278148390333E+75</v>
      </c>
      <c r="O4" s="9">
        <f>MIN(0.99,Co*(1/(Rch*4*($D4)))^L)</f>
        <v>4.5961947237891237E-2</v>
      </c>
      <c r="P4" s="1">
        <f>BINOMDIST(0,nh,O4,0)+th*BINOMDIST(1,nh,O4,0)</f>
        <v>0.49372538801351074</v>
      </c>
      <c r="Q4" s="1">
        <f>IF(th=1,1-P4,BINOMDIST(3,nh,O4,0))</f>
        <v>2.5118576517075285E-2</v>
      </c>
      <c r="R4" s="44">
        <f t="shared" si="3"/>
        <v>204.54379577021928</v>
      </c>
      <c r="S4" s="9">
        <f>MIN(0.99,Co*(1/(Rcp*4*($D4/L)))^L)</f>
        <v>0.31247567136151855</v>
      </c>
      <c r="T4" s="1">
        <f>BINOMDIST(0,np,S4,0)+tp*BINOMDIST(1,np,S4,0)</f>
        <v>2.0616484070464146E-2</v>
      </c>
      <c r="U4" s="1">
        <f t="shared" ref="U4:U18" si="10">Rp*(Rp+1)/2*Cp*(Cp+1)/2*(S4^4*(1-S4)^(np-4)+tp*4*S4^3*(1-S4)^(np-3))</f>
        <v>3.7522729758106409E-2</v>
      </c>
      <c r="V4" s="10">
        <f t="shared" si="5"/>
        <v>3.669017460069485E+52</v>
      </c>
      <c r="W4" s="9">
        <f>MIN(0.99,Co*(1/(Rcp*4*($D4)))^L)</f>
        <v>7.8118917840379637E-2</v>
      </c>
      <c r="X4" s="1">
        <f>BINOMDIST(0,np,W4,0)+tp*BINOMDIST(1,np,W4,0)</f>
        <v>0.64112118384081707</v>
      </c>
      <c r="Y4" s="1">
        <f t="shared" si="6"/>
        <v>2.4350571847540831E-2</v>
      </c>
      <c r="Z4" s="10">
        <f t="shared" si="7"/>
        <v>105.31092877814301</v>
      </c>
      <c r="AA4" s="9">
        <f>MIN(0.99,Co*(1/(Rche*4*($D4/L)))^L)</f>
        <v>0.20917792876266941</v>
      </c>
      <c r="AB4" s="1">
        <f>BINOMDIST(0,nhe,AA4,0)+th*BINOMDIST(1,nhe,AA4,0)</f>
        <v>2.3402405821619211E-2</v>
      </c>
      <c r="AC4" s="1">
        <f>BINOMDIST(4,nhe,AA4,0)+th*BINOMDIST(3,nhe,AA4,0)</f>
        <v>0.20848758616259841</v>
      </c>
      <c r="AD4" s="18">
        <f t="shared" si="8"/>
        <v>1.8227996462118348E+94</v>
      </c>
      <c r="AE4" s="9">
        <f>MIN(0.99,Co*(1/(Rche*4*($D4)))^L)</f>
        <v>5.2294482190667353E-2</v>
      </c>
      <c r="AF4" s="1">
        <f>BINOMDIST(0,nhe,AE4,0)+th*BINOMDIST(1,nhe,AE4,0)</f>
        <v>0.42342310005466893</v>
      </c>
      <c r="AG4" s="1">
        <f>BINOMDIST(4,nhe,AE4,0)+th*BINOMDIST(3,nhe,AE4,0)</f>
        <v>7.1445645905315507E-3</v>
      </c>
      <c r="AH4" s="18">
        <f t="shared" si="9"/>
        <v>11.195507992073001</v>
      </c>
    </row>
    <row r="5" spans="1:37" x14ac:dyDescent="0.25">
      <c r="A5" s="15" t="s">
        <v>34</v>
      </c>
      <c r="B5" s="6">
        <f>FACT(2*B4-1)/FACT(B4)/FACT(B4-1)</f>
        <v>3</v>
      </c>
      <c r="C5">
        <f t="shared" ref="C5:C17" si="11">C4+C$1</f>
        <v>4.8000000000000007</v>
      </c>
      <c r="D5" s="8">
        <f t="shared" ref="D5:D17" si="12">10^(C5/10)</f>
        <v>3.019951720402017</v>
      </c>
      <c r="E5" s="9">
        <f>MIN(0.99,Co*(1/(4*($D5/L)))^L)</f>
        <v>8.2235864710738821E-2</v>
      </c>
      <c r="F5" s="43">
        <f t="shared" si="0"/>
        <v>6.8648041178842195E-39</v>
      </c>
      <c r="G5" s="18">
        <f t="shared" ref="G5:G17" si="13">1/F5</f>
        <v>1.4567058037312316E+38</v>
      </c>
      <c r="H5" s="9">
        <f>MIN(0.99,Co*(1/(4*($D5)))^L)</f>
        <v>2.0558966177684705E-2</v>
      </c>
      <c r="I5" s="43">
        <f t="shared" si="1"/>
        <v>5.7779525403561429E-10</v>
      </c>
      <c r="J5" s="18">
        <f t="shared" ref="J5:J17" si="14">1/I5</f>
        <v>1730716881.1365173</v>
      </c>
      <c r="K5" s="9">
        <f>MIN(0.99,Co*(1/(Rch*4*($D5/L)))^L)</f>
        <v>0.15291793024724165</v>
      </c>
      <c r="L5" s="1">
        <f>BINOMDIST(0,nh,K5,0)+th*BINOMDIST(1,nh,K5,0)</f>
        <v>8.2962596619798754E-2</v>
      </c>
      <c r="M5" s="1">
        <f>IF(th=1,1-L5,BINOMDIST(3,nh,K5,0))</f>
        <v>0.22207133295236253</v>
      </c>
      <c r="N5" s="44">
        <f t="shared" si="2"/>
        <v>4.6713056132143466E+53</v>
      </c>
      <c r="O5" s="9">
        <f>MIN(0.99,Co*(1/(Rch*4*($D5)))^L)</f>
        <v>3.8229482561810413E-2</v>
      </c>
      <c r="P5" s="1">
        <f>BINOMDIST(0,nh,O5,0)+th*BINOMDIST(1,nh,O5,0)</f>
        <v>0.55727799955816426</v>
      </c>
      <c r="Q5" s="1">
        <f>IF(th=1,1-P5,BINOMDIST(3,nh,O5,0))</f>
        <v>1.5924440216482635E-2</v>
      </c>
      <c r="R5" s="44">
        <f t="shared" si="3"/>
        <v>24.654056577572188</v>
      </c>
      <c r="S5" s="9">
        <f>MIN(0.99,Co*(1/(Rcp*4*($D5/L)))^L)</f>
        <v>0.25990594278949558</v>
      </c>
      <c r="T5" s="1">
        <f>BINOMDIST(0,np,S5,0)+tp*BINOMDIST(1,np,S5,0)</f>
        <v>5.3625921677811675E-2</v>
      </c>
      <c r="U5" s="1">
        <f t="shared" si="10"/>
        <v>5.4965231460263518E-2</v>
      </c>
      <c r="V5" s="10">
        <f t="shared" si="5"/>
        <v>7.8713378208105403E+35</v>
      </c>
      <c r="W5" s="9">
        <f>MIN(0.99,Co*(1/(Rcp*4*($D5)))^L)</f>
        <v>6.4976485697373895E-2</v>
      </c>
      <c r="X5" s="1">
        <f>BINOMDIST(0,np,W5,0)+tp*BINOMDIST(1,np,W5,0)</f>
        <v>0.72082115586841478</v>
      </c>
      <c r="Y5" s="1">
        <f t="shared" si="6"/>
        <v>1.6780475479422016E-2</v>
      </c>
      <c r="Z5" s="10">
        <f t="shared" si="7"/>
        <v>18.686731639348604</v>
      </c>
      <c r="AA5" s="9">
        <f>MIN(0.99,Co*(1/(Rche*4*($D5/L)))^L)</f>
        <v>0.17398662285908378</v>
      </c>
      <c r="AB5" s="1">
        <f>BINOMDIST(0,nhe,AA5,0)+th*BINOMDIST(1,nhe,AA5,0)</f>
        <v>4.6967050885748811E-2</v>
      </c>
      <c r="AC5" s="1">
        <f>BINOMDIST(4,nhe,AA5,0)+th*BINOMDIST(3,nhe,AA5,0)</f>
        <v>0.16825957589784238</v>
      </c>
      <c r="AD5" s="18">
        <f t="shared" si="8"/>
        <v>6.4678292198159354E+62</v>
      </c>
      <c r="AE5" s="9">
        <f>MIN(0.99,Co*(1/(Rche*4*($D5)))^L)</f>
        <v>4.3496655714770946E-2</v>
      </c>
      <c r="AF5" s="1">
        <f>BINOMDIST(0,nhe,AE5,0)+th*BINOMDIST(1,nhe,AE5,0)</f>
        <v>0.49088966088774266</v>
      </c>
      <c r="AG5" s="1">
        <f>BINOMDIST(4,nhe,AE5,0)+th*BINOMDIST(3,nhe,AE5,0)</f>
        <v>3.8206105452129138E-3</v>
      </c>
      <c r="AH5" s="18">
        <f t="shared" si="9"/>
        <v>4.1893925837364749</v>
      </c>
    </row>
    <row r="6" spans="1:37" x14ac:dyDescent="0.25">
      <c r="A6" s="29" t="s">
        <v>33</v>
      </c>
      <c r="B6" s="37">
        <v>4</v>
      </c>
      <c r="C6">
        <f t="shared" si="11"/>
        <v>5.2000000000000011</v>
      </c>
      <c r="D6" s="8">
        <f t="shared" si="12"/>
        <v>3.3113112148259121</v>
      </c>
      <c r="E6" s="9">
        <f>MIN(0.99,Co*(1/(4*($D6/L)))^L)</f>
        <v>6.8400812951693202E-2</v>
      </c>
      <c r="F6" s="43">
        <f t="shared" si="0"/>
        <v>3.0945628013127587E-32</v>
      </c>
      <c r="G6" s="18">
        <f t="shared" si="13"/>
        <v>3.2314742475925371E+31</v>
      </c>
      <c r="H6" s="9">
        <f>MIN(0.99,Co*(1/(4*($D6)))^L)</f>
        <v>1.71002032379233E-2</v>
      </c>
      <c r="I6" s="43">
        <f t="shared" si="1"/>
        <v>2.1353405800357514E-8</v>
      </c>
      <c r="J6" s="18">
        <f t="shared" si="14"/>
        <v>46830936.91701664</v>
      </c>
      <c r="K6" s="9">
        <f>MIN(0.99,Co*(1/(Rch*4*($D6/L)))^L)</f>
        <v>0.12719159433166091</v>
      </c>
      <c r="L6" s="1">
        <f>BINOMDIST(0,nh,K6,0)+th*BINOMDIST(1,nh,K6,0)</f>
        <v>0.12995224953663007</v>
      </c>
      <c r="M6" s="1">
        <f>IF(th=1,1-L6,BINOMDIST(3,nh,K6,0))</f>
        <v>0.18298423369404027</v>
      </c>
      <c r="N6" s="44">
        <f t="shared" si="2"/>
        <v>2.4085131323037134E+36</v>
      </c>
      <c r="O6" s="9">
        <f>MIN(0.99,Co*(1/(Rch*4*($D6)))^L)</f>
        <v>3.1797898582915228E-2</v>
      </c>
      <c r="P6" s="1">
        <f>BINOMDIST(0,nh,O6,0)+th*BINOMDIST(1,nh,O6,0)</f>
        <v>0.61587179283266402</v>
      </c>
      <c r="Q6" s="1">
        <f>IF(th=1,1-P6,BINOMDIST(3,nh,O6,0))</f>
        <v>9.9265630904702452E-3</v>
      </c>
      <c r="R6" s="44">
        <f t="shared" si="3"/>
        <v>7.183091075887635</v>
      </c>
      <c r="S6" s="9">
        <f>MIN(0.99,Co*(1/(Rcp*4*($D6/L)))^L)</f>
        <v>0.21618034710658579</v>
      </c>
      <c r="T6" s="1">
        <f>BINOMDIST(0,np,S6,0)+tp*BINOMDIST(1,np,S6,0)</f>
        <v>0.10987150758736787</v>
      </c>
      <c r="U6" s="1">
        <f t="shared" si="10"/>
        <v>6.555092388232614E-2</v>
      </c>
      <c r="V6" s="10">
        <f t="shared" si="5"/>
        <v>8.3314335659487465E+23</v>
      </c>
      <c r="W6" s="9">
        <f>MIN(0.99,Co*(1/(Rcp*4*($D6)))^L)</f>
        <v>5.4045086776646448E-2</v>
      </c>
      <c r="X6" s="1">
        <f>BINOMDIST(0,np,W6,0)+tp*BINOMDIST(1,np,W6,0)</f>
        <v>0.78685983265489601</v>
      </c>
      <c r="Y6" s="1">
        <f t="shared" si="6"/>
        <v>1.1197113171026108E-2</v>
      </c>
      <c r="Z6" s="10">
        <f t="shared" si="7"/>
        <v>6.273757969516236</v>
      </c>
      <c r="AA6" s="9">
        <f>MIN(0.99,Co*(1/(Rche*4*($D6/L)))^L)</f>
        <v>0.14471576955068971</v>
      </c>
      <c r="AB6" s="1">
        <f>BINOMDIST(0,nhe,AA6,0)+th*BINOMDIST(1,nhe,AA6,0)</f>
        <v>8.1991236265494802E-2</v>
      </c>
      <c r="AC6" s="1">
        <f>BINOMDIST(4,nhe,AA6,0)+th*BINOMDIST(3,nhe,AA6,0)</f>
        <v>0.1223095582467139</v>
      </c>
      <c r="AD6" s="18">
        <f t="shared" si="8"/>
        <v>9.1406336079549371E+37</v>
      </c>
      <c r="AE6" s="9">
        <f>MIN(0.99,Co*(1/(Rche*4*($D6)))^L)</f>
        <v>3.6178942387672428E-2</v>
      </c>
      <c r="AF6" s="1">
        <f>BINOMDIST(0,nhe,AE6,0)+th*BINOMDIST(1,nhe,AE6,0)</f>
        <v>0.55455237412423763</v>
      </c>
      <c r="AG6" s="1">
        <f>BINOMDIST(4,nhe,AE6,0)+th*BINOMDIST(3,nhe,AE6,0)</f>
        <v>2.0037880529257908E-3</v>
      </c>
      <c r="AH6" s="18">
        <f t="shared" si="9"/>
        <v>2.5219421138128397</v>
      </c>
    </row>
    <row r="7" spans="1:37" x14ac:dyDescent="0.25">
      <c r="A7" s="29" t="s">
        <v>39</v>
      </c>
      <c r="B7">
        <f>2^m-m-1</f>
        <v>11</v>
      </c>
      <c r="C7">
        <f t="shared" si="11"/>
        <v>5.6000000000000014</v>
      </c>
      <c r="D7" s="8">
        <f t="shared" si="12"/>
        <v>3.6307805477010149</v>
      </c>
      <c r="E7" s="9">
        <f>MIN(0.99,Co*(1/(4*($D7/L)))^L)</f>
        <v>5.689331812718873E-2</v>
      </c>
      <c r="F7" s="43">
        <f t="shared" si="0"/>
        <v>8.918289111709726E-27</v>
      </c>
      <c r="G7" s="18">
        <f t="shared" si="13"/>
        <v>1.1212913009144306E+26</v>
      </c>
      <c r="H7" s="9">
        <f>MIN(0.99,Co*(1/(4*($D7)))^L)</f>
        <v>1.4223329531797183E-2</v>
      </c>
      <c r="I7" s="43">
        <f t="shared" si="1"/>
        <v>4.2581477412857709E-7</v>
      </c>
      <c r="J7" s="18">
        <f t="shared" si="14"/>
        <v>2348438.9475364811</v>
      </c>
      <c r="K7" s="9">
        <f>MIN(0.99,Co*(1/(Rch*4*($D7/L)))^L)</f>
        <v>0.10579336015386337</v>
      </c>
      <c r="L7" s="1">
        <f>BINOMDIST(0,nh,K7,0)+th*BINOMDIST(1,nh,K7,0)</f>
        <v>0.18688237957531095</v>
      </c>
      <c r="M7" s="1">
        <f>IF(th=1,1-L7,BINOMDIST(3,nh,K7,0))</f>
        <v>0.14081253418192824</v>
      </c>
      <c r="N7" s="44">
        <f t="shared" si="2"/>
        <v>2.5778447370089122E+23</v>
      </c>
      <c r="O7" s="9">
        <f>MIN(0.99,Co*(1/(Rch*4*($D7)))^L)</f>
        <v>2.6448340038465842E-2</v>
      </c>
      <c r="P7" s="1">
        <f>BINOMDIST(0,nh,O7,0)+th*BINOMDIST(1,nh,O7,0)</f>
        <v>0.66893670116458104</v>
      </c>
      <c r="Q7" s="1">
        <f>IF(th=1,1-P7,BINOMDIST(3,nh,O7,0))</f>
        <v>6.1025967800536381E-3</v>
      </c>
      <c r="R7" s="44">
        <f t="shared" si="3"/>
        <v>3.478643891582379</v>
      </c>
      <c r="S7" s="9">
        <f>MIN(0.99,Co*(1/(Rcp*4*($D7/L)))^L)</f>
        <v>0.17981098074765822</v>
      </c>
      <c r="T7" s="1">
        <f>BINOMDIST(0,np,S7,0)+tp*BINOMDIST(1,np,S7,0)</f>
        <v>0.18905059932981566</v>
      </c>
      <c r="U7" s="1">
        <f t="shared" si="10"/>
        <v>6.7122141967753374E-2</v>
      </c>
      <c r="V7" s="10">
        <f t="shared" si="5"/>
        <v>4308447464338728.5</v>
      </c>
      <c r="W7" s="9">
        <f>MIN(0.99,Co*(1/(Rcp*4*($D7)))^L)</f>
        <v>4.4952745186914556E-2</v>
      </c>
      <c r="X7" s="1">
        <f>BINOMDIST(0,np,W7,0)+tp*BINOMDIST(1,np,W7,0)</f>
        <v>0.83985419851482357</v>
      </c>
      <c r="Y7" s="1">
        <f t="shared" si="6"/>
        <v>7.2783830944352325E-3</v>
      </c>
      <c r="Z7" s="10">
        <f t="shared" si="7"/>
        <v>3.1569102054569251</v>
      </c>
      <c r="AA7" s="9">
        <f>MIN(0.99,Co*(1/(Rche*4*($D7/L)))^L)</f>
        <v>0.12036933421950674</v>
      </c>
      <c r="AB7" s="1">
        <f>BINOMDIST(0,nhe,AA7,0)+th*BINOMDIST(1,nhe,AA7,0)</f>
        <v>0.12847120037629706</v>
      </c>
      <c r="AC7" s="1">
        <f>BINOMDIST(4,nhe,AA7,0)+th*BINOMDIST(3,nhe,AA7,0)</f>
        <v>8.1985898023406528E-2</v>
      </c>
      <c r="AD7" s="18">
        <f t="shared" si="8"/>
        <v>6.7060885946170304E+20</v>
      </c>
      <c r="AE7" s="9">
        <f>MIN(0.99,Co*(1/(Rche*4*($D7)))^L)</f>
        <v>3.0092333554876685E-2</v>
      </c>
      <c r="AF7" s="1">
        <f>BINOMDIST(0,nhe,AE7,0)+th*BINOMDIST(1,nhe,AE7,0)</f>
        <v>0.61331879572085857</v>
      </c>
      <c r="AG7" s="1">
        <f>BINOMDIST(4,nhe,AE7,0)+th*BINOMDIST(3,nhe,AE7,0)</f>
        <v>1.0343310494432927E-3</v>
      </c>
      <c r="AH7" s="18">
        <f t="shared" si="9"/>
        <v>1.9070892018601919</v>
      </c>
    </row>
    <row r="8" spans="1:37" x14ac:dyDescent="0.25">
      <c r="A8" s="29" t="s">
        <v>40</v>
      </c>
      <c r="B8">
        <f>2^m-1</f>
        <v>15</v>
      </c>
      <c r="C8" s="45">
        <f t="shared" si="11"/>
        <v>6.0000000000000018</v>
      </c>
      <c r="D8" s="46">
        <f t="shared" si="12"/>
        <v>3.9810717055349745</v>
      </c>
      <c r="E8" s="47">
        <f>MIN(0.99,Co*(1/(4*($D8/L)))^L)</f>
        <v>4.7321800836014456E-2</v>
      </c>
      <c r="F8" s="48">
        <f t="shared" si="0"/>
        <v>2.7601742529578182E-22</v>
      </c>
      <c r="G8" s="49">
        <f t="shared" si="13"/>
        <v>3.6229596697686547E+21</v>
      </c>
      <c r="H8" s="47">
        <f>MIN(0.99,Co*(1/(4*($D8)))^L)</f>
        <v>1.1830450209003614E-2</v>
      </c>
      <c r="I8" s="48">
        <f t="shared" si="1"/>
        <v>5.0982636254624229E-6</v>
      </c>
      <c r="J8" s="49">
        <f t="shared" si="14"/>
        <v>196145.21206900085</v>
      </c>
      <c r="K8" s="9">
        <f>MIN(0.99,Co*(1/(Rch*4*($D8/L)))^L)</f>
        <v>8.7995084199200449E-2</v>
      </c>
      <c r="L8" s="47">
        <f>BINOMDIST(0,nh,K8,0)+th*BINOMDIST(1,nh,K8,0)</f>
        <v>0.25116417202529995</v>
      </c>
      <c r="M8" s="47">
        <f>IF(th=1,1-L8,BINOMDIST(3,nh,K8,0))</f>
        <v>0.10264854101294246</v>
      </c>
      <c r="N8" s="68">
        <f t="shared" si="2"/>
        <v>275363660776371.94</v>
      </c>
      <c r="O8" s="47">
        <f>MIN(0.99,Co*(1/(Rch*4*($D8)))^L)</f>
        <v>2.1998771049800112E-2</v>
      </c>
      <c r="P8" s="47">
        <f>BINOMDIST(0,nh,O8,0)+th*BINOMDIST(1,nh,O8,0)</f>
        <v>0.71629349607533854</v>
      </c>
      <c r="Q8" s="47">
        <f>IF(th=1,1-P8,BINOMDIST(3,nh,O8,0))</f>
        <v>3.7091932644136589E-3</v>
      </c>
      <c r="R8" s="68">
        <f t="shared" si="3"/>
        <v>2.2569310804739948</v>
      </c>
      <c r="S8" s="47">
        <f>MIN(0.99,Co*(1/(Rcp*4*($D8/L)))^L)</f>
        <v>0.14956025943234197</v>
      </c>
      <c r="T8" s="47">
        <f>BINOMDIST(0,np,S8,0)+tp*BINOMDIST(1,np,S8,0)</f>
        <v>0.28553163246161228</v>
      </c>
      <c r="U8" s="47">
        <f t="shared" si="10"/>
        <v>6.1215781491618923E-2</v>
      </c>
      <c r="V8" s="69">
        <f t="shared" si="5"/>
        <v>11937490812.149843</v>
      </c>
      <c r="W8" s="47">
        <f>MIN(0.99,Co*(1/(Rcp*4*($D8)))^L)</f>
        <v>3.7390064858085492E-2</v>
      </c>
      <c r="X8" s="47">
        <f>BINOMDIST(0,np,W8,0)+tp*BINOMDIST(1,np,W8,0)</f>
        <v>0.88128531910911834</v>
      </c>
      <c r="Y8" s="47">
        <f t="shared" si="6"/>
        <v>4.6310820760449931E-3</v>
      </c>
      <c r="Z8" s="69">
        <f t="shared" si="7"/>
        <v>2.0516099451800689</v>
      </c>
      <c r="AA8" s="47">
        <f>MIN(0.99,Co*(1/(Rche*4*($D8/L)))^L)</f>
        <v>0.10011885135553468</v>
      </c>
      <c r="AB8" s="47">
        <f>BINOMDIST(0,nhe,AA8,0)+th*BINOMDIST(1,nhe,AA8,0)</f>
        <v>0.18491087938336989</v>
      </c>
      <c r="AC8" s="1">
        <f>BINOMDIST(4,nhe,AA8,0)+th*BINOMDIST(3,nhe,AA8,0)</f>
        <v>5.1565195604963275E-2</v>
      </c>
      <c r="AD8" s="49">
        <f t="shared" si="8"/>
        <v>46530612106.636078</v>
      </c>
      <c r="AE8" s="47">
        <f>MIN(0.99,Co*(1/(Rche*4*($D8)))^L)</f>
        <v>2.502971283888367E-2</v>
      </c>
      <c r="AF8" s="47">
        <f>BINOMDIST(0,nhe,AE8,0)+th*BINOMDIST(1,nhe,AE8,0)</f>
        <v>0.66659505559635501</v>
      </c>
      <c r="AG8" s="1">
        <f>BINOMDIST(4,nhe,AE8,0)+th*BINOMDIST(3,nhe,AE8,0)</f>
        <v>5.2697671054250782E-4</v>
      </c>
      <c r="AH8" s="49">
        <f t="shared" si="9"/>
        <v>1.6145634866423608</v>
      </c>
      <c r="AJ8" s="1"/>
      <c r="AK8" s="1"/>
    </row>
    <row r="9" spans="1:37" x14ac:dyDescent="0.25">
      <c r="A9" s="29" t="s">
        <v>37</v>
      </c>
      <c r="B9" s="34">
        <f>kh/nh</f>
        <v>0.73333333333333328</v>
      </c>
      <c r="C9">
        <f t="shared" si="11"/>
        <v>6.4000000000000021</v>
      </c>
      <c r="D9" s="8">
        <f t="shared" si="12"/>
        <v>4.3651583224016628</v>
      </c>
      <c r="E9" s="9">
        <f>MIN(0.99,Co*(1/(4*($D9/L)))^L)</f>
        <v>3.9360559518732893E-2</v>
      </c>
      <c r="F9" s="43">
        <f t="shared" si="0"/>
        <v>1.3863190579371335E-18</v>
      </c>
      <c r="G9" s="18">
        <f t="shared" si="13"/>
        <v>7.2133466987607974E+17</v>
      </c>
      <c r="H9" s="9">
        <f>MIN(0.99,Co*(1/(4*($D9)))^L)</f>
        <v>9.8401398796832233E-3</v>
      </c>
      <c r="I9" s="43">
        <f t="shared" si="1"/>
        <v>4.00169678861886E-5</v>
      </c>
      <c r="J9" s="18">
        <f t="shared" si="14"/>
        <v>24989.3995678053</v>
      </c>
      <c r="K9" s="9">
        <f>MIN(0.99,Co*(1/(Rch*4*($D9/L)))^L)</f>
        <v>7.3191123072023967E-2</v>
      </c>
      <c r="L9" s="1">
        <f>BINOMDIST(0,nh,K9,0)+th*BINOMDIST(1,nh,K9,0)</f>
        <v>0.31978108507493824</v>
      </c>
      <c r="M9" s="1">
        <f>IF(th=1,1-L9,BINOMDIST(3,nh,K9,0))</f>
        <v>7.165868722059876E-2</v>
      </c>
      <c r="N9" s="44">
        <f t="shared" si="2"/>
        <v>458859586.78926682</v>
      </c>
      <c r="O9" s="9">
        <f>MIN(0.99,Co*(1/(Rch*4*($D9)))^L)</f>
        <v>1.8297780768005992E-2</v>
      </c>
      <c r="P9" s="1">
        <f>BINOMDIST(0,nh,O9,0)+th*BINOMDIST(1,nh,O9,0)</f>
        <v>0.75804779951759815</v>
      </c>
      <c r="Q9" s="1">
        <f>IF(th=1,1-P9,BINOMDIST(3,nh,O9,0))</f>
        <v>2.2333867195545847E-3</v>
      </c>
      <c r="R9" s="44">
        <f t="shared" si="3"/>
        <v>1.7343033720599994</v>
      </c>
      <c r="S9" s="9">
        <f>MIN(0.99,Co*(1/(Rcp*4*($D9/L)))^L)</f>
        <v>0.12439880539253853</v>
      </c>
      <c r="T9" s="1">
        <f>BINOMDIST(0,np,S9,0)+tp*BINOMDIST(1,np,S9,0)</f>
        <v>0.39072270772858197</v>
      </c>
      <c r="U9" s="1">
        <f t="shared" si="10"/>
        <v>5.1044777070364776E-2</v>
      </c>
      <c r="V9" s="10">
        <f t="shared" si="5"/>
        <v>2715608.4354237756</v>
      </c>
      <c r="W9" s="9">
        <f>MIN(0.99,Co*(1/(Rcp*4*($D9)))^L)</f>
        <v>3.1099701348134633E-2</v>
      </c>
      <c r="X9" s="1">
        <f>BINOMDIST(0,np,W9,0)+tp*BINOMDIST(1,np,W9,0)</f>
        <v>0.91299224207047269</v>
      </c>
      <c r="Y9" s="1">
        <f t="shared" si="6"/>
        <v>2.8955455127869147E-3</v>
      </c>
      <c r="Z9" s="10">
        <f t="shared" si="7"/>
        <v>1.5664926452791206</v>
      </c>
      <c r="AA9" s="9">
        <f>MIN(0.99,Co*(1/(Rche*4*($D9/L)))^L)</f>
        <v>8.3275233361947282E-2</v>
      </c>
      <c r="AB9" s="1">
        <f>BINOMDIST(0,nhe,AA9,0)+th*BINOMDIST(1,nhe,AA9,0)</f>
        <v>0.24878456560793635</v>
      </c>
      <c r="AC9" s="1">
        <f>BINOMDIST(4,nhe,AA9,0)+th*BINOMDIST(3,nhe,AA9,0)</f>
        <v>3.0832049653162E-2</v>
      </c>
      <c r="AD9" s="18">
        <f t="shared" si="8"/>
        <v>210355.49144435208</v>
      </c>
      <c r="AE9" s="9">
        <f>MIN(0.99,Co*(1/(Rche*4*($D9)))^L)</f>
        <v>2.081880834048682E-2</v>
      </c>
      <c r="AF9" s="1">
        <f>BINOMDIST(0,nhe,AE9,0)+th*BINOMDIST(1,nhe,AE9,0)</f>
        <v>0.71418217340485657</v>
      </c>
      <c r="AG9" s="1">
        <f>BINOMDIST(4,nhe,AE9,0)+th*BINOMDIST(3,nhe,AE9,0)</f>
        <v>2.6561439651482847E-4</v>
      </c>
      <c r="AH9" s="18">
        <f t="shared" si="9"/>
        <v>1.4494711739370107</v>
      </c>
      <c r="AJ9" s="1"/>
      <c r="AK9" s="1"/>
    </row>
    <row r="10" spans="1:37" x14ac:dyDescent="0.25">
      <c r="A10" s="38" t="s">
        <v>42</v>
      </c>
      <c r="B10" s="39">
        <f>CEILING(B/kh,1)</f>
        <v>94</v>
      </c>
      <c r="C10">
        <f t="shared" si="11"/>
        <v>6.8000000000000025</v>
      </c>
      <c r="D10" s="8">
        <f t="shared" si="12"/>
        <v>4.7863009232263876</v>
      </c>
      <c r="E10" s="9">
        <f>MIN(0.99,Co*(1/(4*($D10/L)))^L)</f>
        <v>3.2738687418012398E-2</v>
      </c>
      <c r="F10" s="43">
        <f t="shared" si="0"/>
        <v>1.5735093532995067E-15</v>
      </c>
      <c r="G10" s="18">
        <f t="shared" si="13"/>
        <v>635522119969030</v>
      </c>
      <c r="H10" s="9">
        <f>MIN(0.99,Co*(1/(4*($D10)))^L)</f>
        <v>8.1846718545030995E-3</v>
      </c>
      <c r="I10" s="43">
        <f t="shared" si="1"/>
        <v>2.2138870059278839E-4</v>
      </c>
      <c r="J10" s="18">
        <f t="shared" si="14"/>
        <v>4516.9423612063711</v>
      </c>
      <c r="K10" s="9">
        <f>MIN(0.99,Co*(1/(Rch*4*($D10/L)))^L)</f>
        <v>6.0877724537626354E-2</v>
      </c>
      <c r="L10" s="1">
        <f>BINOMDIST(0,nh,K10,0)+th*BINOMDIST(1,nh,K10,0)</f>
        <v>0.38979128817693037</v>
      </c>
      <c r="M10" s="1">
        <f>IF(th=1,1-L10,BINOMDIST(3,nh,K10,0))</f>
        <v>4.8311701465489736E-2</v>
      </c>
      <c r="N10" s="44">
        <f t="shared" si="2"/>
        <v>134390.35296048148</v>
      </c>
      <c r="O10" s="9">
        <f>MIN(0.99,Co*(1/(Rch*4*($D10)))^L)</f>
        <v>1.5219431134406589E-2</v>
      </c>
      <c r="P10" s="1">
        <f>BINOMDIST(0,nh,O10,0)+th*BINOMDIST(1,nh,O10,0)</f>
        <v>0.79449663348214572</v>
      </c>
      <c r="Q10" s="1">
        <f>IF(th=1,1-P10,BINOMDIST(3,nh,O10,0))</f>
        <v>1.3343824004058082E-3</v>
      </c>
      <c r="R10" s="44">
        <f t="shared" si="3"/>
        <v>1.4712493981683972</v>
      </c>
      <c r="S10" s="9">
        <f>MIN(0.99,Co*(1/(Rcp*4*($D10/L)))^L)</f>
        <v>0.1034704194939651</v>
      </c>
      <c r="T10" s="1">
        <f>BINOMDIST(0,np,S10,0)+tp*BINOMDIST(1,np,S10,0)</f>
        <v>0.49586059974906177</v>
      </c>
      <c r="U10" s="1">
        <f t="shared" si="10"/>
        <v>3.9673870552854318E-2</v>
      </c>
      <c r="V10" s="10">
        <f t="shared" si="5"/>
        <v>12077.7220027656</v>
      </c>
      <c r="W10" s="9">
        <f>MIN(0.99,Co*(1/(Rcp*4*($D10)))^L)</f>
        <v>2.5867604873491275E-2</v>
      </c>
      <c r="X10" s="1">
        <f>BINOMDIST(0,np,W10,0)+tp*BINOMDIST(1,np,W10,0)</f>
        <v>0.9368361972622854</v>
      </c>
      <c r="Y10" s="1">
        <f t="shared" si="6"/>
        <v>1.7845904284193412E-3</v>
      </c>
      <c r="Z10" s="10">
        <f t="shared" si="7"/>
        <v>1.3235229896499894</v>
      </c>
      <c r="AA10" s="9">
        <f>MIN(0.99,Co*(1/(Rche*4*($D10/L)))^L)</f>
        <v>6.9265322140588198E-2</v>
      </c>
      <c r="AB10" s="1">
        <f>BINOMDIST(0,nhe,AA10,0)+th*BINOMDIST(1,nhe,AA10,0)</f>
        <v>0.31711320472982318</v>
      </c>
      <c r="AC10" s="1">
        <f>BINOMDIST(4,nhe,AA10,0)+th*BINOMDIST(3,nhe,AA10,0)</f>
        <v>1.770294689178507E-2</v>
      </c>
      <c r="AD10" s="18">
        <f t="shared" si="8"/>
        <v>493.00182535339968</v>
      </c>
      <c r="AE10" s="9">
        <f>MIN(0.99,Co*(1/(Rche*4*($D10)))^L)</f>
        <v>1.731633053514705E-2</v>
      </c>
      <c r="AF10" s="1">
        <f>BINOMDIST(0,nhe,AE10,0)+th*BINOMDIST(1,nhe,AE10,0)</f>
        <v>0.75617065930118565</v>
      </c>
      <c r="AG10" s="1">
        <f>BINOMDIST(4,nhe,AE10,0)+th*BINOMDIST(3,nhe,AE10,0)</f>
        <v>1.3269657780504317E-4</v>
      </c>
      <c r="AH10" s="18">
        <f t="shared" si="9"/>
        <v>1.3442105081598728</v>
      </c>
      <c r="AJ10" s="1"/>
      <c r="AK10" s="1"/>
    </row>
    <row r="11" spans="1:37" x14ac:dyDescent="0.25">
      <c r="A11" s="29" t="s">
        <v>57</v>
      </c>
      <c r="B11" s="37">
        <v>0</v>
      </c>
      <c r="C11">
        <f t="shared" si="11"/>
        <v>7.2000000000000028</v>
      </c>
      <c r="D11" s="8">
        <f t="shared" si="12"/>
        <v>5.2480746024977307</v>
      </c>
      <c r="E11" s="9">
        <f>MIN(0.99,Co*(1/(4*($D11/L)))^L)</f>
        <v>2.7230854107757552E-2</v>
      </c>
      <c r="F11" s="43">
        <f t="shared" si="0"/>
        <v>5.2725677816166532E-13</v>
      </c>
      <c r="G11" s="18">
        <f t="shared" si="13"/>
        <v>1896609093365.4797</v>
      </c>
      <c r="H11" s="9">
        <f>MIN(0.99,Co*(1/(4*($D11)))^L)</f>
        <v>6.8077135269393879E-3</v>
      </c>
      <c r="I11" s="43">
        <f t="shared" si="1"/>
        <v>9.1651188998838806E-4</v>
      </c>
      <c r="J11" s="18">
        <f t="shared" si="14"/>
        <v>1091.0933190541257</v>
      </c>
      <c r="K11" s="9">
        <f>MIN(0.99,Co*(1/(Rch*4*($D11/L)))^L)</f>
        <v>5.0635885737565708E-2</v>
      </c>
      <c r="L11" s="1">
        <f>BINOMDIST(0,nh,K11,0)+th*BINOMDIST(1,nh,K11,0)</f>
        <v>0.45866137848566269</v>
      </c>
      <c r="M11" s="1">
        <f>IF(th=1,1-L11,BINOMDIST(3,nh,K11,0))</f>
        <v>3.1665063828719975E-2</v>
      </c>
      <c r="N11" s="44">
        <f t="shared" si="2"/>
        <v>1083.6027128663447</v>
      </c>
      <c r="O11" s="9">
        <f>MIN(0.99,Co*(1/(Rch*4*($D11)))^L)</f>
        <v>1.2658971434391427E-2</v>
      </c>
      <c r="P11" s="1">
        <f>BINOMDIST(0,nh,O11,0)+th*BINOMDIST(1,nh,O11,0)</f>
        <v>0.82605271865737884</v>
      </c>
      <c r="Q11" s="1">
        <f>IF(th=1,1-P11,BINOMDIST(3,nh,O11,0))</f>
        <v>7.9215992546560537E-4</v>
      </c>
      <c r="R11" s="44">
        <f t="shared" si="3"/>
        <v>1.3234449864981979</v>
      </c>
      <c r="S11" s="9">
        <f>MIN(0.99,Co*(1/(Rcp*4*($D11/L)))^L)</f>
        <v>8.6062946315875716E-2</v>
      </c>
      <c r="T11" s="1">
        <f>BINOMDIST(0,np,S11,0)+tp*BINOMDIST(1,np,S11,0)</f>
        <v>0.59396217528970519</v>
      </c>
      <c r="U11" s="1">
        <f t="shared" si="10"/>
        <v>2.9162746273702418E-2</v>
      </c>
      <c r="V11" s="10">
        <f t="shared" si="5"/>
        <v>378.86694222748105</v>
      </c>
      <c r="W11" s="9">
        <f>MIN(0.99,Co*(1/(Rcp*4*($D11)))^L)</f>
        <v>2.1515736578968929E-2</v>
      </c>
      <c r="X11" s="1">
        <f>BINOMDIST(0,np,W11,0)+tp*BINOMDIST(1,np,W11,0)</f>
        <v>0.95451085462198149</v>
      </c>
      <c r="Y11" s="1">
        <f t="shared" si="6"/>
        <v>1.0869561115591647E-3</v>
      </c>
      <c r="Z11" s="10">
        <f t="shared" si="7"/>
        <v>1.1914399480773457</v>
      </c>
      <c r="AA11" s="9">
        <f>MIN(0.99,Co*(1/(Rche*4*($D11/L)))^L)</f>
        <v>5.7612385550296977E-2</v>
      </c>
      <c r="AB11" s="1">
        <f>BINOMDIST(0,nhe,AA11,0)+th*BINOMDIST(1,nhe,AA11,0)</f>
        <v>0.38696627295832403</v>
      </c>
      <c r="AC11" s="1">
        <f>BINOMDIST(4,nhe,AA11,0)+th*BINOMDIST(3,nhe,AA11,0)</f>
        <v>9.8376112685725423E-3</v>
      </c>
      <c r="AD11" s="18">
        <f t="shared" si="8"/>
        <v>26.686234310828464</v>
      </c>
      <c r="AE11" s="9">
        <f>MIN(0.99,Co*(1/(Rche*4*($D11)))^L)</f>
        <v>1.4403096387574244E-2</v>
      </c>
      <c r="AF11" s="1">
        <f>BINOMDIST(0,nhe,AE11,0)+th*BINOMDIST(1,nhe,AE11,0)</f>
        <v>0.7928468167052718</v>
      </c>
      <c r="AG11" s="1">
        <f>BINOMDIST(4,nhe,AE11,0)+th*BINOMDIST(3,nhe,AE11,0)</f>
        <v>6.5809231814102615E-5</v>
      </c>
      <c r="AH11" s="18">
        <f t="shared" si="9"/>
        <v>1.2710511948340886</v>
      </c>
      <c r="AJ11" s="1"/>
      <c r="AK11" s="1"/>
    </row>
    <row r="12" spans="1:37" x14ac:dyDescent="0.25">
      <c r="A12" s="36"/>
      <c r="C12">
        <f t="shared" si="11"/>
        <v>7.6000000000000032</v>
      </c>
      <c r="D12" s="8">
        <f t="shared" si="12"/>
        <v>5.7543993733715748</v>
      </c>
      <c r="E12" s="9">
        <f>MIN(0.99,Co*(1/(4*($D12/L)))^L)</f>
        <v>2.2649637903015076E-2</v>
      </c>
      <c r="F12" s="43">
        <f t="shared" si="0"/>
        <v>6.4786553559852237E-11</v>
      </c>
      <c r="G12" s="18">
        <f t="shared" si="13"/>
        <v>15435301695.37669</v>
      </c>
      <c r="H12" s="9">
        <f>MIN(0.99,Co*(1/(4*($D12)))^L)</f>
        <v>5.662409475753769E-3</v>
      </c>
      <c r="I12" s="43">
        <f t="shared" si="1"/>
        <v>2.9831194436512874E-3</v>
      </c>
      <c r="J12" s="18">
        <f t="shared" si="14"/>
        <v>335.21956424782542</v>
      </c>
      <c r="K12" s="9">
        <f>MIN(0.99,Co*(1/(Rch*4*($D12/L)))^L)</f>
        <v>4.2117095274201592E-2</v>
      </c>
      <c r="L12" s="1">
        <f>BINOMDIST(0,nh,K12,0)+th*BINOMDIST(1,nh,K12,0)</f>
        <v>0.52442856303821073</v>
      </c>
      <c r="M12" s="1">
        <f>IF(th=1,1-L12,BINOMDIST(3,nh,K12,0))</f>
        <v>2.0283163910415621E-2</v>
      </c>
      <c r="N12" s="44">
        <f t="shared" si="2"/>
        <v>65.011429086810423</v>
      </c>
      <c r="O12" s="9">
        <f>MIN(0.99,Co*(1/(Rch*4*($D12)))^L)</f>
        <v>1.0529273818550398E-2</v>
      </c>
      <c r="P12" s="1">
        <f>BINOMDIST(0,nh,O12,0)+th*BINOMDIST(1,nh,O12,0)</f>
        <v>0.85318703990322886</v>
      </c>
      <c r="Q12" s="1">
        <f>IF(th=1,1-P12,BINOMDIST(3,nh,O12,0))</f>
        <v>4.6778043786938241E-4</v>
      </c>
      <c r="R12" s="44">
        <f t="shared" si="3"/>
        <v>1.2333721576438839</v>
      </c>
      <c r="S12" s="9">
        <f>MIN(0.99,Co*(1/(Rcp*4*($D12/L)))^L)</f>
        <v>7.1584040779899522E-2</v>
      </c>
      <c r="T12" s="1">
        <f>BINOMDIST(0,np,S12,0)+tp*BINOMDIST(1,np,S12,0)</f>
        <v>0.68060883153943841</v>
      </c>
      <c r="U12" s="1">
        <f t="shared" si="10"/>
        <v>2.0500130320610328E-2</v>
      </c>
      <c r="V12" s="10">
        <f t="shared" si="5"/>
        <v>42.018393877266739</v>
      </c>
      <c r="W12" s="9">
        <f>MIN(0.99,Co*(1/(Rcp*4*($D12)))^L)</f>
        <v>1.789601019497488E-2</v>
      </c>
      <c r="X12" s="1">
        <f>BINOMDIST(0,np,W12,0)+tp*BINOMDIST(1,np,W12,0)</f>
        <v>0.9674579814978701</v>
      </c>
      <c r="Y12" s="1">
        <f t="shared" si="6"/>
        <v>6.5562012376028077E-4</v>
      </c>
      <c r="Z12" s="10">
        <f t="shared" si="7"/>
        <v>1.1158700284756375</v>
      </c>
      <c r="AA12" s="9">
        <f>MIN(0.99,Co*(1/(Rche*4*($D12/L)))^L)</f>
        <v>4.7919895067536036E-2</v>
      </c>
      <c r="AB12" s="1">
        <f>BINOMDIST(0,nhe,AA12,0)+th*BINOMDIST(1,nhe,AA12,0)</f>
        <v>0.45580159524164582</v>
      </c>
      <c r="AC12" s="1">
        <f>BINOMDIST(4,nhe,AA12,0)+th*BINOMDIST(3,nhe,AA12,0)</f>
        <v>5.3237383430739778E-3</v>
      </c>
      <c r="AD12" s="18">
        <f t="shared" si="8"/>
        <v>6.4600566631125513</v>
      </c>
      <c r="AE12" s="9">
        <f>MIN(0.99,Co*(1/(Rche*4*($D12)))^L)</f>
        <v>1.1979973766884009E-2</v>
      </c>
      <c r="AF12" s="1">
        <f>BINOMDIST(0,nhe,AE12,0)+th*BINOMDIST(1,nhe,AE12,0)</f>
        <v>0.82461638260780723</v>
      </c>
      <c r="AG12" s="1">
        <f>BINOMDIST(4,nhe,AE12,0)+th*BINOMDIST(3,nhe,AE12,0)</f>
        <v>3.2440222570078579E-5</v>
      </c>
      <c r="AH12" s="18">
        <f t="shared" si="9"/>
        <v>1.2171298664653081</v>
      </c>
      <c r="AJ12" s="1"/>
      <c r="AK12" s="1"/>
    </row>
    <row r="13" spans="1:37" x14ac:dyDescent="0.25">
      <c r="A13" t="s">
        <v>44</v>
      </c>
      <c r="B13">
        <f>nh+1</f>
        <v>16</v>
      </c>
      <c r="C13" s="45">
        <f t="shared" si="11"/>
        <v>8.0000000000000036</v>
      </c>
      <c r="D13" s="46">
        <f t="shared" si="12"/>
        <v>6.3095734448019387</v>
      </c>
      <c r="E13" s="47">
        <f>MIN(0.99,Co*(1/(4*($D13/L)))^L)</f>
        <v>1.8839148236321816E-2</v>
      </c>
      <c r="F13" s="48">
        <f t="shared" si="0"/>
        <v>3.4831858220511431E-9</v>
      </c>
      <c r="G13" s="49">
        <f t="shared" si="13"/>
        <v>287093497.47270453</v>
      </c>
      <c r="H13" s="47">
        <f>MIN(0.99,Co*(1/(4*($D13)))^L)</f>
        <v>4.7097870590804541E-3</v>
      </c>
      <c r="I13" s="48">
        <f t="shared" si="1"/>
        <v>7.9529291849838001E-3</v>
      </c>
      <c r="J13" s="49">
        <f t="shared" si="14"/>
        <v>125.73983456160209</v>
      </c>
      <c r="K13" s="47">
        <f>MIN(0.99,Co*(1/(Rch*4*($D13/L)))^L)</f>
        <v>3.5031473993160409E-2</v>
      </c>
      <c r="L13" s="47">
        <f>BINOMDIST(0,nh,K13,0)+th*BINOMDIST(1,nh,K13,0)</f>
        <v>0.58572967243446095</v>
      </c>
      <c r="M13" s="47">
        <f>IF(th=1,1-L13,BINOMDIST(3,nh,K13,0))</f>
        <v>1.2751004840075419E-2</v>
      </c>
      <c r="N13" s="68">
        <f t="shared" si="2"/>
        <v>12.650951581314573</v>
      </c>
      <c r="O13" s="47">
        <f>MIN(0.99,Co*(1/(Rch*4*($D13)))^L)</f>
        <v>8.7578684982901021E-3</v>
      </c>
      <c r="P13" s="47">
        <f>BINOMDIST(0,nh,O13,0)+th*BINOMDIST(1,nh,O13,0)</f>
        <v>0.87638774009201847</v>
      </c>
      <c r="Q13" s="47">
        <f>IF(th=1,1-P13,BINOMDIST(3,nh,O13,0))</f>
        <v>2.7501962848046466E-4</v>
      </c>
      <c r="R13" s="68">
        <f t="shared" si="3"/>
        <v>1.1748335214080723</v>
      </c>
      <c r="S13" s="47">
        <f>MIN(0.99,Co*(1/(Rcp*4*($D13/L)))^L)</f>
        <v>5.9541011709856595E-2</v>
      </c>
      <c r="T13" s="47">
        <f>BINOMDIST(0,np,S13,0)+tp*BINOMDIST(1,np,S13,0)</f>
        <v>0.75383267741964843</v>
      </c>
      <c r="U13" s="47">
        <f t="shared" si="10"/>
        <v>1.3901105830198395E-2</v>
      </c>
      <c r="V13" s="69">
        <f t="shared" si="5"/>
        <v>10.458231641873942</v>
      </c>
      <c r="W13" s="47">
        <f>MIN(0.99,Co*(1/(Rcp*4*($D13)))^L)</f>
        <v>1.4885252927464149E-2</v>
      </c>
      <c r="X13" s="47">
        <f>BINOMDIST(0,np,W13,0)+tp*BINOMDIST(1,np,W13,0)</f>
        <v>0.97684971489557504</v>
      </c>
      <c r="Y13" s="47">
        <f t="shared" si="6"/>
        <v>3.9228101361376508E-4</v>
      </c>
      <c r="Z13" s="69">
        <f t="shared" si="7"/>
        <v>1.0712129743781458</v>
      </c>
      <c r="AA13" s="47">
        <f>MIN(0.99,Co*(1/(Rche*4*($D13/L)))^L)</f>
        <v>3.9858032632218057E-2</v>
      </c>
      <c r="AB13" s="47">
        <f>BINOMDIST(0,nhe,AA13,0)+th*BINOMDIST(1,nhe,AA13,0)</f>
        <v>0.52163562853358691</v>
      </c>
      <c r="AC13" s="1">
        <f>BINOMDIST(4,nhe,AA13,0)+th*BINOMDIST(3,nhe,AA13,0)</f>
        <v>2.8194231189266447E-3</v>
      </c>
      <c r="AD13" s="49">
        <f t="shared" si="8"/>
        <v>3.1648140204589854</v>
      </c>
      <c r="AE13" s="47">
        <f>MIN(0.99,Co*(1/(Rche*4*($D13)))^L)</f>
        <v>9.9645081580545143E-3</v>
      </c>
      <c r="AF13" s="47">
        <f>BINOMDIST(0,nhe,AE13,0)+th*BINOMDIST(1,nhe,AE13,0)</f>
        <v>0.85194630331989007</v>
      </c>
      <c r="AG13" s="1">
        <f>BINOMDIST(4,nhe,AE13,0)+th*BINOMDIST(3,nhe,AE13,0)</f>
        <v>1.5911239882147306E-5</v>
      </c>
      <c r="AH13" s="49">
        <f t="shared" si="9"/>
        <v>1.1758233927052013</v>
      </c>
      <c r="AJ13" s="1"/>
      <c r="AK13" s="1"/>
    </row>
    <row r="14" spans="1:37" x14ac:dyDescent="0.25">
      <c r="A14" t="s">
        <v>45</v>
      </c>
      <c r="B14" s="34">
        <f>kh/nhe</f>
        <v>0.6875</v>
      </c>
      <c r="C14">
        <f t="shared" si="11"/>
        <v>8.4000000000000039</v>
      </c>
      <c r="D14" s="8">
        <f t="shared" si="12"/>
        <v>6.9183097091893719</v>
      </c>
      <c r="E14" s="9">
        <f>MIN(0.99,Co*(1/(4*($D14/L)))^L)</f>
        <v>1.5669720981405264E-2</v>
      </c>
      <c r="F14" s="43">
        <f t="shared" si="0"/>
        <v>9.4672736597074053E-8</v>
      </c>
      <c r="G14" s="18">
        <f t="shared" si="13"/>
        <v>10562703.011913421</v>
      </c>
      <c r="H14" s="9">
        <f>MIN(0.99,Co*(1/(4*($D14)))^L)</f>
        <v>3.917430245351316E-3</v>
      </c>
      <c r="I14" s="43">
        <f t="shared" si="1"/>
        <v>1.7965061466871053E-2</v>
      </c>
      <c r="J14" s="18">
        <f t="shared" si="14"/>
        <v>55.663600252305088</v>
      </c>
      <c r="K14" s="9">
        <f>MIN(0.99,Co*(1/(Rch*4*($D14/L)))^L)</f>
        <v>2.9137910915836236E-2</v>
      </c>
      <c r="L14" s="1">
        <f>BINOMDIST(0,nh,K14,0)+th*BINOMDIST(1,nh,K14,0)</f>
        <v>0.6417459575456318</v>
      </c>
      <c r="M14" s="1">
        <f>IF(th=1,1-L14,BINOMDIST(3,nh,K14,0))</f>
        <v>7.893636866834905E-3</v>
      </c>
      <c r="N14" s="44">
        <f t="shared" si="2"/>
        <v>4.8574230747153857</v>
      </c>
      <c r="O14" s="9">
        <f>MIN(0.99,Co*(1/(Rch*4*($D14)))^L)</f>
        <v>7.2844777289590591E-3</v>
      </c>
      <c r="P14" s="1">
        <f>BINOMDIST(0,nh,O14,0)+th*BINOMDIST(1,nh,O14,0)</f>
        <v>0.89613242033261298</v>
      </c>
      <c r="Q14" s="1">
        <f>IF(th=1,1-P14,BINOMDIST(3,nh,O14,0))</f>
        <v>1.6110328938118363E-4</v>
      </c>
      <c r="R14" s="44">
        <f t="shared" si="3"/>
        <v>1.1347186913103298</v>
      </c>
      <c r="S14" s="9">
        <f>MIN(0.99,Co*(1/(Rcp*4*($D14/L)))^L)</f>
        <v>4.9524056435058611E-2</v>
      </c>
      <c r="T14" s="1">
        <f>BINOMDIST(0,np,S14,0)+tp*BINOMDIST(1,np,S14,0)</f>
        <v>0.81354139259438663</v>
      </c>
      <c r="U14" s="1">
        <f t="shared" si="10"/>
        <v>9.1551707235880773E-3</v>
      </c>
      <c r="V14" s="10">
        <f t="shared" si="5"/>
        <v>4.353149432760544</v>
      </c>
      <c r="W14" s="9">
        <f>MIN(0.99,Co*(1/(Rcp*4*($D14)))^L)</f>
        <v>1.2381014108764653E-2</v>
      </c>
      <c r="X14" s="1">
        <f>BINOMDIST(0,np,W14,0)+tp*BINOMDIST(1,np,W14,0)</f>
        <v>0.98360752843018573</v>
      </c>
      <c r="Y14" s="1">
        <f t="shared" si="6"/>
        <v>2.3315928496390516E-4</v>
      </c>
      <c r="Z14" s="10">
        <f t="shared" si="7"/>
        <v>1.0442628500724302</v>
      </c>
      <c r="AA14" s="9">
        <f>MIN(0.99,Co*(1/(Rche*4*($D14/L)))^L)</f>
        <v>3.3152467530907011E-2</v>
      </c>
      <c r="AB14" s="1">
        <f>BINOMDIST(0,nhe,AA14,0)+th*BINOMDIST(1,nhe,AA14,0)</f>
        <v>0.5830796587870315</v>
      </c>
      <c r="AC14" s="1">
        <f>BINOMDIST(4,nhe,AA14,0)+th*BINOMDIST(3,nhe,AA14,0)</f>
        <v>1.4670021142726363E-3</v>
      </c>
      <c r="AD14" s="18">
        <f t="shared" si="8"/>
        <v>2.1665183162120245</v>
      </c>
      <c r="AE14" s="9">
        <f>MIN(0.99,Co*(1/(Rche*4*($D14)))^L)</f>
        <v>8.2881168827267527E-3</v>
      </c>
      <c r="AF14" s="1">
        <f>BINOMDIST(0,nhe,AE14,0)+th*BINOMDIST(1,nhe,AE14,0)</f>
        <v>0.87532286805057236</v>
      </c>
      <c r="AG14" s="1">
        <f>BINOMDIST(4,nhe,AE14,0)+th*BINOMDIST(3,nhe,AE14,0)</f>
        <v>7.7717900917923269E-6</v>
      </c>
      <c r="AH14" s="18">
        <f t="shared" si="9"/>
        <v>1.1433793168690343</v>
      </c>
      <c r="AJ14" s="1"/>
      <c r="AK14" s="1"/>
    </row>
    <row r="15" spans="1:37" x14ac:dyDescent="0.25">
      <c r="C15">
        <f t="shared" si="11"/>
        <v>8.8000000000000043</v>
      </c>
      <c r="D15" s="8">
        <f t="shared" si="12"/>
        <v>7.5857757502918481</v>
      </c>
      <c r="E15" s="9">
        <f>MIN(0.99,Co*(1/(4*($D15/L)))^L)</f>
        <v>1.3033506215620282E-2</v>
      </c>
      <c r="F15" s="43">
        <f t="shared" si="0"/>
        <v>1.4644245925422421E-6</v>
      </c>
      <c r="G15" s="18">
        <f t="shared" si="13"/>
        <v>682862.0641121571</v>
      </c>
      <c r="H15" s="9">
        <f>MIN(0.99,Co*(1/(4*($D15)))^L)</f>
        <v>3.2583765539050706E-3</v>
      </c>
      <c r="I15" s="43">
        <f t="shared" si="1"/>
        <v>3.536525841649437E-2</v>
      </c>
      <c r="J15" s="18">
        <f t="shared" si="14"/>
        <v>28.276337987497911</v>
      </c>
      <c r="K15" s="9">
        <f>MIN(0.99,Co*(1/(Rch*4*($D15/L)))^L)</f>
        <v>2.4235858665409619E-2</v>
      </c>
      <c r="L15" s="1">
        <f>BINOMDIST(0,nh,K15,0)+th*BINOMDIST(1,nh,K15,0)</f>
        <v>0.69210631302385484</v>
      </c>
      <c r="M15" s="1">
        <f>IF(th=1,1-L15,BINOMDIST(3,nh,K15,0))</f>
        <v>4.8253062124162969E-3</v>
      </c>
      <c r="N15" s="44">
        <f t="shared" si="2"/>
        <v>2.7570298889795626</v>
      </c>
      <c r="O15" s="9">
        <f>MIN(0.99,Co*(1/(Rch*4*($D15)))^L)</f>
        <v>6.0589646663524047E-3</v>
      </c>
      <c r="P15" s="1">
        <f>BINOMDIST(0,nh,O15,0)+th*BINOMDIST(1,nh,O15,0)</f>
        <v>0.9128707997960237</v>
      </c>
      <c r="Q15" s="1">
        <f>IF(th=1,1-P15,BINOMDIST(3,nh,O15,0))</f>
        <v>9.4087972184397637E-5</v>
      </c>
      <c r="R15" s="44">
        <f t="shared" si="3"/>
        <v>1.1059954299393808</v>
      </c>
      <c r="S15" s="9">
        <f>MIN(0.99,Co*(1/(Rcp*4*($D15/L)))^L)</f>
        <v>4.1192315940725824E-2</v>
      </c>
      <c r="T15" s="1">
        <f>BINOMDIST(0,np,S15,0)+tp*BINOMDIST(1,np,S15,0)</f>
        <v>0.86083549660573921</v>
      </c>
      <c r="U15" s="1">
        <f t="shared" si="10"/>
        <v>5.8878992291357983E-3</v>
      </c>
      <c r="V15" s="10">
        <f t="shared" si="5"/>
        <v>2.509572336449942</v>
      </c>
      <c r="W15" s="9">
        <f>MIN(0.99,Co*(1/(Rcp*4*($D15)))^L)</f>
        <v>1.0298078985181456E-2</v>
      </c>
      <c r="X15" s="1">
        <f>BINOMDIST(0,np,W15,0)+tp*BINOMDIST(1,np,W15,0)</f>
        <v>0.98843768762638917</v>
      </c>
      <c r="Y15" s="1">
        <f t="shared" si="6"/>
        <v>1.3782144105653103E-4</v>
      </c>
      <c r="Z15" s="10">
        <f t="shared" si="7"/>
        <v>1.0277629796666863</v>
      </c>
      <c r="AA15" s="9">
        <f>MIN(0.99,Co*(1/(Rche*4*($D15/L)))^L)</f>
        <v>2.7575021414866042E-2</v>
      </c>
      <c r="AB15" s="1">
        <f>BINOMDIST(0,nhe,AA15,0)+th*BINOMDIST(1,nhe,AA15,0)</f>
        <v>0.63928968323724522</v>
      </c>
      <c r="AC15" s="1">
        <f>BINOMDIST(4,nhe,AA15,0)+th*BINOMDIST(3,nhe,AA15,0)</f>
        <v>7.5232950338921447E-4</v>
      </c>
      <c r="AD15" s="18">
        <f t="shared" si="8"/>
        <v>1.745040197426422</v>
      </c>
      <c r="AE15" s="9">
        <f>MIN(0.99,Co*(1/(Rche*4*($D15)))^L)</f>
        <v>6.8937553537165106E-3</v>
      </c>
      <c r="AF15" s="1">
        <f>BINOMDIST(0,nhe,AE15,0)+th*BINOMDIST(1,nhe,AE15,0)</f>
        <v>0.89522335521539409</v>
      </c>
      <c r="AG15" s="1">
        <f>BINOMDIST(4,nhe,AE15,0)+th*BINOMDIST(3,nhe,AE15,0)</f>
        <v>3.7830615659667666E-6</v>
      </c>
      <c r="AH15" s="18">
        <f t="shared" si="9"/>
        <v>1.1174787529297525</v>
      </c>
      <c r="AJ15" s="1"/>
      <c r="AK15" s="1"/>
    </row>
    <row r="16" spans="1:37" x14ac:dyDescent="0.25">
      <c r="A16" t="s">
        <v>46</v>
      </c>
      <c r="B16" s="37">
        <v>3</v>
      </c>
      <c r="C16">
        <f t="shared" si="11"/>
        <v>9.2000000000000046</v>
      </c>
      <c r="D16" s="8">
        <f t="shared" si="12"/>
        <v>8.3176377110267214</v>
      </c>
      <c r="E16" s="9">
        <f>MIN(0.99,Co*(1/(4*($D16/L)))^L)</f>
        <v>1.0840798280594425E-2</v>
      </c>
      <c r="F16" s="43">
        <f t="shared" si="0"/>
        <v>1.4209673290104705E-5</v>
      </c>
      <c r="G16" s="18">
        <f t="shared" si="13"/>
        <v>70374.594797783095</v>
      </c>
      <c r="H16" s="9">
        <f>MIN(0.99,Co*(1/(4*($D16)))^L)</f>
        <v>2.7101995701486062E-3</v>
      </c>
      <c r="I16" s="43">
        <f t="shared" si="1"/>
        <v>6.2099837822458828E-2</v>
      </c>
      <c r="J16" s="18">
        <f t="shared" si="14"/>
        <v>16.103101635449732</v>
      </c>
      <c r="K16" s="9">
        <f>MIN(0.99,Co*(1/(Rch*4*($D16/L)))^L)</f>
        <v>2.0158509199452446E-2</v>
      </c>
      <c r="L16" s="1">
        <f>BINOMDIST(0,nh,K16,0)+th*BINOMDIST(1,nh,K16,0)</f>
        <v>0.73677924230249769</v>
      </c>
      <c r="M16" s="1">
        <f>IF(th=1,1-L16,BINOMDIST(3,nh,K16,0))</f>
        <v>2.9191508328148129E-3</v>
      </c>
      <c r="N16" s="44">
        <f t="shared" si="2"/>
        <v>1.9605183755080147</v>
      </c>
      <c r="O16" s="9">
        <f>MIN(0.99,Co*(1/(Rch*4*($D16)))^L)</f>
        <v>5.0396272998631114E-3</v>
      </c>
      <c r="P16" s="1">
        <f>BINOMDIST(0,nh,O16,0)+th*BINOMDIST(1,nh,O16,0)</f>
        <v>0.92701499683657007</v>
      </c>
      <c r="Q16" s="1">
        <f>IF(th=1,1-P16,BINOMDIST(3,nh,O16,0))</f>
        <v>5.4812052401843976E-5</v>
      </c>
      <c r="R16" s="44">
        <f t="shared" si="3"/>
        <v>1.0846791489196785</v>
      </c>
      <c r="S16" s="9">
        <f>MIN(0.99,Co*(1/(Rcp*4*($D16/L)))^L)</f>
        <v>3.4262276047310782E-2</v>
      </c>
      <c r="T16" s="1">
        <f>BINOMDIST(0,np,S16,0)+tp*BINOMDIST(1,np,S16,0)</f>
        <v>0.89741831196705801</v>
      </c>
      <c r="U16" s="1">
        <f t="shared" si="10"/>
        <v>3.7137755046921664E-3</v>
      </c>
      <c r="V16" s="10">
        <f t="shared" si="5"/>
        <v>1.7769435964400748</v>
      </c>
      <c r="W16" s="9">
        <f>MIN(0.99,Co*(1/(Rcp*4*($D16)))^L)</f>
        <v>8.5655690118276954E-3</v>
      </c>
      <c r="X16" s="1">
        <f>BINOMDIST(0,np,W16,0)+tp*BINOMDIST(1,np,W16,0)</f>
        <v>0.99187098274779295</v>
      </c>
      <c r="Y16" s="1">
        <f t="shared" si="6"/>
        <v>8.1096129934407835E-5</v>
      </c>
      <c r="Z16" s="10">
        <f t="shared" si="7"/>
        <v>1.0175531029430323</v>
      </c>
      <c r="AA16" s="9">
        <f>MIN(0.99,Co*(1/(Rche*4*($D16/L)))^L)</f>
        <v>2.2935903800265903E-2</v>
      </c>
      <c r="AB16" s="1">
        <f>BINOMDIST(0,nhe,AA16,0)+th*BINOMDIST(1,nhe,AA16,0)</f>
        <v>0.68987256725738721</v>
      </c>
      <c r="AC16" s="1">
        <f>BINOMDIST(4,nhe,AA16,0)+th*BINOMDIST(3,nhe,AA16,0)</f>
        <v>3.8125142729416038E-4</v>
      </c>
      <c r="AD16" s="18">
        <f t="shared" si="8"/>
        <v>1.5259691877080106</v>
      </c>
      <c r="AE16" s="9">
        <f>MIN(0.99,Co*(1/(Rche*4*($D16)))^L)</f>
        <v>5.7339759500664757E-3</v>
      </c>
      <c r="AF16" s="1">
        <f>BINOMDIST(0,nhe,AE16,0)+th*BINOMDIST(1,nhe,AE16,0)</f>
        <v>0.91209816936782906</v>
      </c>
      <c r="AG16" s="1">
        <f>BINOMDIST(4,nhe,AE16,0)+th*BINOMDIST(3,nhe,AE16,0)</f>
        <v>1.8362256270646578E-6</v>
      </c>
      <c r="AH16" s="18">
        <f t="shared" si="9"/>
        <v>1.0965785016009204</v>
      </c>
      <c r="AJ16" s="1"/>
      <c r="AK16" s="1"/>
    </row>
    <row r="17" spans="1:37" x14ac:dyDescent="0.25">
      <c r="A17" t="s">
        <v>47</v>
      </c>
      <c r="B17" s="42">
        <f>Rp</f>
        <v>3</v>
      </c>
      <c r="C17">
        <f t="shared" si="11"/>
        <v>9.600000000000005</v>
      </c>
      <c r="D17" s="8">
        <f t="shared" si="12"/>
        <v>9.1201083935591107</v>
      </c>
      <c r="E17" s="9">
        <f>MIN(0.99,Co*(1/(4*($D17/L)))^L)</f>
        <v>9.0169832596305698E-3</v>
      </c>
      <c r="F17" s="43">
        <f t="shared" si="0"/>
        <v>9.3713203026925623E-5</v>
      </c>
      <c r="G17" s="18">
        <f t="shared" si="13"/>
        <v>10670.854988412684</v>
      </c>
      <c r="H17" s="9">
        <f>MIN(0.99,Co*(1/(4*($D17)))^L)</f>
        <v>2.2542458149076424E-3</v>
      </c>
      <c r="I17" s="43">
        <f t="shared" si="1"/>
        <v>9.9166658727117399E-2</v>
      </c>
      <c r="J17" s="18">
        <f t="shared" si="14"/>
        <v>10.084034420800217</v>
      </c>
      <c r="K17" s="9">
        <f>MIN(0.99,Co*(1/(Rch*4*($D17/L)))^L)</f>
        <v>1.6767117631544454E-2</v>
      </c>
      <c r="L17" s="1">
        <f>BINOMDIST(0,nh,K17,0)+th*BINOMDIST(1,nh,K17,0)</f>
        <v>0.7759717563866928</v>
      </c>
      <c r="M17" s="1">
        <f>IF(th=1,1-L17,BINOMDIST(3,nh,K17,0))</f>
        <v>1.750908139268045E-3</v>
      </c>
      <c r="N17" s="44">
        <f t="shared" si="2"/>
        <v>1.5892284039753548</v>
      </c>
      <c r="O17" s="9">
        <f>MIN(0.99,Co*(1/(Rch*4*($D17)))^L)</f>
        <v>4.1917794078861134E-3</v>
      </c>
      <c r="P17" s="1">
        <f>BINOMDIST(0,nh,O17,0)+th*BINOMDIST(1,nh,O17,0)</f>
        <v>0.93893517049980757</v>
      </c>
      <c r="Q17" s="1">
        <f>IF(th=1,1-P17,BINOMDIST(3,nh,O17,0))</f>
        <v>3.1865089447870261E-5</v>
      </c>
      <c r="R17" s="44">
        <f t="shared" si="3"/>
        <v>1.0684029622300104</v>
      </c>
      <c r="S17" s="9">
        <f>MIN(0.99,Co*(1/(Rcp*4*($D17/L)))^L)</f>
        <v>2.8498119931671929E-2</v>
      </c>
      <c r="T17" s="1">
        <f>BINOMDIST(0,np,S17,0)+tp*BINOMDIST(1,np,S17,0)</f>
        <v>0.92517144069949364</v>
      </c>
      <c r="U17" s="1">
        <f t="shared" si="10"/>
        <v>2.3054292454656577E-3</v>
      </c>
      <c r="V17" s="10">
        <f t="shared" si="5"/>
        <v>1.4319111098580264</v>
      </c>
      <c r="W17" s="9">
        <f>MIN(0.99,Co*(1/(Rcp*4*($D17)))^L)</f>
        <v>7.1245299829179824E-3</v>
      </c>
      <c r="X17" s="1">
        <f>BINOMDIST(0,np,W17,0)+tp*BINOMDIST(1,np,W17,0)</f>
        <v>0.99430020624955384</v>
      </c>
      <c r="Y17" s="1">
        <f t="shared" si="6"/>
        <v>4.7538085912045298E-5</v>
      </c>
      <c r="Z17" s="10">
        <f t="shared" si="7"/>
        <v>1.0111806088142055</v>
      </c>
      <c r="AA17" s="9">
        <f>MIN(0.99,Co*(1/(Rche*4*($D17/L)))^L)</f>
        <v>1.907725383855724E-2</v>
      </c>
      <c r="AB17" s="1">
        <f>BINOMDIST(0,nhe,AA17,0)+th*BINOMDIST(1,nhe,AA17,0)</f>
        <v>0.73477925241634023</v>
      </c>
      <c r="AC17" s="1">
        <f>BINOMDIST(4,nhe,AA17,0)+th*BINOMDIST(3,nhe,AA17,0)</f>
        <v>1.913165255564484E-4</v>
      </c>
      <c r="AD17" s="18">
        <f t="shared" si="8"/>
        <v>1.3943058313992891</v>
      </c>
      <c r="AE17" s="9">
        <f>MIN(0.99,Co*(1/(Rche*4*($D17)))^L)</f>
        <v>4.76931345963931E-3</v>
      </c>
      <c r="AF17" s="1">
        <f>BINOMDIST(0,nhe,AE17,0)+th*BINOMDIST(1,nhe,AE17,0)</f>
        <v>0.92636072642019363</v>
      </c>
      <c r="AG17" s="1">
        <f>BINOMDIST(4,nhe,AE17,0)+th*BINOMDIST(3,nhe,AE17,0)</f>
        <v>8.8916008191643526E-7</v>
      </c>
      <c r="AH17" s="18">
        <f t="shared" si="9"/>
        <v>1.0795894522937688</v>
      </c>
      <c r="AJ17" s="1"/>
      <c r="AK17" s="1"/>
    </row>
    <row r="18" spans="1:37" x14ac:dyDescent="0.25">
      <c r="A18" t="s">
        <v>49</v>
      </c>
      <c r="B18">
        <f>Rp*Cp</f>
        <v>9</v>
      </c>
      <c r="C18">
        <f t="shared" ref="C18" si="15">C17+C$1</f>
        <v>10.000000000000005</v>
      </c>
      <c r="D18" s="8">
        <f t="shared" ref="D18" si="16">10^(C18/10)</f>
        <v>10.000000000000011</v>
      </c>
      <c r="E18" s="9">
        <f>MIN(0.99,Co*(1/(4*($D18/L)))^L)</f>
        <v>7.4999999999999841E-3</v>
      </c>
      <c r="F18" s="43">
        <f t="shared" si="0"/>
        <v>4.4879478895298489E-4</v>
      </c>
      <c r="G18" s="18">
        <f t="shared" ref="G18" si="17">1/F18</f>
        <v>2228.1898645324036</v>
      </c>
      <c r="H18" s="9">
        <f>MIN(0.99,Co*(1/(4*($D18)))^L)</f>
        <v>1.874999999999996E-3</v>
      </c>
      <c r="I18" s="43">
        <f t="shared" si="1"/>
        <v>0.14634297722355852</v>
      </c>
      <c r="J18" s="18">
        <f t="shared" ref="J18" si="18">1/I18</f>
        <v>6.8332626475978131</v>
      </c>
      <c r="K18" s="9">
        <f>MIN(0.99,Co*(1/(Rch*4*($D18/L)))^L)</f>
        <v>1.3946280991735506E-2</v>
      </c>
      <c r="L18" s="1">
        <f>BINOMDIST(0,nh,K18,0)+th*BINOMDIST(1,nh,K18,0)</f>
        <v>0.81004404061699198</v>
      </c>
      <c r="M18" s="1">
        <f>IF(th=1,1-L18,BINOMDIST(3,nh,K18,0))</f>
        <v>1.0427820223142476E-3</v>
      </c>
      <c r="N18" s="44">
        <f t="shared" si="2"/>
        <v>1.3913993735726395</v>
      </c>
      <c r="O18" s="9">
        <f>MIN(0.99,Co*(1/(Rch*4*($D18)))^L)</f>
        <v>3.4865702479338766E-3</v>
      </c>
      <c r="P18" s="1">
        <f>BINOMDIST(0,nh,O18,0)+th*BINOMDIST(1,nh,O18,0)</f>
        <v>0.94895876009875768</v>
      </c>
      <c r="Q18" s="1">
        <f>IF(th=1,1-P18,BINOMDIST(3,nh,O18,0))</f>
        <v>1.8492878981658541E-5</v>
      </c>
      <c r="R18" s="44">
        <f t="shared" si="3"/>
        <v>1.0556981079065377</v>
      </c>
      <c r="S18" s="9">
        <f>MIN(0.99,Co*(1/(Rcp*4*($D18/L)))^L)</f>
        <v>2.370370370370365E-2</v>
      </c>
      <c r="T18" s="1">
        <f>BINOMDIST(0,np,S18,0)+tp*BINOMDIST(1,np,S18,0)</f>
        <v>0.94589286095609804</v>
      </c>
      <c r="U18" s="1">
        <f t="shared" si="10"/>
        <v>1.4125394255361749E-3</v>
      </c>
      <c r="V18" s="10">
        <f t="shared" si="5"/>
        <v>1.2513806873572377</v>
      </c>
      <c r="W18" s="9">
        <f>MIN(0.99,Co*(1/(Rcp*4*($D18)))^L)</f>
        <v>5.9259259259259126E-3</v>
      </c>
      <c r="X18" s="1">
        <f>BINOMDIST(0,np,W18,0)+tp*BINOMDIST(1,np,W18,0)</f>
        <v>0.99601247121830205</v>
      </c>
      <c r="Y18" s="1">
        <f t="shared" si="6"/>
        <v>2.7779320337183862E-5</v>
      </c>
      <c r="Z18" s="10">
        <f t="shared" si="7"/>
        <v>1.0071726880171041</v>
      </c>
      <c r="AA18" s="9">
        <f>MIN(0.99,Co*(1/(Rche*4*($D18/L)))^L)</f>
        <v>1.5867768595041291E-2</v>
      </c>
      <c r="AB18" s="1">
        <f>BINOMDIST(0,nhe,AA18,0)+th*BINOMDIST(1,nhe,AA18,0)</f>
        <v>0.77420378557778902</v>
      </c>
      <c r="AC18" s="1">
        <f>BINOMDIST(4,nhe,AA18,0)+th*BINOMDIST(3,nhe,AA18,0)</f>
        <v>9.5230549308314392E-5</v>
      </c>
      <c r="AD18" s="18">
        <f t="shared" si="8"/>
        <v>1.306509224167681</v>
      </c>
      <c r="AE18" s="9">
        <f>MIN(0.99,Co*(1/(Rche*4*($D18)))^L)</f>
        <v>3.9669421487603228E-3</v>
      </c>
      <c r="AF18" s="1">
        <f>BINOMDIST(0,nhe,AE18,0)+th*BINOMDIST(1,nhe,AE18,0)</f>
        <v>0.93838280894031079</v>
      </c>
      <c r="AG18" s="1">
        <f>BINOMDIST(4,nhe,AE18,0)+th*BINOMDIST(3,nhe,AE18,0)</f>
        <v>4.2971438123092015E-7</v>
      </c>
      <c r="AH18" s="18">
        <f t="shared" si="9"/>
        <v>1.0657085561807322</v>
      </c>
      <c r="AJ18" s="1"/>
      <c r="AK18" s="1"/>
    </row>
    <row r="19" spans="1:37" x14ac:dyDescent="0.25">
      <c r="A19" t="s">
        <v>50</v>
      </c>
      <c r="B19">
        <f>(Rp+1)*(Cp+1)</f>
        <v>16</v>
      </c>
      <c r="L19" s="1">
        <f t="shared" ref="L19" si="19">(1-K19)^nh+th*nh*(1-K19)^(nh-1)*K19</f>
        <v>1</v>
      </c>
      <c r="AB19" s="1"/>
    </row>
    <row r="20" spans="1:37" x14ac:dyDescent="0.25">
      <c r="A20" t="s">
        <v>48</v>
      </c>
      <c r="B20" s="34">
        <f>kp/np</f>
        <v>0.5625</v>
      </c>
    </row>
    <row r="21" spans="1:37" x14ac:dyDescent="0.25">
      <c r="A21" t="s">
        <v>59</v>
      </c>
      <c r="B21" s="41">
        <f>CEILING(B/kp,1)</f>
        <v>114</v>
      </c>
    </row>
    <row r="22" spans="1:37" x14ac:dyDescent="0.25">
      <c r="A22" t="s">
        <v>58</v>
      </c>
      <c r="B22" s="37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18</vt:i4>
      </vt:variant>
    </vt:vector>
  </HeadingPairs>
  <TitlesOfParts>
    <vt:vector size="20" baseType="lpstr">
      <vt:lpstr>Esempio</vt:lpstr>
      <vt:lpstr>Grafici</vt:lpstr>
      <vt:lpstr>B</vt:lpstr>
      <vt:lpstr>Co</vt:lpstr>
      <vt:lpstr>Cp</vt:lpstr>
      <vt:lpstr>kh</vt:lpstr>
      <vt:lpstr>kp</vt:lpstr>
      <vt:lpstr>L</vt:lpstr>
      <vt:lpstr>m</vt:lpstr>
      <vt:lpstr>Nbh</vt:lpstr>
      <vt:lpstr>Nbp</vt:lpstr>
      <vt:lpstr>nh</vt:lpstr>
      <vt:lpstr>nhe</vt:lpstr>
      <vt:lpstr>np</vt:lpstr>
      <vt:lpstr>Rch</vt:lpstr>
      <vt:lpstr>Rche</vt:lpstr>
      <vt:lpstr>Rcp</vt:lpstr>
      <vt:lpstr>Rp</vt:lpstr>
      <vt:lpstr>th</vt:lpstr>
      <vt:lpstr>tp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BABICH FULVIO</dc:creator>
  <cp:lastModifiedBy>BABICH FULVIO</cp:lastModifiedBy>
  <dcterms:created xsi:type="dcterms:W3CDTF">2017-10-20T06:02:18Z</dcterms:created>
  <dcterms:modified xsi:type="dcterms:W3CDTF">2018-10-31T12:48:02Z</dcterms:modified>
</cp:coreProperties>
</file>