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ola Rossi\Desktop\"/>
    </mc:Choice>
  </mc:AlternateContent>
  <xr:revisionPtr revIDLastSave="0" documentId="13_ncr:1_{368804F4-6CA9-4249-845D-29573CFC0840}" xr6:coauthVersionLast="47" xr6:coauthVersionMax="47" xr10:uidLastSave="{00000000-0000-0000-0000-000000000000}"/>
  <bookViews>
    <workbookView xWindow="-120" yWindow="-120" windowWidth="20730" windowHeight="11160" activeTab="3" xr2:uid="{F22E2562-9AA1-4A44-801C-53B66FAC5793}"/>
  </bookViews>
  <sheets>
    <sheet name="1" sheetId="7" r:id="rId1"/>
    <sheet name="2" sheetId="2" r:id="rId2"/>
    <sheet name="3" sheetId="3" r:id="rId3"/>
    <sheet name="4" sheetId="4" r:id="rId4"/>
    <sheet name="5" sheetId="5" r:id="rId5"/>
    <sheet name="6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2" l="1"/>
  <c r="F24" i="6"/>
  <c r="F17" i="6"/>
  <c r="E34" i="6"/>
  <c r="E33" i="6"/>
  <c r="E32" i="6"/>
  <c r="C29" i="6"/>
  <c r="C28" i="6"/>
  <c r="C25" i="6"/>
  <c r="C24" i="6"/>
  <c r="B23" i="6"/>
  <c r="C18" i="6"/>
  <c r="C17" i="6"/>
  <c r="E18" i="5"/>
  <c r="D15" i="4"/>
  <c r="E15" i="3"/>
  <c r="B9" i="3"/>
  <c r="B6" i="3"/>
  <c r="B4" i="3"/>
  <c r="B3" i="3"/>
  <c r="C29" i="2"/>
  <c r="I28" i="2"/>
  <c r="H28" i="2"/>
  <c r="I26" i="2"/>
  <c r="E26" i="2" s="1"/>
  <c r="H26" i="2"/>
  <c r="E25" i="2"/>
  <c r="E24" i="2"/>
  <c r="D4" i="2"/>
  <c r="B34" i="7"/>
  <c r="B23" i="7"/>
  <c r="B21" i="7"/>
  <c r="C19" i="7"/>
  <c r="B18" i="7"/>
  <c r="B6" i="7"/>
  <c r="B53" i="7"/>
  <c r="B45" i="7"/>
  <c r="F27" i="5" l="1"/>
  <c r="D8" i="5"/>
  <c r="D14" i="5" s="1"/>
  <c r="E14" i="5" s="1"/>
  <c r="F14" i="5" s="1"/>
  <c r="D15" i="5" l="1"/>
  <c r="E15" i="5" s="1"/>
  <c r="F15" i="5" s="1"/>
  <c r="D16" i="5" l="1"/>
  <c r="E16" i="5" s="1"/>
  <c r="F16" i="5" s="1"/>
  <c r="D17" i="5" l="1"/>
  <c r="E17" i="5" s="1"/>
  <c r="F17" i="5" s="1"/>
  <c r="C20" i="4" l="1"/>
  <c r="C21" i="4"/>
  <c r="C22" i="4"/>
  <c r="C23" i="4"/>
  <c r="C19" i="4"/>
  <c r="C9" i="4"/>
  <c r="C8" i="4"/>
  <c r="B8" i="4" s="1"/>
  <c r="D8" i="4" s="1"/>
  <c r="D21" i="4" l="1"/>
  <c r="B9" i="4"/>
  <c r="D9" i="4" s="1"/>
  <c r="C10" i="4" s="1"/>
  <c r="D22" i="4"/>
  <c r="E21" i="4"/>
  <c r="D20" i="4"/>
  <c r="E20" i="4" s="1"/>
  <c r="D19" i="4"/>
  <c r="E19" i="4" s="1"/>
  <c r="C22" i="2"/>
  <c r="C21" i="2"/>
  <c r="C20" i="2"/>
  <c r="C19" i="2"/>
  <c r="C23" i="2" s="1"/>
  <c r="B20" i="3"/>
  <c r="B22" i="3" s="1"/>
  <c r="B16" i="3"/>
  <c r="B15" i="3"/>
  <c r="I11" i="3"/>
  <c r="J11" i="3" s="1"/>
  <c r="B11" i="3" s="1"/>
  <c r="B17" i="3"/>
  <c r="D3" i="3"/>
  <c r="B5" i="3"/>
  <c r="B8" i="3" s="1"/>
  <c r="B12" i="3" s="1"/>
  <c r="E16" i="3" s="1"/>
  <c r="B2" i="3"/>
  <c r="B10" i="4" l="1"/>
  <c r="D10" i="4" s="1"/>
  <c r="D23" i="4"/>
  <c r="E23" i="4" s="1"/>
  <c r="E22" i="4"/>
  <c r="B18" i="3"/>
  <c r="B23" i="3" s="1"/>
  <c r="E23" i="3"/>
  <c r="E14" i="2"/>
  <c r="E12" i="2"/>
  <c r="E13" i="2" s="1"/>
  <c r="C10" i="2"/>
  <c r="C9" i="2"/>
  <c r="C8" i="2"/>
  <c r="C7" i="2"/>
  <c r="C6" i="2"/>
  <c r="C5" i="2"/>
  <c r="C4" i="2"/>
  <c r="C11" i="2" s="1"/>
  <c r="B40" i="7"/>
  <c r="B52" i="7"/>
  <c r="B54" i="7" s="1"/>
</calcChain>
</file>

<file path=xl/sharedStrings.xml><?xml version="1.0" encoding="utf-8"?>
<sst xmlns="http://schemas.openxmlformats.org/spreadsheetml/2006/main" count="235" uniqueCount="176">
  <si>
    <t xml:space="preserve">Variazione complessiva di liquidità e mezzi equivalenti </t>
  </si>
  <si>
    <t>n</t>
  </si>
  <si>
    <t>n - 1</t>
  </si>
  <si>
    <t>∆</t>
  </si>
  <si>
    <t xml:space="preserve">Cassa e banche c/c attivi </t>
  </si>
  <si>
    <t xml:space="preserve">Totale </t>
  </si>
  <si>
    <t xml:space="preserve">RENDICONTO FINANZIARIO - MODELLO IAS 7 - METODO INDIRETTO </t>
  </si>
  <si>
    <t xml:space="preserve">RENDICONTO FINANZIARIO - MODELLO IAS 7 - METODO DIRETTO </t>
  </si>
  <si>
    <t xml:space="preserve">Utile ante imposte </t>
  </si>
  <si>
    <t xml:space="preserve">Entrate dell'attività operativa </t>
  </si>
  <si>
    <t xml:space="preserve">Ammortamenti </t>
  </si>
  <si>
    <t xml:space="preserve">  Ricavi </t>
  </si>
  <si>
    <t xml:space="preserve">Proventi finanziari </t>
  </si>
  <si>
    <t xml:space="preserve">  Variazione Crediti Commerciali</t>
  </si>
  <si>
    <t xml:space="preserve">Oneri finanziari </t>
  </si>
  <si>
    <t xml:space="preserve">  Variazione Altri crediti </t>
  </si>
  <si>
    <t>Accantonamento al Fondo TFR</t>
  </si>
  <si>
    <t xml:space="preserve">  Variazione Ratei e risconti attivi </t>
  </si>
  <si>
    <t xml:space="preserve">Plusvalenze </t>
  </si>
  <si>
    <t xml:space="preserve">Totale entrate dell'attività operativa </t>
  </si>
  <si>
    <t xml:space="preserve">Rettifiche </t>
  </si>
  <si>
    <t xml:space="preserve"> - Incremento (+ decremento) crediti </t>
  </si>
  <si>
    <t xml:space="preserve">   Acquisti </t>
  </si>
  <si>
    <t xml:space="preserve"> + Incremento (- decremento) debiti </t>
  </si>
  <si>
    <t xml:space="preserve">   Variazione debiti </t>
  </si>
  <si>
    <t xml:space="preserve"> - Incremento (+ decremento) ratei e risconti attivi</t>
  </si>
  <si>
    <t xml:space="preserve">   Variazione Ratei e Risconti passivi </t>
  </si>
  <si>
    <t xml:space="preserve">+ Incremento (- decremento) ratei e risconti passivi </t>
  </si>
  <si>
    <t xml:space="preserve">Totale uscite dell'attività operativa </t>
  </si>
  <si>
    <t xml:space="preserve">Cash Flow operativo  lordo </t>
  </si>
  <si>
    <t xml:space="preserve">    Imposte dell'esercizio </t>
  </si>
  <si>
    <t xml:space="preserve">    Variazione debiti tributari </t>
  </si>
  <si>
    <t>Cash Flow operativo  netto  (A)</t>
  </si>
  <si>
    <t xml:space="preserve">- Acquisizioni </t>
  </si>
  <si>
    <t>+Vendite</t>
  </si>
  <si>
    <t>Cash Flow attività d'investimento (B)</t>
  </si>
  <si>
    <t xml:space="preserve">   ∆ mutui </t>
  </si>
  <si>
    <t xml:space="preserve">   ∆ banca c/c a vista</t>
  </si>
  <si>
    <t xml:space="preserve">    proventi finanziari </t>
  </si>
  <si>
    <t xml:space="preserve">   ∆ debiti v/controllante</t>
  </si>
  <si>
    <t xml:space="preserve">   dividendi pagati </t>
  </si>
  <si>
    <t xml:space="preserve">   interessi passivi pagati </t>
  </si>
  <si>
    <t xml:space="preserve">Cash Flow attività di finanziamento </t>
  </si>
  <si>
    <t>Incremento/decremento netto liquidità (A+B+C)</t>
  </si>
  <si>
    <t xml:space="preserve">esercizio x </t>
  </si>
  <si>
    <t xml:space="preserve">acquisto </t>
  </si>
  <si>
    <t xml:space="preserve">Dare </t>
  </si>
  <si>
    <t xml:space="preserve">Avere </t>
  </si>
  <si>
    <t xml:space="preserve">macchinari </t>
  </si>
  <si>
    <t xml:space="preserve">fornitori </t>
  </si>
  <si>
    <t xml:space="preserve">ammortamento </t>
  </si>
  <si>
    <t xml:space="preserve">fondo ammortamento </t>
  </si>
  <si>
    <t>Esercizio x+1</t>
  </si>
  <si>
    <t xml:space="preserve">determinazione ammortamento </t>
  </si>
  <si>
    <t xml:space="preserve">storno ammortamento </t>
  </si>
  <si>
    <t xml:space="preserve">macchinario </t>
  </si>
  <si>
    <t xml:space="preserve">valore contabile residuo </t>
  </si>
  <si>
    <t xml:space="preserve">valore di rivalutazione </t>
  </si>
  <si>
    <t xml:space="preserve">plusvalenza da fair value </t>
  </si>
  <si>
    <t xml:space="preserve">rilevazione rivalutazione </t>
  </si>
  <si>
    <t xml:space="preserve">Macchinario </t>
  </si>
  <si>
    <t xml:space="preserve">Plusvalenza OCI </t>
  </si>
  <si>
    <t>esercizio x+2</t>
  </si>
  <si>
    <t>destinazione risultato complessivo</t>
  </si>
  <si>
    <t>Dare</t>
  </si>
  <si>
    <t>Avere</t>
  </si>
  <si>
    <t>risultato complessivo</t>
  </si>
  <si>
    <t xml:space="preserve">riserva di rivalutazione OCI </t>
  </si>
  <si>
    <t>nuova quota d'ammortamento</t>
  </si>
  <si>
    <t>ammortamento</t>
  </si>
  <si>
    <t>fondo ammortamento</t>
  </si>
  <si>
    <t>ammortamenti sul costo</t>
  </si>
  <si>
    <t>ammortamenti sul valore rivalutato</t>
  </si>
  <si>
    <t>liberazione riserva di rivalutazione</t>
  </si>
  <si>
    <t>riserva di rivalutazione</t>
  </si>
  <si>
    <t>utili a nuovo</t>
  </si>
  <si>
    <t>storno fondo ammortamento</t>
  </si>
  <si>
    <t>macchinario</t>
  </si>
  <si>
    <t>fair value al 31/12/x+2</t>
  </si>
  <si>
    <t>valore contabile del bene</t>
  </si>
  <si>
    <t>rivalutazione</t>
  </si>
  <si>
    <t>rilevazione rivalutazione</t>
  </si>
  <si>
    <t>plusvalenza OCI</t>
  </si>
  <si>
    <t>Determinazione valore recuperabile = maggiore tra valore d'uso e fair value al netto dei costi di vendita</t>
  </si>
  <si>
    <t xml:space="preserve">Valore d'uso </t>
  </si>
  <si>
    <t>Flussi</t>
  </si>
  <si>
    <t>Flussi attualizzati</t>
  </si>
  <si>
    <t xml:space="preserve">fair value al netto dei costi di vendita </t>
  </si>
  <si>
    <t>perdita di valore</t>
  </si>
  <si>
    <t>4000000-3200000</t>
  </si>
  <si>
    <t xml:space="preserve">Svalutazione per perdita di valore </t>
  </si>
  <si>
    <t>a</t>
  </si>
  <si>
    <t>Marchi</t>
  </si>
  <si>
    <t>CPP Profit</t>
  </si>
  <si>
    <t>Ricavi</t>
  </si>
  <si>
    <t>Rimanenze iniziali</t>
  </si>
  <si>
    <t>Acquisti</t>
  </si>
  <si>
    <t xml:space="preserve">-Rimanenze finali </t>
  </si>
  <si>
    <t>Costo del venduto</t>
  </si>
  <si>
    <t>Ammortamento</t>
  </si>
  <si>
    <t>perdita su  beni monetari</t>
  </si>
  <si>
    <t>cassa nominale</t>
  </si>
  <si>
    <t>Ricavi - acquisti</t>
  </si>
  <si>
    <t>utile CPP</t>
  </si>
  <si>
    <t>Terreni</t>
  </si>
  <si>
    <t>Patrimonio</t>
  </si>
  <si>
    <t>Attrezzature</t>
  </si>
  <si>
    <t>Utile CPP</t>
  </si>
  <si>
    <t>-ammortamento</t>
  </si>
  <si>
    <t>Rimanenze</t>
  </si>
  <si>
    <t>Cassa</t>
  </si>
  <si>
    <t>Totale attivo</t>
  </si>
  <si>
    <t>Totale PN e Passività</t>
  </si>
  <si>
    <t>valore recuperabile</t>
  </si>
  <si>
    <t>acquisto macchinario</t>
  </si>
  <si>
    <t>debiti v/societa di leasing</t>
  </si>
  <si>
    <t>importo rata</t>
  </si>
  <si>
    <t>quota capitale</t>
  </si>
  <si>
    <t xml:space="preserve">quota interessi </t>
  </si>
  <si>
    <t xml:space="preserve">debito residuo </t>
  </si>
  <si>
    <t>pagamento rata leasing</t>
  </si>
  <si>
    <t>Banca c/c</t>
  </si>
  <si>
    <t>Piano d'ammortamento</t>
  </si>
  <si>
    <t>costo storico del bene</t>
  </si>
  <si>
    <t>f.do ammortamento</t>
  </si>
  <si>
    <t>valore residuo</t>
  </si>
  <si>
    <t xml:space="preserve">diritti d'uso macchinario </t>
  </si>
  <si>
    <t>capitale rimborsato + interessi</t>
  </si>
  <si>
    <t>x</t>
  </si>
  <si>
    <t>acquisto l'attività</t>
  </si>
  <si>
    <t>interessi + rimborso</t>
  </si>
  <si>
    <t>x+1</t>
  </si>
  <si>
    <t>x+2</t>
  </si>
  <si>
    <t>x+3</t>
  </si>
  <si>
    <t>Piano d'ammortamento finanziario</t>
  </si>
  <si>
    <t xml:space="preserve">Anno </t>
  </si>
  <si>
    <t>Rimborso del capitale</t>
  </si>
  <si>
    <t>Interessi pagati</t>
  </si>
  <si>
    <t>Interessi effettivi</t>
  </si>
  <si>
    <t>Differenza</t>
  </si>
  <si>
    <t>Capitale residuo</t>
  </si>
  <si>
    <t>acquisto attività finanziaria</t>
  </si>
  <si>
    <t>dare</t>
  </si>
  <si>
    <t>avere</t>
  </si>
  <si>
    <t>attività finanziaria</t>
  </si>
  <si>
    <t>banca c/c</t>
  </si>
  <si>
    <t>Diversi</t>
  </si>
  <si>
    <t>attività finanziaria HTM</t>
  </si>
  <si>
    <t>fair value al netto dei costi di vendita</t>
  </si>
  <si>
    <t>differenza</t>
  </si>
  <si>
    <t xml:space="preserve">valore netto contabile &gt; valore recuperabile = perdita di valore </t>
  </si>
  <si>
    <t xml:space="preserve">valore d'uso </t>
  </si>
  <si>
    <t xml:space="preserve">valore recuperabile </t>
  </si>
  <si>
    <t xml:space="preserve">valore netto contabile </t>
  </si>
  <si>
    <t>limire di ripristino</t>
  </si>
  <si>
    <t>valore netto contabile all'anno 3 senza svalutazione</t>
  </si>
  <si>
    <t xml:space="preserve">ripristino di valore </t>
  </si>
  <si>
    <t xml:space="preserve">marchio </t>
  </si>
  <si>
    <t>SP CPP 31.12.20x4</t>
  </si>
  <si>
    <t xml:space="preserve">piano di ammortamento finanziario </t>
  </si>
  <si>
    <t>TIR=9,70103%</t>
  </si>
  <si>
    <t xml:space="preserve">Diversi </t>
  </si>
  <si>
    <t>Debiti v/società di leasing</t>
  </si>
  <si>
    <t>Interessi passivi</t>
  </si>
  <si>
    <t>costo d'acquisto + costi di transazione</t>
  </si>
  <si>
    <t>Interessi attivi effettivo</t>
  </si>
  <si>
    <t xml:space="preserve">risultato del nostro rendiconto finanziario </t>
  </si>
  <si>
    <t>variazione negativa dei crediti</t>
  </si>
  <si>
    <t xml:space="preserve">variazione positiva dei debiti </t>
  </si>
  <si>
    <t>prezzo di vendita dell'impianto</t>
  </si>
  <si>
    <t>utile d'esercizio x</t>
  </si>
  <si>
    <t>utili esercizi precedenti</t>
  </si>
  <si>
    <t>variazione riserva</t>
  </si>
  <si>
    <t>dividendo pagato</t>
  </si>
  <si>
    <t xml:space="preserve">  Uscite dell'attività operativa </t>
  </si>
  <si>
    <t>differenza tra valore recuperabile e valore netto contabile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</si>
</sst>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9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00B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3" fillId="2" borderId="0" xfId="0" applyFont="1" applyFill="1"/>
    <xf numFmtId="0" fontId="2" fillId="2" borderId="0" xfId="0" applyFont="1" applyFill="1"/>
    <xf numFmtId="0" fontId="2" fillId="0" borderId="0" xfId="0" applyFont="1"/>
    <xf numFmtId="0" fontId="3" fillId="2" borderId="1" xfId="0" applyFont="1" applyFill="1" applyBorder="1"/>
    <xf numFmtId="3" fontId="0" fillId="0" borderId="0" xfId="0" applyNumberFormat="1"/>
    <xf numFmtId="3" fontId="3" fillId="2" borderId="1" xfId="0" applyNumberFormat="1" applyFont="1" applyFill="1" applyBorder="1"/>
    <xf numFmtId="0" fontId="4" fillId="2" borderId="0" xfId="0" applyFont="1" applyFill="1"/>
    <xf numFmtId="3" fontId="3" fillId="2" borderId="0" xfId="0" applyNumberFormat="1" applyFont="1" applyFill="1" applyBorder="1"/>
    <xf numFmtId="0" fontId="0" fillId="0" borderId="1" xfId="0" applyBorder="1"/>
    <xf numFmtId="0" fontId="2" fillId="2" borderId="1" xfId="0" applyFont="1" applyFill="1" applyBorder="1"/>
    <xf numFmtId="1" fontId="0" fillId="0" borderId="0" xfId="0" applyNumberFormat="1"/>
    <xf numFmtId="0" fontId="0" fillId="0" borderId="0" xfId="0" quotePrefix="1"/>
    <xf numFmtId="0" fontId="0" fillId="3" borderId="0" xfId="0" applyFill="1"/>
    <xf numFmtId="169" fontId="0" fillId="0" borderId="0" xfId="1" applyNumberFormat="1" applyFont="1"/>
    <xf numFmtId="0" fontId="4" fillId="0" borderId="0" xfId="0" applyFont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2" fillId="0" borderId="2" xfId="0" applyFont="1" applyBorder="1"/>
    <xf numFmtId="10" fontId="0" fillId="0" borderId="0" xfId="2" applyNumberFormat="1" applyFont="1"/>
    <xf numFmtId="3" fontId="2" fillId="0" borderId="0" xfId="0" applyNumberFormat="1" applyFont="1"/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10</xdr:row>
      <xdr:rowOff>85725</xdr:rowOff>
    </xdr:from>
    <xdr:to>
      <xdr:col>2</xdr:col>
      <xdr:colOff>485775</xdr:colOff>
      <xdr:row>10</xdr:row>
      <xdr:rowOff>85725</xdr:rowOff>
    </xdr:to>
    <xdr:cxnSp macro="">
      <xdr:nvCxnSpPr>
        <xdr:cNvPr id="2" name="Connettore 2 1">
          <a:extLst>
            <a:ext uri="{FF2B5EF4-FFF2-40B4-BE49-F238E27FC236}">
              <a16:creationId xmlns:a16="http://schemas.microsoft.com/office/drawing/2014/main" id="{088BD958-362F-403E-B6AF-CD622F4743CD}"/>
            </a:ext>
          </a:extLst>
        </xdr:cNvPr>
        <xdr:cNvCxnSpPr/>
      </xdr:nvCxnSpPr>
      <xdr:spPr>
        <a:xfrm flipH="1">
          <a:off x="1285875" y="1990725"/>
          <a:ext cx="4191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04D61-721D-4F25-8607-EF1475DCD3C9}">
  <dimension ref="A1:D58"/>
  <sheetViews>
    <sheetView workbookViewId="0">
      <selection activeCell="C58" sqref="C58"/>
    </sheetView>
  </sheetViews>
  <sheetFormatPr defaultRowHeight="15" x14ac:dyDescent="0.25"/>
  <cols>
    <col min="1" max="1" width="34.140625" bestFit="1" customWidth="1"/>
  </cols>
  <sheetData>
    <row r="1" spans="1:4" x14ac:dyDescent="0.25">
      <c r="A1" s="10" t="s">
        <v>44</v>
      </c>
      <c r="B1" s="1"/>
      <c r="C1" s="1"/>
    </row>
    <row r="2" spans="1:4" x14ac:dyDescent="0.25">
      <c r="A2" s="4" t="s">
        <v>45</v>
      </c>
      <c r="B2" s="4" t="s">
        <v>46</v>
      </c>
      <c r="C2" s="4" t="s">
        <v>47</v>
      </c>
    </row>
    <row r="3" spans="1:4" x14ac:dyDescent="0.25">
      <c r="A3" s="4" t="s">
        <v>48</v>
      </c>
      <c r="B3" s="6">
        <v>600000</v>
      </c>
      <c r="C3" s="6"/>
    </row>
    <row r="4" spans="1:4" x14ac:dyDescent="0.25">
      <c r="A4" s="4" t="s">
        <v>49</v>
      </c>
      <c r="B4" s="6"/>
      <c r="C4" s="6">
        <v>600000</v>
      </c>
    </row>
    <row r="6" spans="1:4" x14ac:dyDescent="0.25">
      <c r="A6" s="4" t="s">
        <v>50</v>
      </c>
      <c r="B6" s="6">
        <f>600000/5</f>
        <v>120000</v>
      </c>
      <c r="C6" s="6"/>
    </row>
    <row r="8" spans="1:4" x14ac:dyDescent="0.25">
      <c r="A8" s="4"/>
      <c r="B8" s="6" t="s">
        <v>46</v>
      </c>
      <c r="C8" s="6" t="s">
        <v>47</v>
      </c>
    </row>
    <row r="9" spans="1:4" x14ac:dyDescent="0.25">
      <c r="A9" s="4" t="s">
        <v>50</v>
      </c>
      <c r="B9" s="6">
        <v>120000</v>
      </c>
      <c r="C9" s="6"/>
    </row>
    <row r="10" spans="1:4" x14ac:dyDescent="0.25">
      <c r="A10" s="4" t="s">
        <v>51</v>
      </c>
      <c r="B10" s="6"/>
      <c r="C10" s="6">
        <v>120000</v>
      </c>
    </row>
    <row r="11" spans="1:4" x14ac:dyDescent="0.25">
      <c r="A11" s="1"/>
      <c r="B11" s="1"/>
      <c r="C11" s="1"/>
      <c r="D11" s="1"/>
    </row>
    <row r="12" spans="1:4" x14ac:dyDescent="0.25">
      <c r="A12" s="7" t="s">
        <v>52</v>
      </c>
    </row>
    <row r="13" spans="1:4" x14ac:dyDescent="0.25">
      <c r="A13" s="4" t="s">
        <v>53</v>
      </c>
    </row>
    <row r="14" spans="1:4" x14ac:dyDescent="0.25">
      <c r="A14" s="4" t="s">
        <v>50</v>
      </c>
      <c r="B14" s="6">
        <v>120000</v>
      </c>
      <c r="C14" s="6"/>
    </row>
    <row r="15" spans="1:4" x14ac:dyDescent="0.25">
      <c r="A15" s="4" t="s">
        <v>51</v>
      </c>
      <c r="B15" s="6"/>
      <c r="C15" s="6">
        <v>120000</v>
      </c>
    </row>
    <row r="17" spans="1:3" x14ac:dyDescent="0.25">
      <c r="A17" s="4" t="s">
        <v>54</v>
      </c>
      <c r="B17" s="6" t="s">
        <v>64</v>
      </c>
      <c r="C17" s="6" t="s">
        <v>65</v>
      </c>
    </row>
    <row r="18" spans="1:3" x14ac:dyDescent="0.25">
      <c r="A18" s="4" t="s">
        <v>51</v>
      </c>
      <c r="B18" s="6">
        <f>B14*2</f>
        <v>240000</v>
      </c>
      <c r="C18" s="6"/>
    </row>
    <row r="19" spans="1:3" x14ac:dyDescent="0.25">
      <c r="A19" s="4" t="s">
        <v>55</v>
      </c>
      <c r="B19" s="6"/>
      <c r="C19" s="6">
        <f>120000*2</f>
        <v>240000</v>
      </c>
    </row>
    <row r="21" spans="1:3" x14ac:dyDescent="0.25">
      <c r="A21" s="4" t="s">
        <v>56</v>
      </c>
      <c r="B21" s="6">
        <f>600000-240000</f>
        <v>360000</v>
      </c>
    </row>
    <row r="22" spans="1:3" x14ac:dyDescent="0.25">
      <c r="A22" s="4" t="s">
        <v>57</v>
      </c>
      <c r="B22" s="6">
        <v>480000</v>
      </c>
    </row>
    <row r="23" spans="1:3" x14ac:dyDescent="0.25">
      <c r="A23" s="4" t="s">
        <v>58</v>
      </c>
      <c r="B23" s="6">
        <f>B22-B21</f>
        <v>120000</v>
      </c>
    </row>
    <row r="25" spans="1:3" x14ac:dyDescent="0.25">
      <c r="A25" s="4" t="s">
        <v>59</v>
      </c>
      <c r="B25" s="6" t="s">
        <v>64</v>
      </c>
      <c r="C25" s="6" t="s">
        <v>65</v>
      </c>
    </row>
    <row r="26" spans="1:3" x14ac:dyDescent="0.25">
      <c r="A26" s="4" t="s">
        <v>60</v>
      </c>
      <c r="B26" s="6">
        <v>120000</v>
      </c>
      <c r="C26" s="6"/>
    </row>
    <row r="27" spans="1:3" x14ac:dyDescent="0.25">
      <c r="A27" s="4" t="s">
        <v>61</v>
      </c>
      <c r="B27" s="6"/>
      <c r="C27" s="6">
        <v>120000</v>
      </c>
    </row>
    <row r="28" spans="1:3" x14ac:dyDescent="0.25">
      <c r="A28" s="1"/>
    </row>
    <row r="29" spans="1:3" x14ac:dyDescent="0.25">
      <c r="A29" s="2" t="s">
        <v>62</v>
      </c>
    </row>
    <row r="30" spans="1:3" x14ac:dyDescent="0.25">
      <c r="A30" s="4" t="s">
        <v>63</v>
      </c>
      <c r="B30" s="6" t="s">
        <v>64</v>
      </c>
      <c r="C30" s="6" t="s">
        <v>65</v>
      </c>
    </row>
    <row r="31" spans="1:3" x14ac:dyDescent="0.25">
      <c r="A31" s="4" t="s">
        <v>66</v>
      </c>
      <c r="B31" s="6">
        <v>120000</v>
      </c>
      <c r="C31" s="6"/>
    </row>
    <row r="32" spans="1:3" x14ac:dyDescent="0.25">
      <c r="A32" s="4" t="s">
        <v>67</v>
      </c>
      <c r="B32" s="6"/>
      <c r="C32" s="6">
        <v>120000</v>
      </c>
    </row>
    <row r="33" spans="1:3" x14ac:dyDescent="0.25">
      <c r="A33" s="1"/>
    </row>
    <row r="34" spans="1:3" x14ac:dyDescent="0.25">
      <c r="A34" s="6" t="s">
        <v>68</v>
      </c>
      <c r="B34" s="6">
        <f>480000/3</f>
        <v>160000</v>
      </c>
    </row>
    <row r="36" spans="1:3" x14ac:dyDescent="0.25">
      <c r="A36" s="9"/>
      <c r="B36" s="9" t="s">
        <v>64</v>
      </c>
      <c r="C36" s="9" t="s">
        <v>65</v>
      </c>
    </row>
    <row r="37" spans="1:3" x14ac:dyDescent="0.25">
      <c r="A37" s="4" t="s">
        <v>69</v>
      </c>
      <c r="B37" s="6">
        <v>160000</v>
      </c>
      <c r="C37" s="6"/>
    </row>
    <row r="38" spans="1:3" x14ac:dyDescent="0.25">
      <c r="A38" s="4" t="s">
        <v>70</v>
      </c>
      <c r="B38" s="6"/>
      <c r="C38" s="6">
        <v>160000</v>
      </c>
    </row>
    <row r="40" spans="1:3" x14ac:dyDescent="0.25">
      <c r="A40" s="1" t="s">
        <v>71</v>
      </c>
      <c r="B40" s="6" t="e">
        <f>#REF!*3</f>
        <v>#REF!</v>
      </c>
      <c r="C40" s="6"/>
    </row>
    <row r="41" spans="1:3" x14ac:dyDescent="0.25">
      <c r="A41" s="1" t="s">
        <v>72</v>
      </c>
      <c r="B41" s="6">
        <v>160000</v>
      </c>
      <c r="C41" s="6"/>
    </row>
    <row r="42" spans="1:3" x14ac:dyDescent="0.25">
      <c r="A42" s="1" t="s">
        <v>149</v>
      </c>
      <c r="B42" s="8">
        <v>40000</v>
      </c>
      <c r="C42" s="8"/>
    </row>
    <row r="44" spans="1:3" x14ac:dyDescent="0.25">
      <c r="A44" s="1" t="s">
        <v>73</v>
      </c>
      <c r="B44" s="6" t="s">
        <v>64</v>
      </c>
      <c r="C44" s="6" t="s">
        <v>65</v>
      </c>
    </row>
    <row r="45" spans="1:3" x14ac:dyDescent="0.25">
      <c r="A45" s="1" t="s">
        <v>74</v>
      </c>
      <c r="B45" s="6">
        <f>40000</f>
        <v>40000</v>
      </c>
      <c r="C45" s="6"/>
    </row>
    <row r="46" spans="1:3" x14ac:dyDescent="0.25">
      <c r="A46" s="1" t="s">
        <v>75</v>
      </c>
      <c r="B46" s="6"/>
      <c r="C46" s="6">
        <v>40000</v>
      </c>
    </row>
    <row r="48" spans="1:3" x14ac:dyDescent="0.25">
      <c r="A48" s="1" t="s">
        <v>76</v>
      </c>
      <c r="B48" s="6" t="s">
        <v>64</v>
      </c>
      <c r="C48" s="6" t="s">
        <v>65</v>
      </c>
    </row>
    <row r="49" spans="1:3" x14ac:dyDescent="0.25">
      <c r="A49" s="1" t="s">
        <v>70</v>
      </c>
      <c r="B49" s="6">
        <v>160000</v>
      </c>
      <c r="C49" s="6"/>
    </row>
    <row r="50" spans="1:3" x14ac:dyDescent="0.25">
      <c r="A50" s="1" t="s">
        <v>77</v>
      </c>
      <c r="B50" s="6"/>
      <c r="C50" s="6">
        <v>160000</v>
      </c>
    </row>
    <row r="52" spans="1:3" x14ac:dyDescent="0.25">
      <c r="A52" s="1" t="s">
        <v>78</v>
      </c>
      <c r="B52" s="6" t="e">
        <f>#REF!*3</f>
        <v>#REF!</v>
      </c>
    </row>
    <row r="53" spans="1:3" x14ac:dyDescent="0.25">
      <c r="A53" s="1" t="s">
        <v>79</v>
      </c>
      <c r="B53" s="6">
        <f>480000-C50</f>
        <v>320000</v>
      </c>
    </row>
    <row r="54" spans="1:3" x14ac:dyDescent="0.25">
      <c r="A54" s="1" t="s">
        <v>80</v>
      </c>
      <c r="B54" s="6" t="e">
        <f>B52-B53</f>
        <v>#REF!</v>
      </c>
    </row>
    <row r="55" spans="1:3" x14ac:dyDescent="0.25">
      <c r="A55" s="1"/>
    </row>
    <row r="56" spans="1:3" x14ac:dyDescent="0.25">
      <c r="A56" s="1" t="s">
        <v>81</v>
      </c>
      <c r="B56" s="9" t="s">
        <v>64</v>
      </c>
      <c r="C56" s="9" t="s">
        <v>65</v>
      </c>
    </row>
    <row r="57" spans="1:3" x14ac:dyDescent="0.25">
      <c r="A57" s="1" t="s">
        <v>77</v>
      </c>
      <c r="B57" s="6">
        <v>130000</v>
      </c>
      <c r="C57" s="9"/>
    </row>
    <row r="58" spans="1:3" x14ac:dyDescent="0.25">
      <c r="A58" s="1" t="s">
        <v>82</v>
      </c>
      <c r="B58" s="6"/>
      <c r="C58" s="6">
        <v>130000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EB19C-E784-4E7D-9263-2ACF0297E521}">
  <dimension ref="A1:I31"/>
  <sheetViews>
    <sheetView topLeftCell="A10" zoomScaleNormal="100" workbookViewId="0">
      <selection activeCell="A30" sqref="A30:F31"/>
    </sheetView>
  </sheetViews>
  <sheetFormatPr defaultRowHeight="15" x14ac:dyDescent="0.25"/>
  <cols>
    <col min="1" max="1" width="12.28515625" customWidth="1"/>
  </cols>
  <sheetData>
    <row r="1" spans="1:6" x14ac:dyDescent="0.25">
      <c r="A1" t="s">
        <v>83</v>
      </c>
    </row>
    <row r="3" spans="1:6" x14ac:dyDescent="0.25">
      <c r="A3" t="s">
        <v>84</v>
      </c>
      <c r="B3" t="s">
        <v>85</v>
      </c>
      <c r="C3" t="s">
        <v>86</v>
      </c>
    </row>
    <row r="4" spans="1:6" x14ac:dyDescent="0.25">
      <c r="A4">
        <v>2013</v>
      </c>
      <c r="B4">
        <v>540000</v>
      </c>
      <c r="C4">
        <f>540000*(1+0.07)^-1</f>
        <v>504672.89719626168</v>
      </c>
      <c r="D4">
        <f>540000/(1+0.07)^1</f>
        <v>504672.89719626168</v>
      </c>
    </row>
    <row r="5" spans="1:6" x14ac:dyDescent="0.25">
      <c r="A5">
        <v>2014</v>
      </c>
      <c r="B5">
        <v>540000</v>
      </c>
      <c r="C5">
        <f>540000*(1+0.07)^-2</f>
        <v>471656.91326753423</v>
      </c>
    </row>
    <row r="6" spans="1:6" x14ac:dyDescent="0.25">
      <c r="A6">
        <v>2015</v>
      </c>
      <c r="B6">
        <v>540000</v>
      </c>
      <c r="C6">
        <f>540000*(1+0.07)^-3</f>
        <v>440800.85352106002</v>
      </c>
    </row>
    <row r="7" spans="1:6" x14ac:dyDescent="0.25">
      <c r="A7">
        <v>2016</v>
      </c>
      <c r="B7">
        <v>540000</v>
      </c>
      <c r="C7">
        <f>540000*(1+0.07)^-4</f>
        <v>411963.41450566362</v>
      </c>
    </row>
    <row r="8" spans="1:6" x14ac:dyDescent="0.25">
      <c r="A8">
        <v>2017</v>
      </c>
      <c r="B8">
        <v>540000</v>
      </c>
      <c r="C8">
        <f>540000*(1+0.07)^-5</f>
        <v>385012.5369211809</v>
      </c>
    </row>
    <row r="9" spans="1:6" x14ac:dyDescent="0.25">
      <c r="A9">
        <v>2018</v>
      </c>
      <c r="B9">
        <v>540000</v>
      </c>
      <c r="C9">
        <f>540000*(1+0.07)^-6</f>
        <v>359824.80086091679</v>
      </c>
    </row>
    <row r="10" spans="1:6" x14ac:dyDescent="0.25">
      <c r="A10">
        <v>2019</v>
      </c>
      <c r="B10">
        <v>540000</v>
      </c>
      <c r="C10">
        <f>540000*(1+0.07)^-7</f>
        <v>336284.86061767919</v>
      </c>
    </row>
    <row r="11" spans="1:6" x14ac:dyDescent="0.25">
      <c r="A11" s="3" t="s">
        <v>84</v>
      </c>
      <c r="B11" s="3"/>
      <c r="C11" s="3">
        <f>SUM(C4:C10)</f>
        <v>2910216.276890296</v>
      </c>
    </row>
    <row r="12" spans="1:6" x14ac:dyDescent="0.25">
      <c r="A12" s="3" t="s">
        <v>87</v>
      </c>
      <c r="B12" s="3"/>
      <c r="C12" s="3"/>
      <c r="D12" s="3"/>
      <c r="E12" s="3">
        <f>3280000-80000</f>
        <v>3200000</v>
      </c>
    </row>
    <row r="13" spans="1:6" x14ac:dyDescent="0.25">
      <c r="A13" s="3" t="s">
        <v>113</v>
      </c>
      <c r="B13" s="3"/>
      <c r="E13" s="3">
        <f>E12</f>
        <v>3200000</v>
      </c>
    </row>
    <row r="14" spans="1:6" x14ac:dyDescent="0.25">
      <c r="A14" s="3" t="s">
        <v>88</v>
      </c>
      <c r="B14" s="3"/>
      <c r="C14" s="3" t="s">
        <v>89</v>
      </c>
      <c r="D14" s="3"/>
      <c r="E14" s="3">
        <f>4000000-3200000</f>
        <v>800000</v>
      </c>
      <c r="F14" t="s">
        <v>150</v>
      </c>
    </row>
    <row r="15" spans="1:6" x14ac:dyDescent="0.25">
      <c r="C15" t="s">
        <v>64</v>
      </c>
      <c r="D15" t="s">
        <v>65</v>
      </c>
    </row>
    <row r="16" spans="1:6" x14ac:dyDescent="0.25">
      <c r="A16" t="s">
        <v>90</v>
      </c>
      <c r="C16">
        <v>800000</v>
      </c>
    </row>
    <row r="17" spans="1:9" x14ac:dyDescent="0.25">
      <c r="A17" t="s">
        <v>92</v>
      </c>
      <c r="D17">
        <v>800000</v>
      </c>
    </row>
    <row r="18" spans="1:9" x14ac:dyDescent="0.25">
      <c r="B18" t="s">
        <v>85</v>
      </c>
      <c r="C18" t="s">
        <v>86</v>
      </c>
    </row>
    <row r="19" spans="1:9" x14ac:dyDescent="0.25">
      <c r="A19">
        <v>2016</v>
      </c>
      <c r="B19">
        <v>720000</v>
      </c>
      <c r="C19">
        <f>B19*(1+0.06)^-1</f>
        <v>679245.28301886783</v>
      </c>
    </row>
    <row r="20" spans="1:9" x14ac:dyDescent="0.25">
      <c r="A20">
        <v>2017</v>
      </c>
      <c r="B20">
        <v>720000</v>
      </c>
      <c r="C20">
        <f>B20*(1+0.06)^-2</f>
        <v>640797.43681025272</v>
      </c>
    </row>
    <row r="21" spans="1:9" x14ac:dyDescent="0.25">
      <c r="A21">
        <v>2018</v>
      </c>
      <c r="B21">
        <v>720000</v>
      </c>
      <c r="C21">
        <f>B21*(1+0.06)^-3</f>
        <v>604525.8837832571</v>
      </c>
    </row>
    <row r="22" spans="1:9" x14ac:dyDescent="0.25">
      <c r="A22">
        <v>2019</v>
      </c>
      <c r="B22">
        <v>720000</v>
      </c>
      <c r="C22">
        <f>B22*(1+0.06)^-4</f>
        <v>570307.43753137474</v>
      </c>
    </row>
    <row r="23" spans="1:9" x14ac:dyDescent="0.25">
      <c r="A23" s="3" t="s">
        <v>151</v>
      </c>
      <c r="B23" s="3"/>
      <c r="C23" s="3">
        <f>SUM(C19:C22)</f>
        <v>2494876.0411437526</v>
      </c>
    </row>
    <row r="24" spans="1:9" x14ac:dyDescent="0.25">
      <c r="A24" s="3" t="s">
        <v>148</v>
      </c>
      <c r="B24" s="3"/>
      <c r="C24" s="3"/>
      <c r="D24" s="3"/>
      <c r="E24" s="3">
        <f>2980000-100000</f>
        <v>2880000</v>
      </c>
    </row>
    <row r="25" spans="1:9" x14ac:dyDescent="0.25">
      <c r="A25" s="3" t="s">
        <v>152</v>
      </c>
      <c r="B25" s="3"/>
      <c r="C25" s="3"/>
      <c r="D25" s="3"/>
      <c r="E25" s="3">
        <f>E24</f>
        <v>2880000</v>
      </c>
    </row>
    <row r="26" spans="1:9" x14ac:dyDescent="0.25">
      <c r="A26" s="3" t="s">
        <v>153</v>
      </c>
      <c r="E26" s="3">
        <f>I26</f>
        <v>2240000</v>
      </c>
      <c r="H26">
        <f>3200000/10</f>
        <v>320000</v>
      </c>
      <c r="I26">
        <f>3200000-3*H26</f>
        <v>2240000</v>
      </c>
    </row>
    <row r="27" spans="1:9" x14ac:dyDescent="0.25">
      <c r="A27" s="3" t="s">
        <v>175</v>
      </c>
      <c r="G27" s="3">
        <f>E25-E26</f>
        <v>640000</v>
      </c>
    </row>
    <row r="28" spans="1:9" x14ac:dyDescent="0.25">
      <c r="A28" s="3" t="s">
        <v>154</v>
      </c>
      <c r="C28" t="s">
        <v>155</v>
      </c>
      <c r="H28">
        <f>4000000/10</f>
        <v>400000</v>
      </c>
      <c r="I28">
        <f>4000000-3*400000</f>
        <v>2800000</v>
      </c>
    </row>
    <row r="29" spans="1:9" x14ac:dyDescent="0.25">
      <c r="A29" s="3" t="s">
        <v>156</v>
      </c>
      <c r="C29">
        <f>I28-E26</f>
        <v>560000</v>
      </c>
    </row>
    <row r="30" spans="1:9" x14ac:dyDescent="0.25">
      <c r="A30" s="3"/>
      <c r="B30" s="3"/>
      <c r="C30" s="3"/>
      <c r="D30" s="3"/>
      <c r="E30" s="3" t="s">
        <v>64</v>
      </c>
      <c r="F30" s="3" t="s">
        <v>65</v>
      </c>
    </row>
    <row r="31" spans="1:9" x14ac:dyDescent="0.25">
      <c r="A31" s="15" t="s">
        <v>157</v>
      </c>
      <c r="B31" s="15" t="s">
        <v>91</v>
      </c>
      <c r="C31" s="15" t="s">
        <v>156</v>
      </c>
      <c r="D31" s="15"/>
      <c r="E31" s="15">
        <v>560000</v>
      </c>
      <c r="F31" s="15">
        <v>560000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0CC22-9030-4220-AE65-19DA724509A2}">
  <dimension ref="A1:J23"/>
  <sheetViews>
    <sheetView topLeftCell="A12" workbookViewId="0">
      <selection activeCell="A27" sqref="A27"/>
    </sheetView>
  </sheetViews>
  <sheetFormatPr defaultRowHeight="15" x14ac:dyDescent="0.25"/>
  <cols>
    <col min="1" max="1" width="26.42578125" customWidth="1"/>
  </cols>
  <sheetData>
    <row r="1" spans="1:10" x14ac:dyDescent="0.25">
      <c r="A1" t="s">
        <v>93</v>
      </c>
    </row>
    <row r="2" spans="1:10" x14ac:dyDescent="0.25">
      <c r="A2" t="s">
        <v>94</v>
      </c>
      <c r="B2" s="11">
        <f>33000*130/120</f>
        <v>35750</v>
      </c>
    </row>
    <row r="3" spans="1:10" x14ac:dyDescent="0.25">
      <c r="A3" t="s">
        <v>95</v>
      </c>
      <c r="B3" s="11">
        <f>6000*130/110</f>
        <v>7090.909090909091</v>
      </c>
      <c r="D3">
        <f>1091-360</f>
        <v>731</v>
      </c>
    </row>
    <row r="4" spans="1:10" x14ac:dyDescent="0.25">
      <c r="A4" t="s">
        <v>96</v>
      </c>
      <c r="B4" s="11">
        <f>30000*130/120</f>
        <v>32500</v>
      </c>
    </row>
    <row r="5" spans="1:10" x14ac:dyDescent="0.25">
      <c r="B5" s="11">
        <f>B3+B4</f>
        <v>39590.909090909088</v>
      </c>
    </row>
    <row r="6" spans="1:10" x14ac:dyDescent="0.25">
      <c r="A6" s="12" t="s">
        <v>97</v>
      </c>
      <c r="B6" s="11">
        <f>9000*130/125</f>
        <v>9360</v>
      </c>
    </row>
    <row r="7" spans="1:10" x14ac:dyDescent="0.25">
      <c r="B7" s="11"/>
    </row>
    <row r="8" spans="1:10" x14ac:dyDescent="0.25">
      <c r="A8" t="s">
        <v>98</v>
      </c>
      <c r="B8" s="11">
        <f>B5-B6</f>
        <v>30230.909090909088</v>
      </c>
    </row>
    <row r="9" spans="1:10" x14ac:dyDescent="0.25">
      <c r="A9" t="s">
        <v>99</v>
      </c>
      <c r="B9">
        <f>3000*130/110</f>
        <v>3545.4545454545455</v>
      </c>
    </row>
    <row r="11" spans="1:10" x14ac:dyDescent="0.25">
      <c r="A11" t="s">
        <v>100</v>
      </c>
      <c r="B11">
        <f>J11</f>
        <v>-250</v>
      </c>
      <c r="D11" s="13" t="s">
        <v>101</v>
      </c>
      <c r="E11" s="13"/>
      <c r="F11" s="13" t="s">
        <v>102</v>
      </c>
      <c r="G11" s="13"/>
      <c r="H11" s="13">
        <v>3000</v>
      </c>
      <c r="I11" s="13">
        <f>H11*130/120</f>
        <v>3250</v>
      </c>
      <c r="J11" s="13">
        <f>H11-I11</f>
        <v>-250</v>
      </c>
    </row>
    <row r="12" spans="1:10" x14ac:dyDescent="0.25">
      <c r="A12" t="s">
        <v>103</v>
      </c>
      <c r="B12" s="11">
        <f>B2-B8-B9+B11</f>
        <v>1723.6363636363662</v>
      </c>
    </row>
    <row r="14" spans="1:10" x14ac:dyDescent="0.25">
      <c r="A14" t="s">
        <v>158</v>
      </c>
    </row>
    <row r="15" spans="1:10" x14ac:dyDescent="0.25">
      <c r="A15" t="s">
        <v>104</v>
      </c>
      <c r="B15">
        <f>18000*130/110</f>
        <v>21272.727272727272</v>
      </c>
      <c r="D15" t="s">
        <v>105</v>
      </c>
      <c r="E15">
        <f>36000*130/110</f>
        <v>42545.454545454544</v>
      </c>
    </row>
    <row r="16" spans="1:10" x14ac:dyDescent="0.25">
      <c r="A16" t="s">
        <v>106</v>
      </c>
      <c r="B16">
        <f>12000*130/110</f>
        <v>14181.818181818182</v>
      </c>
      <c r="D16" t="s">
        <v>107</v>
      </c>
      <c r="E16" s="11">
        <f>B12</f>
        <v>1723.6363636363662</v>
      </c>
    </row>
    <row r="17" spans="1:5" x14ac:dyDescent="0.25">
      <c r="A17" s="12" t="s">
        <v>108</v>
      </c>
      <c r="B17">
        <f>B9</f>
        <v>3545.4545454545455</v>
      </c>
    </row>
    <row r="18" spans="1:5" x14ac:dyDescent="0.25">
      <c r="B18">
        <f>B15+B16-B17</f>
        <v>31909.090909090912</v>
      </c>
    </row>
    <row r="20" spans="1:5" x14ac:dyDescent="0.25">
      <c r="A20" t="s">
        <v>109</v>
      </c>
      <c r="B20">
        <f>9000*130/125</f>
        <v>9360</v>
      </c>
    </row>
    <row r="21" spans="1:5" x14ac:dyDescent="0.25">
      <c r="A21" t="s">
        <v>110</v>
      </c>
      <c r="B21">
        <v>3000</v>
      </c>
    </row>
    <row r="22" spans="1:5" x14ac:dyDescent="0.25">
      <c r="B22">
        <f>B20+B21</f>
        <v>12360</v>
      </c>
    </row>
    <row r="23" spans="1:5" x14ac:dyDescent="0.25">
      <c r="A23" t="s">
        <v>111</v>
      </c>
      <c r="B23">
        <f>B18+B22</f>
        <v>44269.090909090912</v>
      </c>
      <c r="D23" t="s">
        <v>112</v>
      </c>
      <c r="E23">
        <f>E15+E16</f>
        <v>44269.090909090912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F43AB-6AE6-4C50-A1D5-23575DF5CE2A}">
  <dimension ref="A1:J23"/>
  <sheetViews>
    <sheetView tabSelected="1" topLeftCell="A2" workbookViewId="0">
      <selection activeCell="I22" sqref="I22"/>
    </sheetView>
  </sheetViews>
  <sheetFormatPr defaultRowHeight="15" x14ac:dyDescent="0.25"/>
  <cols>
    <col min="9" max="9" width="16.28515625" customWidth="1"/>
    <col min="10" max="10" width="18" customWidth="1"/>
  </cols>
  <sheetData>
    <row r="1" spans="1:10" x14ac:dyDescent="0.25">
      <c r="A1" t="s">
        <v>114</v>
      </c>
      <c r="C1" t="s">
        <v>64</v>
      </c>
      <c r="D1" t="s">
        <v>65</v>
      </c>
    </row>
    <row r="2" spans="1:10" x14ac:dyDescent="0.25">
      <c r="A2" t="s">
        <v>126</v>
      </c>
      <c r="C2" s="5">
        <v>400000</v>
      </c>
    </row>
    <row r="3" spans="1:10" x14ac:dyDescent="0.25">
      <c r="A3" t="s">
        <v>115</v>
      </c>
      <c r="D3" s="5">
        <v>400000</v>
      </c>
    </row>
    <row r="4" spans="1:10" x14ac:dyDescent="0.25">
      <c r="D4" s="5"/>
    </row>
    <row r="5" spans="1:10" x14ac:dyDescent="0.25">
      <c r="A5" s="3" t="s">
        <v>159</v>
      </c>
      <c r="B5" s="3"/>
      <c r="C5" s="3"/>
      <c r="D5" s="3"/>
      <c r="E5" t="s">
        <v>160</v>
      </c>
    </row>
    <row r="6" spans="1:10" x14ac:dyDescent="0.25">
      <c r="A6" t="s">
        <v>116</v>
      </c>
      <c r="B6" t="s">
        <v>117</v>
      </c>
      <c r="C6" t="s">
        <v>118</v>
      </c>
      <c r="D6" t="s">
        <v>119</v>
      </c>
    </row>
    <row r="7" spans="1:10" x14ac:dyDescent="0.25">
      <c r="D7" s="5">
        <v>400000</v>
      </c>
    </row>
    <row r="8" spans="1:10" x14ac:dyDescent="0.25">
      <c r="A8" s="5">
        <v>160000</v>
      </c>
      <c r="B8" s="5">
        <f>A8-C8</f>
        <v>121195.88</v>
      </c>
      <c r="C8">
        <f>9.70103%*D7</f>
        <v>38804.119999999995</v>
      </c>
      <c r="D8" s="5">
        <f>D7-B8</f>
        <v>278804.12</v>
      </c>
    </row>
    <row r="9" spans="1:10" x14ac:dyDescent="0.25">
      <c r="A9" s="5">
        <v>160000</v>
      </c>
      <c r="B9" s="5">
        <f>A9-C9</f>
        <v>132953.128677564</v>
      </c>
      <c r="C9">
        <f>9.70103%*D8</f>
        <v>27046.871322435996</v>
      </c>
      <c r="D9" s="5">
        <f>D8-B9</f>
        <v>145850.99132243599</v>
      </c>
    </row>
    <row r="10" spans="1:10" x14ac:dyDescent="0.25">
      <c r="A10" s="5">
        <v>160000</v>
      </c>
      <c r="B10" s="5">
        <f>A10-C10</f>
        <v>145850.95157651309</v>
      </c>
      <c r="C10">
        <f>9.70103%*D9</f>
        <v>14149.048423486911</v>
      </c>
      <c r="D10" s="5">
        <f>D9-B10</f>
        <v>3.9745922898873687E-2</v>
      </c>
    </row>
    <row r="11" spans="1:10" x14ac:dyDescent="0.25">
      <c r="I11" s="16" t="s">
        <v>162</v>
      </c>
      <c r="J11" s="16"/>
    </row>
    <row r="12" spans="1:10" x14ac:dyDescent="0.25">
      <c r="A12" s="3" t="s">
        <v>120</v>
      </c>
      <c r="B12" s="3"/>
      <c r="C12" s="3"/>
      <c r="D12" s="3" t="s">
        <v>142</v>
      </c>
      <c r="E12" s="3" t="s">
        <v>65</v>
      </c>
      <c r="I12" s="19">
        <v>121196</v>
      </c>
      <c r="J12" s="17">
        <v>400000</v>
      </c>
    </row>
    <row r="13" spans="1:10" ht="16.5" customHeight="1" x14ac:dyDescent="0.25">
      <c r="A13" s="3" t="s">
        <v>161</v>
      </c>
      <c r="B13" s="3" t="s">
        <v>91</v>
      </c>
      <c r="C13" s="21" t="s">
        <v>121</v>
      </c>
      <c r="D13" s="3"/>
      <c r="E13" s="3">
        <v>160000</v>
      </c>
      <c r="J13" s="18"/>
    </row>
    <row r="14" spans="1:10" x14ac:dyDescent="0.25">
      <c r="A14" s="3" t="s">
        <v>162</v>
      </c>
      <c r="B14" s="3"/>
      <c r="C14" s="21"/>
      <c r="D14" s="3">
        <v>121196</v>
      </c>
      <c r="E14" s="3"/>
      <c r="J14" s="18"/>
    </row>
    <row r="15" spans="1:10" x14ac:dyDescent="0.25">
      <c r="A15" s="3" t="s">
        <v>163</v>
      </c>
      <c r="B15" s="3"/>
      <c r="C15" s="3"/>
      <c r="D15" s="21">
        <f>C8</f>
        <v>38804.119999999995</v>
      </c>
      <c r="E15" s="3"/>
      <c r="J15" s="18"/>
    </row>
    <row r="17" spans="1:5" x14ac:dyDescent="0.25">
      <c r="A17" s="3" t="s">
        <v>122</v>
      </c>
      <c r="B17" s="3"/>
      <c r="C17" s="3"/>
    </row>
    <row r="18" spans="1:5" x14ac:dyDescent="0.25">
      <c r="A18" t="s">
        <v>123</v>
      </c>
      <c r="C18" t="s">
        <v>69</v>
      </c>
      <c r="D18" t="s">
        <v>124</v>
      </c>
      <c r="E18" t="s">
        <v>125</v>
      </c>
    </row>
    <row r="19" spans="1:5" x14ac:dyDescent="0.25">
      <c r="A19" s="5">
        <v>400000</v>
      </c>
      <c r="C19">
        <f>400000/5</f>
        <v>80000</v>
      </c>
      <c r="D19">
        <f>C19</f>
        <v>80000</v>
      </c>
      <c r="E19" s="5">
        <f>A19-D19</f>
        <v>320000</v>
      </c>
    </row>
    <row r="20" spans="1:5" x14ac:dyDescent="0.25">
      <c r="A20" s="5">
        <v>400000</v>
      </c>
      <c r="C20">
        <f t="shared" ref="C20:C23" si="0">400000/5</f>
        <v>80000</v>
      </c>
      <c r="D20">
        <f>C19+C20</f>
        <v>160000</v>
      </c>
      <c r="E20" s="5">
        <f t="shared" ref="E20:E23" si="1">A20-D20</f>
        <v>240000</v>
      </c>
    </row>
    <row r="21" spans="1:5" x14ac:dyDescent="0.25">
      <c r="A21" s="5">
        <v>400000</v>
      </c>
      <c r="C21">
        <f t="shared" si="0"/>
        <v>80000</v>
      </c>
      <c r="D21">
        <f>C19+C20+C21</f>
        <v>240000</v>
      </c>
      <c r="E21" s="5">
        <f t="shared" si="1"/>
        <v>160000</v>
      </c>
    </row>
    <row r="22" spans="1:5" x14ac:dyDescent="0.25">
      <c r="A22" s="5">
        <v>400000</v>
      </c>
      <c r="C22">
        <f t="shared" si="0"/>
        <v>80000</v>
      </c>
      <c r="D22">
        <f>D21+C22</f>
        <v>320000</v>
      </c>
      <c r="E22" s="5">
        <f t="shared" si="1"/>
        <v>80000</v>
      </c>
    </row>
    <row r="23" spans="1:5" x14ac:dyDescent="0.25">
      <c r="A23" s="5">
        <v>400000</v>
      </c>
      <c r="C23">
        <f t="shared" si="0"/>
        <v>80000</v>
      </c>
      <c r="D23">
        <f>D22+C23</f>
        <v>400000</v>
      </c>
      <c r="E23" s="5">
        <f t="shared" si="1"/>
        <v>0</v>
      </c>
    </row>
  </sheetData>
  <mergeCells count="1">
    <mergeCell ref="I11:J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288BC-4858-47CD-95CE-32082ADA5675}">
  <dimension ref="A2:G27"/>
  <sheetViews>
    <sheetView topLeftCell="A5" workbookViewId="0">
      <selection activeCell="G26" sqref="G26"/>
    </sheetView>
  </sheetViews>
  <sheetFormatPr defaultRowHeight="15" x14ac:dyDescent="0.25"/>
  <sheetData>
    <row r="2" spans="1:7" x14ac:dyDescent="0.25">
      <c r="B2" t="s">
        <v>127</v>
      </c>
    </row>
    <row r="3" spans="1:7" x14ac:dyDescent="0.25">
      <c r="A3" t="s">
        <v>128</v>
      </c>
      <c r="B3" t="s">
        <v>129</v>
      </c>
      <c r="D3">
        <v>-1465000</v>
      </c>
    </row>
    <row r="4" spans="1:7" x14ac:dyDescent="0.25">
      <c r="A4" t="s">
        <v>128</v>
      </c>
      <c r="B4" t="s">
        <v>130</v>
      </c>
      <c r="D4">
        <v>368000</v>
      </c>
    </row>
    <row r="5" spans="1:7" x14ac:dyDescent="0.25">
      <c r="A5" t="s">
        <v>131</v>
      </c>
      <c r="B5" t="s">
        <v>130</v>
      </c>
      <c r="D5">
        <v>344000</v>
      </c>
    </row>
    <row r="6" spans="1:7" x14ac:dyDescent="0.25">
      <c r="A6" t="s">
        <v>132</v>
      </c>
      <c r="B6" t="s">
        <v>130</v>
      </c>
      <c r="D6">
        <v>520000</v>
      </c>
    </row>
    <row r="7" spans="1:7" x14ac:dyDescent="0.25">
      <c r="A7" t="s">
        <v>133</v>
      </c>
      <c r="B7" t="s">
        <v>130</v>
      </c>
      <c r="D7">
        <v>672000</v>
      </c>
    </row>
    <row r="8" spans="1:7" x14ac:dyDescent="0.25">
      <c r="D8" s="20">
        <f>IRR(D3:D7)</f>
        <v>0.10098950959590458</v>
      </c>
    </row>
    <row r="10" spans="1:7" x14ac:dyDescent="0.25">
      <c r="A10" t="s">
        <v>134</v>
      </c>
    </row>
    <row r="12" spans="1:7" x14ac:dyDescent="0.25">
      <c r="A12" t="s">
        <v>135</v>
      </c>
      <c r="B12" t="s">
        <v>136</v>
      </c>
      <c r="C12" t="s">
        <v>137</v>
      </c>
      <c r="D12" t="s">
        <v>138</v>
      </c>
      <c r="E12" t="s">
        <v>139</v>
      </c>
      <c r="F12" t="s">
        <v>140</v>
      </c>
    </row>
    <row r="13" spans="1:7" x14ac:dyDescent="0.25">
      <c r="A13" t="s">
        <v>128</v>
      </c>
      <c r="F13">
        <v>1465000</v>
      </c>
      <c r="G13" t="s">
        <v>164</v>
      </c>
    </row>
    <row r="14" spans="1:7" x14ac:dyDescent="0.25">
      <c r="A14" t="s">
        <v>128</v>
      </c>
      <c r="B14">
        <v>-200000</v>
      </c>
      <c r="C14">
        <v>168000</v>
      </c>
      <c r="D14" s="3">
        <f>D8*F13</f>
        <v>147949.6315580002</v>
      </c>
      <c r="E14">
        <f>D14-C14</f>
        <v>-20050.368441999803</v>
      </c>
      <c r="F14">
        <f>F13+B14+E14</f>
        <v>1244949.6315580001</v>
      </c>
    </row>
    <row r="15" spans="1:7" x14ac:dyDescent="0.25">
      <c r="A15" t="s">
        <v>131</v>
      </c>
      <c r="B15">
        <v>-200000</v>
      </c>
      <c r="C15">
        <v>144000</v>
      </c>
      <c r="D15">
        <f>D8*F14</f>
        <v>125726.85276264453</v>
      </c>
      <c r="E15">
        <f>D15-C15</f>
        <v>-18273.147237355472</v>
      </c>
      <c r="F15">
        <f>F14+B15+E15</f>
        <v>1026676.4843206446</v>
      </c>
    </row>
    <row r="16" spans="1:7" x14ac:dyDescent="0.25">
      <c r="A16" t="s">
        <v>132</v>
      </c>
      <c r="B16">
        <v>-400000</v>
      </c>
      <c r="C16">
        <v>120000</v>
      </c>
      <c r="D16">
        <f>D8*F15</f>
        <v>103683.55466518932</v>
      </c>
      <c r="E16">
        <f>D16-C16</f>
        <v>-16316.445334810676</v>
      </c>
      <c r="F16">
        <f>F15+B16+E16</f>
        <v>610360.03898583399</v>
      </c>
    </row>
    <row r="17" spans="1:6" x14ac:dyDescent="0.25">
      <c r="A17" t="s">
        <v>133</v>
      </c>
      <c r="B17">
        <v>-600000</v>
      </c>
      <c r="C17">
        <v>72000</v>
      </c>
      <c r="D17">
        <f>D8*F16</f>
        <v>61639.961014116576</v>
      </c>
      <c r="E17">
        <f>D17-C17</f>
        <v>-10360.038985883424</v>
      </c>
      <c r="F17" s="14">
        <f>F16+B17+E17</f>
        <v>-4.9432856030762196E-8</v>
      </c>
    </row>
    <row r="18" spans="1:6" x14ac:dyDescent="0.25">
      <c r="E18" s="3">
        <f>SUM(E14:E17)</f>
        <v>-65000.000000049375</v>
      </c>
    </row>
    <row r="19" spans="1:6" x14ac:dyDescent="0.25">
      <c r="A19" t="s">
        <v>141</v>
      </c>
    </row>
    <row r="20" spans="1:6" x14ac:dyDescent="0.25">
      <c r="E20" t="s">
        <v>142</v>
      </c>
      <c r="F20" t="s">
        <v>143</v>
      </c>
    </row>
    <row r="21" spans="1:6" x14ac:dyDescent="0.25">
      <c r="A21" t="s">
        <v>144</v>
      </c>
      <c r="C21" t="s">
        <v>91</v>
      </c>
      <c r="D21" t="s">
        <v>121</v>
      </c>
      <c r="E21">
        <v>1465000</v>
      </c>
      <c r="F21">
        <v>1465000</v>
      </c>
    </row>
    <row r="22" spans="1:6" x14ac:dyDescent="0.25">
      <c r="E22" t="s">
        <v>142</v>
      </c>
      <c r="F22" t="s">
        <v>143</v>
      </c>
    </row>
    <row r="23" spans="1:6" x14ac:dyDescent="0.25">
      <c r="A23" t="s">
        <v>145</v>
      </c>
      <c r="C23" t="s">
        <v>91</v>
      </c>
      <c r="D23" t="s">
        <v>144</v>
      </c>
      <c r="E23">
        <v>200000</v>
      </c>
      <c r="F23">
        <v>200000</v>
      </c>
    </row>
    <row r="24" spans="1:6" x14ac:dyDescent="0.25">
      <c r="E24" t="s">
        <v>142</v>
      </c>
      <c r="F24" t="s">
        <v>143</v>
      </c>
    </row>
    <row r="25" spans="1:6" x14ac:dyDescent="0.25">
      <c r="A25" t="s">
        <v>145</v>
      </c>
      <c r="C25" t="s">
        <v>91</v>
      </c>
      <c r="D25" t="s">
        <v>146</v>
      </c>
      <c r="E25">
        <v>168000</v>
      </c>
    </row>
    <row r="26" spans="1:6" x14ac:dyDescent="0.25">
      <c r="D26" t="s">
        <v>165</v>
      </c>
      <c r="F26" s="3">
        <v>147949.6</v>
      </c>
    </row>
    <row r="27" spans="1:6" x14ac:dyDescent="0.25">
      <c r="D27" t="s">
        <v>147</v>
      </c>
      <c r="F27" s="3">
        <f>-E14</f>
        <v>20050.368441999803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6CB94-B40C-4485-ADC5-70AA1D5AD3A7}">
  <dimension ref="A1:F35"/>
  <sheetViews>
    <sheetView topLeftCell="A6" workbookViewId="0">
      <selection activeCell="A25" sqref="A25"/>
    </sheetView>
  </sheetViews>
  <sheetFormatPr defaultRowHeight="15" x14ac:dyDescent="0.25"/>
  <cols>
    <col min="1" max="1" width="61.28515625" bestFit="1" customWidth="1"/>
    <col min="4" max="4" width="33.7109375" customWidth="1"/>
    <col min="5" max="5" width="59.28515625" bestFit="1" customWidth="1"/>
  </cols>
  <sheetData>
    <row r="1" spans="1:6" x14ac:dyDescent="0.25">
      <c r="A1" t="s">
        <v>0</v>
      </c>
    </row>
    <row r="2" spans="1:6" x14ac:dyDescent="0.25">
      <c r="B2" t="s">
        <v>1</v>
      </c>
      <c r="C2" t="s">
        <v>2</v>
      </c>
      <c r="D2" t="s">
        <v>3</v>
      </c>
    </row>
    <row r="3" spans="1:6" x14ac:dyDescent="0.25">
      <c r="A3" t="s">
        <v>4</v>
      </c>
      <c r="B3">
        <v>5760</v>
      </c>
      <c r="C3">
        <v>19200</v>
      </c>
      <c r="D3">
        <v>-13440</v>
      </c>
      <c r="E3" t="s">
        <v>166</v>
      </c>
    </row>
    <row r="4" spans="1:6" x14ac:dyDescent="0.25">
      <c r="A4" t="s">
        <v>5</v>
      </c>
      <c r="B4">
        <v>5760</v>
      </c>
      <c r="C4">
        <v>19200</v>
      </c>
      <c r="D4">
        <v>-13440</v>
      </c>
    </row>
    <row r="7" spans="1:6" x14ac:dyDescent="0.25">
      <c r="A7" t="s">
        <v>6</v>
      </c>
    </row>
    <row r="8" spans="1:6" x14ac:dyDescent="0.25">
      <c r="E8" t="s">
        <v>7</v>
      </c>
    </row>
    <row r="9" spans="1:6" x14ac:dyDescent="0.25">
      <c r="F9" t="s">
        <v>1</v>
      </c>
    </row>
    <row r="10" spans="1:6" x14ac:dyDescent="0.25">
      <c r="A10" t="s">
        <v>8</v>
      </c>
      <c r="B10">
        <v>20544</v>
      </c>
      <c r="E10" t="s">
        <v>9</v>
      </c>
    </row>
    <row r="11" spans="1:6" x14ac:dyDescent="0.25">
      <c r="A11" t="s">
        <v>10</v>
      </c>
      <c r="B11">
        <v>31872</v>
      </c>
      <c r="E11" t="s">
        <v>11</v>
      </c>
      <c r="F11">
        <v>408000</v>
      </c>
    </row>
    <row r="12" spans="1:6" x14ac:dyDescent="0.25">
      <c r="A12" t="s">
        <v>12</v>
      </c>
      <c r="B12">
        <v>-2688</v>
      </c>
      <c r="E12" t="s">
        <v>13</v>
      </c>
      <c r="F12">
        <v>14880</v>
      </c>
    </row>
    <row r="13" spans="1:6" x14ac:dyDescent="0.25">
      <c r="A13" t="s">
        <v>14</v>
      </c>
      <c r="B13">
        <v>6432</v>
      </c>
      <c r="E13" t="s">
        <v>15</v>
      </c>
      <c r="F13">
        <v>24960</v>
      </c>
    </row>
    <row r="14" spans="1:6" x14ac:dyDescent="0.25">
      <c r="A14" t="s">
        <v>16</v>
      </c>
      <c r="B14">
        <v>6240</v>
      </c>
      <c r="E14" t="s">
        <v>17</v>
      </c>
      <c r="F14">
        <v>2400</v>
      </c>
    </row>
    <row r="15" spans="1:6" x14ac:dyDescent="0.25">
      <c r="A15" t="s">
        <v>18</v>
      </c>
      <c r="B15">
        <v>-38400</v>
      </c>
      <c r="E15" t="s">
        <v>19</v>
      </c>
      <c r="F15">
        <v>450240</v>
      </c>
    </row>
    <row r="16" spans="1:6" x14ac:dyDescent="0.25">
      <c r="A16" t="s">
        <v>20</v>
      </c>
      <c r="B16">
        <v>24000</v>
      </c>
      <c r="E16" t="s">
        <v>174</v>
      </c>
    </row>
    <row r="17" spans="1:6" x14ac:dyDescent="0.25">
      <c r="A17" t="s">
        <v>21</v>
      </c>
      <c r="B17">
        <v>39840</v>
      </c>
      <c r="C17">
        <f>19200-4320+34080-9120</f>
        <v>39840</v>
      </c>
      <c r="D17" t="s">
        <v>167</v>
      </c>
      <c r="E17" t="s">
        <v>22</v>
      </c>
      <c r="F17">
        <f>120000+160240+101760</f>
        <v>382000</v>
      </c>
    </row>
    <row r="18" spans="1:6" x14ac:dyDescent="0.25">
      <c r="A18" t="s">
        <v>23</v>
      </c>
      <c r="B18">
        <v>63408</v>
      </c>
      <c r="C18">
        <f>85488-39120+25440-8400</f>
        <v>63408</v>
      </c>
      <c r="D18" t="s">
        <v>168</v>
      </c>
      <c r="E18" t="s">
        <v>24</v>
      </c>
      <c r="F18">
        <v>-63408</v>
      </c>
    </row>
    <row r="19" spans="1:6" x14ac:dyDescent="0.25">
      <c r="A19" t="s">
        <v>25</v>
      </c>
      <c r="B19">
        <v>2400</v>
      </c>
      <c r="E19" t="s">
        <v>26</v>
      </c>
      <c r="F19">
        <v>-2448</v>
      </c>
    </row>
    <row r="20" spans="1:6" x14ac:dyDescent="0.25">
      <c r="A20" t="s">
        <v>27</v>
      </c>
      <c r="B20">
        <v>2448</v>
      </c>
      <c r="E20" t="s">
        <v>28</v>
      </c>
      <c r="F20">
        <v>318144</v>
      </c>
    </row>
    <row r="21" spans="1:6" x14ac:dyDescent="0.25">
      <c r="A21" t="s">
        <v>29</v>
      </c>
      <c r="C21">
        <v>132096</v>
      </c>
      <c r="E21" t="s">
        <v>29</v>
      </c>
    </row>
    <row r="22" spans="1:6" x14ac:dyDescent="0.25">
      <c r="A22" t="s">
        <v>30</v>
      </c>
      <c r="B22">
        <v>-10032</v>
      </c>
      <c r="E22" t="s">
        <v>30</v>
      </c>
      <c r="F22">
        <v>-10032</v>
      </c>
    </row>
    <row r="23" spans="1:6" x14ac:dyDescent="0.25">
      <c r="A23" t="s">
        <v>31</v>
      </c>
      <c r="B23">
        <f>10032-1680</f>
        <v>8352</v>
      </c>
      <c r="E23" t="s">
        <v>31</v>
      </c>
      <c r="F23">
        <v>8352</v>
      </c>
    </row>
    <row r="24" spans="1:6" x14ac:dyDescent="0.25">
      <c r="A24" s="3" t="s">
        <v>32</v>
      </c>
      <c r="B24" s="3"/>
      <c r="C24" s="3">
        <f>C21+B22+B23</f>
        <v>130416</v>
      </c>
      <c r="D24" s="3"/>
      <c r="E24" s="3" t="s">
        <v>32</v>
      </c>
      <c r="F24" s="3">
        <f>F15-F20+F22+F23</f>
        <v>130416</v>
      </c>
    </row>
    <row r="25" spans="1:6" x14ac:dyDescent="0.25">
      <c r="A25" t="s">
        <v>33</v>
      </c>
      <c r="B25">
        <v>-141120</v>
      </c>
      <c r="C25">
        <f>-28800-91200-19200-14400+12480</f>
        <v>-141120</v>
      </c>
    </row>
    <row r="26" spans="1:6" x14ac:dyDescent="0.25">
      <c r="A26" t="s">
        <v>34</v>
      </c>
      <c r="B26">
        <v>43200</v>
      </c>
      <c r="C26" t="s">
        <v>169</v>
      </c>
    </row>
    <row r="27" spans="1:6" x14ac:dyDescent="0.25">
      <c r="A27" t="s">
        <v>35</v>
      </c>
      <c r="C27">
        <v>-97920</v>
      </c>
    </row>
    <row r="28" spans="1:6" x14ac:dyDescent="0.25">
      <c r="A28" t="s">
        <v>36</v>
      </c>
      <c r="B28">
        <v>-28848</v>
      </c>
      <c r="C28">
        <f>43152-72000</f>
        <v>-28848</v>
      </c>
    </row>
    <row r="29" spans="1:6" x14ac:dyDescent="0.25">
      <c r="A29" t="s">
        <v>37</v>
      </c>
      <c r="B29">
        <v>480</v>
      </c>
      <c r="C29">
        <f>5280-4800</f>
        <v>480</v>
      </c>
    </row>
    <row r="30" spans="1:6" x14ac:dyDescent="0.25">
      <c r="A30" t="s">
        <v>38</v>
      </c>
      <c r="B30">
        <v>2688</v>
      </c>
    </row>
    <row r="31" spans="1:6" x14ac:dyDescent="0.25">
      <c r="A31" t="s">
        <v>39</v>
      </c>
      <c r="B31">
        <v>-12864</v>
      </c>
      <c r="D31" t="s">
        <v>170</v>
      </c>
      <c r="E31">
        <v>10512</v>
      </c>
    </row>
    <row r="32" spans="1:6" x14ac:dyDescent="0.25">
      <c r="A32" t="s">
        <v>40</v>
      </c>
      <c r="B32">
        <v>-960</v>
      </c>
      <c r="D32" t="s">
        <v>171</v>
      </c>
      <c r="E32">
        <f>10512+1680-10512</f>
        <v>1680</v>
      </c>
    </row>
    <row r="33" spans="1:5" x14ac:dyDescent="0.25">
      <c r="A33" t="s">
        <v>41</v>
      </c>
      <c r="B33">
        <v>-6432</v>
      </c>
      <c r="D33" t="s">
        <v>172</v>
      </c>
      <c r="E33">
        <f>4128-3408</f>
        <v>720</v>
      </c>
    </row>
    <row r="34" spans="1:5" x14ac:dyDescent="0.25">
      <c r="A34" t="s">
        <v>42</v>
      </c>
      <c r="C34">
        <v>-45936</v>
      </c>
      <c r="D34" t="s">
        <v>173</v>
      </c>
      <c r="E34">
        <f>E32-E33</f>
        <v>960</v>
      </c>
    </row>
    <row r="35" spans="1:5" x14ac:dyDescent="0.25">
      <c r="A35" t="s">
        <v>43</v>
      </c>
      <c r="C35">
        <v>-13440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1</vt:lpstr>
      <vt:lpstr>2</vt:lpstr>
      <vt:lpstr>3</vt:lpstr>
      <vt:lpstr>4</vt:lpstr>
      <vt:lpstr>5</vt:lpstr>
      <vt:lpstr>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Rossi</dc:creator>
  <cp:lastModifiedBy>Paola Rossi</cp:lastModifiedBy>
  <dcterms:created xsi:type="dcterms:W3CDTF">2022-01-17T11:28:22Z</dcterms:created>
  <dcterms:modified xsi:type="dcterms:W3CDTF">2022-01-17T18:09:41Z</dcterms:modified>
</cp:coreProperties>
</file>