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s-my.sharepoint.com/personal/5179_ds_units_it/Documents/aa UNIVERSITA'/DIDATTICA/CORSI/ANALISI BILANCO E BILANCIO CONSOLIDATO/2022/"/>
    </mc:Choice>
  </mc:AlternateContent>
  <xr:revisionPtr revIDLastSave="9" documentId="8_{F2F33D6F-A7A8-E244-B56E-5EF657706337}" xr6:coauthVersionLast="47" xr6:coauthVersionMax="47" xr10:uidLastSave="{9193A511-A037-2349-A958-C3CC6907D3BC}"/>
  <bookViews>
    <workbookView xWindow="0" yWindow="0" windowWidth="38400" windowHeight="24000" activeTab="1" xr2:uid="{5013606C-5F23-C348-BAF7-30913E5E4DDB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" l="1"/>
  <c r="K10" i="2"/>
  <c r="K9" i="2"/>
  <c r="K8" i="2"/>
  <c r="K7" i="2"/>
  <c r="K6" i="2"/>
  <c r="K5" i="2"/>
  <c r="K4" i="2"/>
  <c r="H10" i="2"/>
  <c r="K12" i="2" s="1"/>
  <c r="H7" i="2"/>
  <c r="H6" i="2"/>
  <c r="H4" i="2"/>
  <c r="K3" i="2"/>
  <c r="H3" i="2"/>
  <c r="J10" i="2"/>
  <c r="G10" i="2"/>
  <c r="C38" i="2"/>
  <c r="C27" i="2"/>
  <c r="C32" i="2"/>
  <c r="C31" i="2" s="1"/>
  <c r="G22" i="2"/>
  <c r="E16" i="3"/>
  <c r="E12" i="3"/>
  <c r="E11" i="3"/>
  <c r="G28" i="2"/>
  <c r="G27" i="2"/>
  <c r="G21" i="2"/>
  <c r="C22" i="2" s="1"/>
  <c r="C13" i="2"/>
  <c r="C11" i="2"/>
  <c r="C10" i="2"/>
  <c r="C9" i="2"/>
  <c r="C6" i="2"/>
  <c r="C7" i="2" s="1"/>
  <c r="C5" i="2"/>
  <c r="C4" i="2"/>
  <c r="D52" i="1"/>
  <c r="C52" i="1"/>
  <c r="E42" i="1"/>
  <c r="I42" i="1"/>
  <c r="C38" i="1"/>
  <c r="B38" i="1"/>
  <c r="B29" i="1"/>
  <c r="I21" i="1"/>
  <c r="Q8" i="1"/>
  <c r="N22" i="1"/>
  <c r="M10" i="1"/>
  <c r="P10" i="1"/>
  <c r="N15" i="1"/>
  <c r="C58" i="1"/>
  <c r="B57" i="1"/>
  <c r="D31" i="1"/>
  <c r="D20" i="1"/>
  <c r="D36" i="1"/>
  <c r="E36" i="1"/>
  <c r="F36" i="1"/>
  <c r="G36" i="1"/>
  <c r="H36" i="1"/>
  <c r="C36" i="1"/>
  <c r="F35" i="1"/>
  <c r="G35" i="1"/>
  <c r="H35" i="1"/>
  <c r="E35" i="1"/>
  <c r="D34" i="1"/>
  <c r="E34" i="1"/>
  <c r="F34" i="1"/>
  <c r="G34" i="1"/>
  <c r="H34" i="1"/>
  <c r="C34" i="1"/>
  <c r="F33" i="1"/>
  <c r="G33" i="1"/>
  <c r="H33" i="1"/>
  <c r="E33" i="1"/>
  <c r="I33" i="1" s="1"/>
  <c r="E32" i="1"/>
  <c r="F32" i="1"/>
  <c r="G32" i="1"/>
  <c r="H32" i="1"/>
  <c r="D32" i="1"/>
  <c r="D27" i="1"/>
  <c r="E27" i="1"/>
  <c r="F27" i="1"/>
  <c r="H28" i="1" s="1"/>
  <c r="G27" i="1"/>
  <c r="H27" i="1"/>
  <c r="C27" i="1"/>
  <c r="E28" i="1" s="1"/>
  <c r="E20" i="1"/>
  <c r="F20" i="1"/>
  <c r="F38" i="1" s="1"/>
  <c r="G20" i="1"/>
  <c r="G38" i="1" s="1"/>
  <c r="H20" i="1"/>
  <c r="H38" i="1" s="1"/>
  <c r="E21" i="1"/>
  <c r="E41" i="1" s="1"/>
  <c r="I40" i="1" s="1"/>
  <c r="C31" i="1"/>
  <c r="D19" i="1"/>
  <c r="D29" i="1" s="1"/>
  <c r="E19" i="1"/>
  <c r="E29" i="1" s="1"/>
  <c r="F19" i="1"/>
  <c r="F29" i="1" s="1"/>
  <c r="G19" i="1"/>
  <c r="G29" i="1" s="1"/>
  <c r="H19" i="1"/>
  <c r="C19" i="1"/>
  <c r="D18" i="1" s="1"/>
  <c r="D37" i="1" s="1"/>
  <c r="I12" i="1"/>
  <c r="I11" i="1"/>
  <c r="G13" i="1"/>
  <c r="H13" i="1"/>
  <c r="F13" i="1"/>
  <c r="D8" i="1"/>
  <c r="E8" i="1"/>
  <c r="F8" i="1"/>
  <c r="G8" i="1"/>
  <c r="H8" i="1"/>
  <c r="C8" i="1"/>
  <c r="I5" i="1"/>
  <c r="I6" i="1"/>
  <c r="I7" i="1"/>
  <c r="D10" i="1"/>
  <c r="D14" i="1" s="1"/>
  <c r="E10" i="1"/>
  <c r="E14" i="1" s="1"/>
  <c r="F10" i="1"/>
  <c r="G10" i="1"/>
  <c r="H10" i="1"/>
  <c r="C10" i="1"/>
  <c r="C14" i="1" s="1"/>
  <c r="I3" i="1"/>
  <c r="I10" i="1" s="1"/>
  <c r="C12" i="2" l="1"/>
  <c r="C21" i="2" s="1"/>
  <c r="C14" i="2"/>
  <c r="G29" i="2"/>
  <c r="G26" i="2" s="1"/>
  <c r="C24" i="2" s="1"/>
  <c r="C8" i="2"/>
  <c r="C23" i="2" s="1"/>
  <c r="G14" i="1"/>
  <c r="E25" i="1"/>
  <c r="Q5" i="1"/>
  <c r="G28" i="1"/>
  <c r="G25" i="1" s="1"/>
  <c r="I35" i="1"/>
  <c r="D25" i="1"/>
  <c r="D24" i="1" s="1"/>
  <c r="D45" i="1" s="1"/>
  <c r="C30" i="1"/>
  <c r="Q6" i="1"/>
  <c r="N24" i="1"/>
  <c r="F28" i="1"/>
  <c r="F25" i="1" s="1"/>
  <c r="N25" i="1"/>
  <c r="N26" i="1" s="1"/>
  <c r="Q4" i="1" s="1"/>
  <c r="N16" i="1"/>
  <c r="N17" i="1" s="1"/>
  <c r="C25" i="1"/>
  <c r="I13" i="1"/>
  <c r="N7" i="1" s="1"/>
  <c r="E18" i="1"/>
  <c r="E37" i="1" s="1"/>
  <c r="E30" i="1" s="1"/>
  <c r="E24" i="1" s="1"/>
  <c r="E45" i="1" s="1"/>
  <c r="C29" i="1"/>
  <c r="N23" i="1"/>
  <c r="I20" i="1"/>
  <c r="H29" i="1"/>
  <c r="H25" i="1" s="1"/>
  <c r="F14" i="1"/>
  <c r="I36" i="1"/>
  <c r="E38" i="1"/>
  <c r="D38" i="1"/>
  <c r="D30" i="1" s="1"/>
  <c r="I32" i="1"/>
  <c r="I19" i="1"/>
  <c r="F18" i="1"/>
  <c r="F37" i="1" s="1"/>
  <c r="F30" i="1" s="1"/>
  <c r="F9" i="1"/>
  <c r="H18" i="1"/>
  <c r="H37" i="1" s="1"/>
  <c r="H30" i="1" s="1"/>
  <c r="G18" i="1"/>
  <c r="G37" i="1" s="1"/>
  <c r="G30" i="1" s="1"/>
  <c r="E9" i="1"/>
  <c r="I8" i="1"/>
  <c r="Q7" i="1" s="1"/>
  <c r="H14" i="1"/>
  <c r="I14" i="1" s="1"/>
  <c r="C9" i="1"/>
  <c r="D9" i="1"/>
  <c r="H9" i="1"/>
  <c r="G9" i="1"/>
  <c r="C25" i="2" l="1"/>
  <c r="C35" i="2" s="1"/>
  <c r="C39" i="2" s="1"/>
  <c r="C40" i="2" s="1"/>
  <c r="C24" i="1"/>
  <c r="C45" i="1" s="1"/>
  <c r="G24" i="1"/>
  <c r="G45" i="1" s="1"/>
  <c r="N18" i="1"/>
  <c r="N19" i="1" s="1"/>
  <c r="N4" i="1" s="1"/>
  <c r="I18" i="1"/>
  <c r="G57" i="1"/>
  <c r="G50" i="1"/>
  <c r="C57" i="1"/>
  <c r="C50" i="1"/>
  <c r="C51" i="1" s="1"/>
  <c r="D50" i="1"/>
  <c r="D57" i="1"/>
  <c r="H24" i="1"/>
  <c r="H45" i="1" s="1"/>
  <c r="F24" i="1"/>
  <c r="F45" i="1" s="1"/>
  <c r="E50" i="1"/>
  <c r="E57" i="1"/>
  <c r="I9" i="1"/>
  <c r="N6" i="1" s="1"/>
  <c r="C41" i="2" l="1"/>
  <c r="C15" i="2" s="1"/>
  <c r="C16" i="2" s="1"/>
  <c r="I24" i="1"/>
  <c r="F57" i="1"/>
  <c r="F50" i="1"/>
  <c r="H50" i="1"/>
  <c r="H57" i="1"/>
  <c r="C42" i="2" l="1"/>
  <c r="C15" i="1" l="1"/>
  <c r="C16" i="1"/>
  <c r="D53" i="1"/>
  <c r="E49" i="1" s="1"/>
  <c r="D15" i="1"/>
  <c r="D16" i="1"/>
  <c r="D58" i="1"/>
  <c r="C53" i="1"/>
  <c r="D49" i="1"/>
  <c r="D51" i="1"/>
  <c r="E58" i="1" l="1"/>
  <c r="E51" i="1"/>
  <c r="E52" i="1" l="1"/>
  <c r="E15" i="1" s="1"/>
  <c r="E16" i="1" l="1"/>
  <c r="E53" i="1"/>
  <c r="F49" i="1" s="1"/>
  <c r="F51" i="1" l="1"/>
  <c r="F52" i="1"/>
  <c r="F15" i="1" s="1"/>
  <c r="F58" i="1"/>
  <c r="F16" i="1" l="1"/>
  <c r="F53" i="1"/>
  <c r="G49" i="1" s="1"/>
  <c r="G51" i="1" l="1"/>
  <c r="G58" i="1"/>
  <c r="G52" i="1" l="1"/>
  <c r="G15" i="1" s="1"/>
  <c r="G16" i="1" l="1"/>
  <c r="G53" i="1"/>
  <c r="H49" i="1" s="1"/>
  <c r="H58" i="1" l="1"/>
  <c r="H51" i="1"/>
  <c r="H52" i="1"/>
  <c r="H15" i="1" s="1"/>
  <c r="H16" i="1" l="1"/>
  <c r="I15" i="1"/>
  <c r="I16" i="1" s="1"/>
  <c r="Q9" i="1" s="1"/>
  <c r="Q10" i="1" s="1"/>
  <c r="H53" i="1"/>
  <c r="N3" i="1" s="1"/>
  <c r="N10" i="1" s="1"/>
  <c r="Q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Q4" authorId="0" shapeId="0" xr:uid="{9EB09444-E010-2841-B590-42FB9F00202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dovremo pagare ancora:
</t>
        </r>
        <r>
          <rPr>
            <sz val="10"/>
            <color rgb="FF000000"/>
            <rFont val="Tahoma"/>
            <family val="2"/>
          </rPr>
          <t xml:space="preserve">materie: 188000
</t>
        </r>
        <r>
          <rPr>
            <sz val="10"/>
            <color rgb="FF000000"/>
            <rFont val="Tahoma"/>
            <family val="2"/>
          </rPr>
          <t xml:space="preserve">lavor. presso terzi: 100000
</t>
        </r>
        <r>
          <rPr>
            <sz val="10"/>
            <color rgb="FF000000"/>
            <rFont val="Tahoma"/>
            <family val="2"/>
          </rPr>
          <t xml:space="preserve">altri servizi: 88000
</t>
        </r>
      </text>
    </comment>
  </commentList>
</comments>
</file>

<file path=xl/sharedStrings.xml><?xml version="1.0" encoding="utf-8"?>
<sst xmlns="http://schemas.openxmlformats.org/spreadsheetml/2006/main" count="141" uniqueCount="119">
  <si>
    <t>APRILE</t>
  </si>
  <si>
    <t>MAGGIO</t>
  </si>
  <si>
    <t xml:space="preserve">GIUGNO </t>
  </si>
  <si>
    <t>LUGLIO</t>
  </si>
  <si>
    <t>AGOSTO</t>
  </si>
  <si>
    <t>SETTEMBRE</t>
  </si>
  <si>
    <t>Ricavi di vendita</t>
  </si>
  <si>
    <t>TOTALE</t>
  </si>
  <si>
    <t xml:space="preserve"> - Acq. Materie</t>
  </si>
  <si>
    <t xml:space="preserve"> - lavoraz. Terzi</t>
  </si>
  <si>
    <t xml:space="preserve"> - stipendi e contr.</t>
  </si>
  <si>
    <t>variaz. Rimanenze</t>
  </si>
  <si>
    <t>MARGINE SUL VENDUTO</t>
  </si>
  <si>
    <t xml:space="preserve"> - acc.to TFR</t>
  </si>
  <si>
    <t xml:space="preserve"> - consulenze fiscali e altri costi</t>
  </si>
  <si>
    <t xml:space="preserve"> - compensi amministr.</t>
  </si>
  <si>
    <t xml:space="preserve"> - ammortamento</t>
  </si>
  <si>
    <t>REDDITO OPERATIVO</t>
  </si>
  <si>
    <t xml:space="preserve"> - oneri finanziari</t>
  </si>
  <si>
    <t>IVA su vendite</t>
  </si>
  <si>
    <t>IVA su acquisti</t>
  </si>
  <si>
    <t>IVA sull'investimento</t>
  </si>
  <si>
    <t>CASH BUDGET</t>
  </si>
  <si>
    <t>cash flow operativo</t>
  </si>
  <si>
    <t>entrate</t>
  </si>
  <si>
    <t>uscite</t>
  </si>
  <si>
    <t>cash flow da investimenti</t>
  </si>
  <si>
    <t>cash flow da finanziamenti</t>
  </si>
  <si>
    <t xml:space="preserve"> - acquisti materie</t>
  </si>
  <si>
    <t xml:space="preserve"> - acquisto impianti</t>
  </si>
  <si>
    <t xml:space="preserve"> - debiti iniziali</t>
  </si>
  <si>
    <t xml:space="preserve">crediti iniziali </t>
  </si>
  <si>
    <t>IVA "A SALDO"</t>
  </si>
  <si>
    <t xml:space="preserve"> - consulenze e altri serv.</t>
  </si>
  <si>
    <t xml:space="preserve"> - compensi ammin.</t>
  </si>
  <si>
    <t xml:space="preserve"> - versamenti IVA</t>
  </si>
  <si>
    <t>ricavi di vendita (pag. 60 gg)</t>
  </si>
  <si>
    <t>ricavi di vendita (pag.. Consegna)</t>
  </si>
  <si>
    <t>CASH FLOW MENSILE</t>
  </si>
  <si>
    <t>ANDAMENTO SALDO BANCA</t>
  </si>
  <si>
    <t>saldo iniziale del mese</t>
  </si>
  <si>
    <t>cash flow mensile</t>
  </si>
  <si>
    <t>saldo fine mese ante interessi</t>
  </si>
  <si>
    <t>interessi</t>
  </si>
  <si>
    <t>saldo fine mese con interessi</t>
  </si>
  <si>
    <t>REDDITO ANTE IMPOSTE</t>
  </si>
  <si>
    <t>SALDO BANCA</t>
  </si>
  <si>
    <t>Liquidità</t>
  </si>
  <si>
    <t>clienti</t>
  </si>
  <si>
    <t>altri crediti</t>
  </si>
  <si>
    <t>rimanenze</t>
  </si>
  <si>
    <t>immobilizzazioni</t>
  </si>
  <si>
    <t>banca</t>
  </si>
  <si>
    <t>fornitori</t>
  </si>
  <si>
    <t>erario</t>
  </si>
  <si>
    <t>mutui pass</t>
  </si>
  <si>
    <t>capitale sociale</t>
  </si>
  <si>
    <t>riserve di utili</t>
  </si>
  <si>
    <t>STIMA DEI CREDITI VERSO CLIENTI:</t>
  </si>
  <si>
    <t>crediti iniziali</t>
  </si>
  <si>
    <t xml:space="preserve"> + ricavi di vendita</t>
  </si>
  <si>
    <t xml:space="preserve"> + iva sulle vendite</t>
  </si>
  <si>
    <t xml:space="preserve"> - entrate </t>
  </si>
  <si>
    <t>STIMA DEI DEBITI VERSO FORNITORI</t>
  </si>
  <si>
    <t>debiti iniziali</t>
  </si>
  <si>
    <t xml:space="preserve"> + acquisti</t>
  </si>
  <si>
    <t xml:space="preserve"> + IVA SU ACQUISTI</t>
  </si>
  <si>
    <t xml:space="preserve"> - pagamenti</t>
  </si>
  <si>
    <t>fondi rischi, TFR</t>
  </si>
  <si>
    <t>rate mutuo</t>
  </si>
  <si>
    <t>dividendi</t>
  </si>
  <si>
    <t>Ricavi vendita</t>
  </si>
  <si>
    <t>Acquisti mat.</t>
  </si>
  <si>
    <t>lavoraz. Terzi</t>
  </si>
  <si>
    <t>stipendi</t>
  </si>
  <si>
    <t>acc.to TFR</t>
  </si>
  <si>
    <t>MARGINE</t>
  </si>
  <si>
    <t xml:space="preserve"> - servizi gener.</t>
  </si>
  <si>
    <t xml:space="preserve"> - compensi amm.</t>
  </si>
  <si>
    <t xml:space="preserve"> - ammort.</t>
  </si>
  <si>
    <t>MOL</t>
  </si>
  <si>
    <t xml:space="preserve">variaz. Rim. </t>
  </si>
  <si>
    <t>REDDITO OPERAT.</t>
  </si>
  <si>
    <t>1. CF OPERATIVO</t>
  </si>
  <si>
    <t xml:space="preserve"> - var. crediti op.</t>
  </si>
  <si>
    <t xml:space="preserve"> - var. rimanenze</t>
  </si>
  <si>
    <t xml:space="preserve"> + var. deb.oper.</t>
  </si>
  <si>
    <t>variazione crediti operativi</t>
  </si>
  <si>
    <t>crediti vs. clienti iniziali</t>
  </si>
  <si>
    <t>crediti vs. clienti finali</t>
  </si>
  <si>
    <t>variazione debiti operativi</t>
  </si>
  <si>
    <t>debiti vs. fornit. Iniziali</t>
  </si>
  <si>
    <t>debiti vs. fornit. Finali</t>
  </si>
  <si>
    <t>debito IVA a fine sem.</t>
  </si>
  <si>
    <t>debito verso erario iniziale</t>
  </si>
  <si>
    <t>debito vs. erario finale</t>
  </si>
  <si>
    <t>variaz. TFR</t>
  </si>
  <si>
    <t>2. CF INVESTIMENTI</t>
  </si>
  <si>
    <t>acquisti</t>
  </si>
  <si>
    <t>iva su acquisti</t>
  </si>
  <si>
    <t>ricavi</t>
  </si>
  <si>
    <t>entrata</t>
  </si>
  <si>
    <t>costi</t>
  </si>
  <si>
    <t>uscita</t>
  </si>
  <si>
    <t>CF</t>
  </si>
  <si>
    <t>increm deb</t>
  </si>
  <si>
    <t>3. CF FINANZIAMENTI</t>
  </si>
  <si>
    <t>rate mutui</t>
  </si>
  <si>
    <t>FLUSSO CASSA TOTALE</t>
  </si>
  <si>
    <t>oneri finanziari</t>
  </si>
  <si>
    <t>saldo iniziale C/C (1/4)</t>
  </si>
  <si>
    <t>flusso cassa semestre</t>
  </si>
  <si>
    <t>saldo finale C/C (30/9)</t>
  </si>
  <si>
    <t>oneri finanziari su c/c</t>
  </si>
  <si>
    <t>saldo finale con interessi</t>
  </si>
  <si>
    <t>STATO PATRIMONIALE</t>
  </si>
  <si>
    <t>ATTIV0</t>
  </si>
  <si>
    <t>PASSIVO</t>
  </si>
  <si>
    <r>
      <t xml:space="preserve">altri crediti </t>
    </r>
    <r>
      <rPr>
        <sz val="8"/>
        <color theme="1"/>
        <rFont val="Calibri (Corpo)"/>
      </rPr>
      <t>(con credito IVA su acquisti imm.)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</si>
</sst>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[$€-410]_-;\-* #,##0\ [$€-410]_-;_-* &quot;-&quot;??\ [$€-410]_-;_-@_-"/>
    <numFmt numFmtId="165" formatCode="_-* #,##0\ &quot;€&quot;_-;\-* #,##0\ &quot;€&quot;_-;_-* &quot;-&quot;??\ &quot;€&quot;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Calibri (Corpo)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Fill="1" applyBorder="1"/>
    <xf numFmtId="165" fontId="0" fillId="0" borderId="0" xfId="1" applyNumberFormat="1" applyFont="1"/>
    <xf numFmtId="165" fontId="0" fillId="0" borderId="0" xfId="0" applyNumberFormat="1"/>
    <xf numFmtId="0" fontId="0" fillId="0" borderId="1" xfId="0" applyFill="1" applyBorder="1"/>
    <xf numFmtId="0" fontId="4" fillId="2" borderId="0" xfId="0" applyFont="1" applyFill="1"/>
    <xf numFmtId="165" fontId="4" fillId="2" borderId="0" xfId="1" applyNumberFormat="1" applyFont="1" applyFill="1"/>
    <xf numFmtId="0" fontId="6" fillId="2" borderId="0" xfId="0" applyFont="1" applyFill="1"/>
    <xf numFmtId="0" fontId="2" fillId="0" borderId="0" xfId="0" applyFont="1"/>
    <xf numFmtId="164" fontId="2" fillId="0" borderId="0" xfId="0" applyNumberFormat="1" applyFont="1"/>
    <xf numFmtId="9" fontId="0" fillId="0" borderId="0" xfId="0" applyNumberFormat="1"/>
    <xf numFmtId="165" fontId="4" fillId="2" borderId="1" xfId="1" applyNumberFormat="1" applyFont="1" applyFill="1" applyBorder="1"/>
    <xf numFmtId="0" fontId="7" fillId="2" borderId="1" xfId="0" applyFont="1" applyFill="1" applyBorder="1"/>
    <xf numFmtId="165" fontId="5" fillId="2" borderId="1" xfId="1" applyNumberFormat="1" applyFont="1" applyFill="1" applyBorder="1"/>
    <xf numFmtId="165" fontId="5" fillId="2" borderId="0" xfId="1" applyNumberFormat="1" applyFont="1" applyFill="1"/>
    <xf numFmtId="0" fontId="5" fillId="2" borderId="2" xfId="0" applyFont="1" applyFill="1" applyBorder="1"/>
    <xf numFmtId="165" fontId="5" fillId="2" borderId="2" xfId="1" applyNumberFormat="1" applyFont="1" applyFill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" fontId="3" fillId="0" borderId="0" xfId="0" applyNumberFormat="1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15" xfId="1" applyNumberFormat="1" applyFont="1" applyBorder="1"/>
    <xf numFmtId="165" fontId="0" fillId="0" borderId="3" xfId="1" applyNumberFormat="1" applyFont="1" applyBorder="1"/>
    <xf numFmtId="165" fontId="0" fillId="0" borderId="16" xfId="0" applyNumberFormat="1" applyBorder="1"/>
    <xf numFmtId="164" fontId="4" fillId="2" borderId="0" xfId="0" applyNumberFormat="1" applyFont="1" applyFill="1"/>
    <xf numFmtId="0" fontId="0" fillId="0" borderId="17" xfId="0" applyBorder="1"/>
    <xf numFmtId="165" fontId="0" fillId="0" borderId="17" xfId="1" applyNumberFormat="1" applyFont="1" applyBorder="1"/>
    <xf numFmtId="0" fontId="0" fillId="0" borderId="0" xfId="0" applyAlignment="1">
      <alignment horizontal="center"/>
    </xf>
    <xf numFmtId="165" fontId="2" fillId="0" borderId="0" xfId="0" applyNumberFormat="1" applyFont="1"/>
    <xf numFmtId="0" fontId="0" fillId="0" borderId="0" xfId="0" applyFill="1"/>
    <xf numFmtId="165" fontId="0" fillId="0" borderId="0" xfId="1" applyNumberFormat="1" applyFont="1" applyFill="1"/>
    <xf numFmtId="165" fontId="2" fillId="0" borderId="0" xfId="1" applyNumberFormat="1" applyFont="1"/>
    <xf numFmtId="0" fontId="2" fillId="0" borderId="2" xfId="0" applyFont="1" applyBorder="1"/>
    <xf numFmtId="165" fontId="2" fillId="0" borderId="2" xfId="1" applyNumberFormat="1" applyFont="1" applyBorder="1"/>
    <xf numFmtId="0" fontId="0" fillId="0" borderId="5" xfId="0" applyBorder="1"/>
    <xf numFmtId="165" fontId="0" fillId="0" borderId="4" xfId="0" applyNumberFormat="1" applyBorder="1"/>
    <xf numFmtId="0" fontId="2" fillId="0" borderId="13" xfId="0" applyFont="1" applyBorder="1"/>
    <xf numFmtId="165" fontId="2" fillId="0" borderId="18" xfId="1" applyNumberFormat="1" applyFont="1" applyBorder="1"/>
    <xf numFmtId="165" fontId="0" fillId="0" borderId="3" xfId="0" applyNumberFormat="1" applyBorder="1"/>
    <xf numFmtId="0" fontId="2" fillId="0" borderId="13" xfId="0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Foglio1!$B$57</c:f>
              <c:strCache>
                <c:ptCount val="1"/>
                <c:pt idx="0">
                  <c:v>CASH FLOW MENSILE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Foglio1!$C$57:$H$57</c:f>
              <c:numCache>
                <c:formatCode>_-* #,##0\ "€"_-;\-* #,##0\ "€"_-;_-* "-"??\ "€"_-;_-@_-</c:formatCode>
                <c:ptCount val="6"/>
                <c:pt idx="0">
                  <c:v>268000</c:v>
                </c:pt>
                <c:pt idx="1">
                  <c:v>-262860</c:v>
                </c:pt>
                <c:pt idx="2">
                  <c:v>-514180</c:v>
                </c:pt>
                <c:pt idx="3">
                  <c:v>302000</c:v>
                </c:pt>
                <c:pt idx="4">
                  <c:v>505500</c:v>
                </c:pt>
                <c:pt idx="5">
                  <c:v>177500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0-724F-8DB7-7293B82C7605}"/>
            </c:ext>
          </c:extLst>
        </c:ser>
        <c:ser>
          <c:idx val="1"/>
          <c:order val="1"/>
          <c:tx>
            <c:strRef>
              <c:f>Foglio1!$B$58</c:f>
              <c:strCache>
                <c:ptCount val="1"/>
                <c:pt idx="0">
                  <c:v>SALDO BANCA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Foglio1!$C$58:$H$58</c:f>
              <c:numCache>
                <c:formatCode>_-* #,##0\ [$€-410]_-;\-* #,##0\ [$€-410]_-;_-* "-"??\ [$€-410]_-;_-@_-</c:formatCode>
                <c:ptCount val="6"/>
                <c:pt idx="0">
                  <c:v>-225000</c:v>
                </c:pt>
                <c:pt idx="1">
                  <c:v>42727.708333333336</c:v>
                </c:pt>
                <c:pt idx="2">
                  <c:v>-220398.55542534721</c:v>
                </c:pt>
                <c:pt idx="3">
                  <c:v>-736965.99820247386</c:v>
                </c:pt>
                <c:pt idx="4">
                  <c:v>-437895.8281934862</c:v>
                </c:pt>
                <c:pt idx="5">
                  <c:v>67070.886223731635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0-724F-8DB7-7293B82C7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030527"/>
        <c:axId val="739040992"/>
      </c:lineChart>
      <c:catAx>
        <c:axId val="13340305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9040992"/>
        <c:crosses val="autoZero"/>
        <c:auto val="1"/>
        <c:lblAlgn val="ctr"/>
        <c:lblOffset val="100"/>
        <c:noMultiLvlLbl val="0"/>
      </c:catAx>
      <c:valAx>
        <c:axId val="73904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&quot;€&quot;_-;\-* #,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4030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651937</xdr:colOff>
      <xdr:row>45</xdr:row>
      <xdr:rowOff>148167</xdr:rowOff>
    </xdr:from>
    <xdr:to>
      <xdr:col>15</xdr:col>
      <xdr:colOff>245537</xdr:colOff>
      <xdr:row>59</xdr:row>
      <xdr:rowOff>29634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E54B4E7-EEF7-2C43-9358-38F2FCEA64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77ED4-E32C-0A43-B870-93FF9CBAA819}">
  <dimension ref="B2:Q58"/>
  <sheetViews>
    <sheetView zoomScale="179" zoomScaleNormal="119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O3" sqref="O3:P10"/>
    </sheetView>
  </sheetViews>
  <sheetFormatPr baseColWidth="10" defaultRowHeight="16" x14ac:dyDescent="0.2"/>
  <cols>
    <col min="1" max="1" width="3" customWidth="1"/>
    <col min="2" max="2" width="27.33203125" bestFit="1" customWidth="1"/>
    <col min="3" max="3" width="13.1640625" bestFit="1" customWidth="1"/>
    <col min="4" max="4" width="13" bestFit="1" customWidth="1"/>
    <col min="5" max="5" width="13.1640625" bestFit="1" customWidth="1"/>
    <col min="6" max="8" width="13" bestFit="1" customWidth="1"/>
    <col min="9" max="10" width="12" bestFit="1" customWidth="1"/>
    <col min="12" max="12" width="15" bestFit="1" customWidth="1"/>
    <col min="13" max="14" width="12" bestFit="1" customWidth="1"/>
    <col min="15" max="15" width="13.83203125" bestFit="1" customWidth="1"/>
    <col min="16" max="17" width="12" bestFit="1" customWidth="1"/>
  </cols>
  <sheetData>
    <row r="2" spans="2:17" s="1" customFormat="1" ht="17" thickBot="1" x14ac:dyDescent="0.25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7</v>
      </c>
      <c r="M2" s="27">
        <v>44651</v>
      </c>
      <c r="N2" s="27">
        <v>44834</v>
      </c>
      <c r="P2" s="27">
        <v>44651</v>
      </c>
      <c r="Q2" s="27">
        <v>44834</v>
      </c>
    </row>
    <row r="3" spans="2:17" x14ac:dyDescent="0.2">
      <c r="B3" t="s">
        <v>6</v>
      </c>
      <c r="C3" s="2">
        <v>300000</v>
      </c>
      <c r="D3" s="2">
        <v>625000</v>
      </c>
      <c r="E3" s="2">
        <v>1000000</v>
      </c>
      <c r="F3" s="2">
        <v>700000</v>
      </c>
      <c r="G3" s="2">
        <v>575000</v>
      </c>
      <c r="H3" s="2">
        <v>300000</v>
      </c>
      <c r="I3" s="21">
        <f>SUM(C3:H3)</f>
        <v>3500000</v>
      </c>
      <c r="L3" s="28" t="s">
        <v>47</v>
      </c>
      <c r="M3" s="36">
        <v>25000</v>
      </c>
      <c r="N3" s="36">
        <f>M3+H53</f>
        <v>269700.73696225137</v>
      </c>
      <c r="O3" s="29" t="s">
        <v>52</v>
      </c>
      <c r="P3" s="36">
        <v>225000</v>
      </c>
      <c r="Q3" s="36">
        <v>0</v>
      </c>
    </row>
    <row r="4" spans="2:17" x14ac:dyDescent="0.2">
      <c r="C4" s="2"/>
      <c r="D4" s="2"/>
      <c r="E4" s="2"/>
      <c r="F4" s="2"/>
      <c r="G4" s="2"/>
      <c r="H4" s="2"/>
      <c r="I4" s="22"/>
      <c r="L4" s="30" t="s">
        <v>48</v>
      </c>
      <c r="M4" s="37">
        <v>480000</v>
      </c>
      <c r="N4" s="37">
        <f>N19</f>
        <v>700000</v>
      </c>
      <c r="O4" s="31" t="s">
        <v>53</v>
      </c>
      <c r="P4" s="37">
        <v>288000</v>
      </c>
      <c r="Q4" s="37">
        <f>N26</f>
        <v>376000</v>
      </c>
    </row>
    <row r="5" spans="2:17" x14ac:dyDescent="0.2">
      <c r="B5" t="s">
        <v>8</v>
      </c>
      <c r="C5" s="2">
        <v>-188000</v>
      </c>
      <c r="D5" s="2">
        <v>-188000</v>
      </c>
      <c r="E5" s="2">
        <v>-188000</v>
      </c>
      <c r="F5" s="2">
        <v>-188000</v>
      </c>
      <c r="G5" s="2">
        <v>-188000</v>
      </c>
      <c r="H5" s="2">
        <v>-188000</v>
      </c>
      <c r="I5" s="22">
        <f t="shared" ref="I5:I9" si="0">SUM(C5:H5)</f>
        <v>-1128000</v>
      </c>
      <c r="L5" s="30" t="s">
        <v>49</v>
      </c>
      <c r="M5" s="37">
        <v>50000</v>
      </c>
      <c r="N5" s="37">
        <v>50000</v>
      </c>
      <c r="O5" s="31" t="s">
        <v>54</v>
      </c>
      <c r="P5" s="37">
        <v>80000</v>
      </c>
      <c r="Q5" s="37">
        <f>H19+H20</f>
        <v>3960</v>
      </c>
    </row>
    <row r="6" spans="2:17" x14ac:dyDescent="0.2">
      <c r="B6" t="s">
        <v>9</v>
      </c>
      <c r="C6" s="2">
        <v>-50000</v>
      </c>
      <c r="D6" s="2">
        <v>-50000</v>
      </c>
      <c r="E6" s="2">
        <v>-50000</v>
      </c>
      <c r="F6" s="2">
        <v>-50000</v>
      </c>
      <c r="G6" s="2">
        <v>-50000</v>
      </c>
      <c r="H6" s="2">
        <v>-50000</v>
      </c>
      <c r="I6" s="22">
        <f t="shared" si="0"/>
        <v>-300000</v>
      </c>
      <c r="L6" s="30" t="s">
        <v>50</v>
      </c>
      <c r="M6" s="37">
        <v>1200000</v>
      </c>
      <c r="N6" s="37">
        <f>M6+I9</f>
        <v>758000.00000000023</v>
      </c>
      <c r="O6" s="31" t="s">
        <v>55</v>
      </c>
      <c r="P6" s="37">
        <v>290000</v>
      </c>
      <c r="Q6" s="37">
        <f>P6+E42+6500</f>
        <v>272500</v>
      </c>
    </row>
    <row r="7" spans="2:17" x14ac:dyDescent="0.2">
      <c r="B7" t="s">
        <v>10</v>
      </c>
      <c r="C7" s="2">
        <v>-90000</v>
      </c>
      <c r="D7" s="2">
        <v>-90000</v>
      </c>
      <c r="E7" s="2">
        <v>-90000</v>
      </c>
      <c r="F7" s="2">
        <v>-90000</v>
      </c>
      <c r="G7" s="2">
        <v>-90000</v>
      </c>
      <c r="H7" s="2">
        <v>-90000</v>
      </c>
      <c r="I7" s="22">
        <f t="shared" si="0"/>
        <v>-540000</v>
      </c>
      <c r="L7" s="30" t="s">
        <v>51</v>
      </c>
      <c r="M7" s="37">
        <v>574000</v>
      </c>
      <c r="N7" s="37">
        <f>M7-E40+I13</f>
        <v>1001500</v>
      </c>
      <c r="O7" s="31" t="s">
        <v>68</v>
      </c>
      <c r="P7" s="37">
        <v>50000</v>
      </c>
      <c r="Q7" s="37">
        <f>P7-I8</f>
        <v>90000</v>
      </c>
    </row>
    <row r="8" spans="2:17" x14ac:dyDescent="0.2">
      <c r="B8" t="s">
        <v>13</v>
      </c>
      <c r="C8" s="2">
        <f>C7/13.5</f>
        <v>-6666.666666666667</v>
      </c>
      <c r="D8" s="2">
        <f t="shared" ref="D8:H8" si="1">D7/13.5</f>
        <v>-6666.666666666667</v>
      </c>
      <c r="E8" s="2">
        <f t="shared" si="1"/>
        <v>-6666.666666666667</v>
      </c>
      <c r="F8" s="2">
        <f t="shared" si="1"/>
        <v>-6666.666666666667</v>
      </c>
      <c r="G8" s="2">
        <f t="shared" si="1"/>
        <v>-6666.666666666667</v>
      </c>
      <c r="H8" s="2">
        <f t="shared" si="1"/>
        <v>-6666.666666666667</v>
      </c>
      <c r="I8" s="22">
        <f t="shared" si="0"/>
        <v>-40000</v>
      </c>
      <c r="L8" s="30"/>
      <c r="M8" s="37"/>
      <c r="N8" s="37"/>
      <c r="O8" s="31" t="s">
        <v>56</v>
      </c>
      <c r="P8" s="37">
        <v>950000</v>
      </c>
      <c r="Q8" s="37">
        <f>P8</f>
        <v>950000</v>
      </c>
    </row>
    <row r="9" spans="2:17" ht="17" thickBot="1" x14ac:dyDescent="0.25">
      <c r="B9" t="s">
        <v>11</v>
      </c>
      <c r="C9" s="2">
        <f>-(C3+SUM(C5:C8)-C10)</f>
        <v>124666.66666666669</v>
      </c>
      <c r="D9" s="2">
        <f t="shared" ref="D9:H9" si="2">-(D3+SUM(D5:D8)-D10)</f>
        <v>-102833.33333333331</v>
      </c>
      <c r="E9" s="2">
        <f t="shared" si="2"/>
        <v>-365333.33333333326</v>
      </c>
      <c r="F9" s="2">
        <f t="shared" si="2"/>
        <v>-155333.33333333331</v>
      </c>
      <c r="G9" s="2">
        <f t="shared" si="2"/>
        <v>-67833.333333333314</v>
      </c>
      <c r="H9" s="2">
        <f t="shared" si="2"/>
        <v>124666.66666666669</v>
      </c>
      <c r="I9" s="22">
        <f t="shared" si="0"/>
        <v>-441999.99999999983</v>
      </c>
      <c r="L9" s="32"/>
      <c r="M9" s="38"/>
      <c r="N9" s="38"/>
      <c r="O9" s="33" t="s">
        <v>57</v>
      </c>
      <c r="P9" s="38">
        <v>446000</v>
      </c>
      <c r="Q9" s="38">
        <f>P9+I16</f>
        <v>1086740.7369622514</v>
      </c>
    </row>
    <row r="10" spans="2:17" ht="17" thickBot="1" x14ac:dyDescent="0.25">
      <c r="B10" s="3" t="s">
        <v>12</v>
      </c>
      <c r="C10" s="4">
        <f>0.3*C3</f>
        <v>90000</v>
      </c>
      <c r="D10" s="4">
        <f t="shared" ref="D10:I10" si="3">0.3*D3</f>
        <v>187500</v>
      </c>
      <c r="E10" s="4">
        <f t="shared" si="3"/>
        <v>300000</v>
      </c>
      <c r="F10" s="4">
        <f t="shared" si="3"/>
        <v>210000</v>
      </c>
      <c r="G10" s="4">
        <f t="shared" si="3"/>
        <v>172500</v>
      </c>
      <c r="H10" s="4">
        <f t="shared" si="3"/>
        <v>90000</v>
      </c>
      <c r="I10" s="23">
        <f t="shared" si="3"/>
        <v>1050000</v>
      </c>
      <c r="J10" s="2"/>
      <c r="L10" s="34"/>
      <c r="M10" s="39">
        <f>SUM(M3:M9)</f>
        <v>2329000</v>
      </c>
      <c r="N10" s="39">
        <f>SUM(N3:N9)</f>
        <v>2779200.7369622514</v>
      </c>
      <c r="O10" s="35"/>
      <c r="P10" s="39">
        <f>SUM(P3:P9)</f>
        <v>2329000</v>
      </c>
      <c r="Q10" s="39">
        <f>SUM(Q3:Q9)</f>
        <v>2779200.7369622514</v>
      </c>
    </row>
    <row r="11" spans="2:17" x14ac:dyDescent="0.2">
      <c r="B11" s="5" t="s">
        <v>14</v>
      </c>
      <c r="C11" s="2">
        <v>-44000</v>
      </c>
      <c r="D11" s="2">
        <v>-44000</v>
      </c>
      <c r="E11" s="2">
        <v>-44000</v>
      </c>
      <c r="F11" s="2">
        <v>-44000</v>
      </c>
      <c r="G11" s="2">
        <v>-44000</v>
      </c>
      <c r="H11" s="2">
        <v>-44000</v>
      </c>
      <c r="I11" s="22">
        <f>SUM(C11:H11)</f>
        <v>-264000</v>
      </c>
    </row>
    <row r="12" spans="2:17" x14ac:dyDescent="0.2">
      <c r="B12" s="5" t="s">
        <v>15</v>
      </c>
      <c r="C12" s="2">
        <v>-10000</v>
      </c>
      <c r="D12" s="2">
        <v>-10000</v>
      </c>
      <c r="E12" s="2">
        <v>-10000</v>
      </c>
      <c r="F12" s="2">
        <v>-10000</v>
      </c>
      <c r="G12" s="2">
        <v>-10000</v>
      </c>
      <c r="H12" s="2">
        <v>-10000</v>
      </c>
      <c r="I12" s="22">
        <f>SUM(C12:H12)</f>
        <v>-60000</v>
      </c>
      <c r="Q12" s="7">
        <f>Q10-N10</f>
        <v>0</v>
      </c>
    </row>
    <row r="13" spans="2:17" x14ac:dyDescent="0.2">
      <c r="B13" s="5" t="s">
        <v>16</v>
      </c>
      <c r="C13" s="6">
        <v>-10000</v>
      </c>
      <c r="D13" s="6">
        <v>-10000</v>
      </c>
      <c r="E13" s="6">
        <v>-10000</v>
      </c>
      <c r="F13" s="6">
        <f>-10000-500000/120</f>
        <v>-14166.666666666668</v>
      </c>
      <c r="G13" s="6">
        <f t="shared" ref="G13:H13" si="4">-10000-500000/120</f>
        <v>-14166.666666666668</v>
      </c>
      <c r="H13" s="6">
        <f t="shared" si="4"/>
        <v>-14166.666666666668</v>
      </c>
      <c r="I13" s="24">
        <f>SUM(C13:H13)</f>
        <v>-72500.000000000015</v>
      </c>
    </row>
    <row r="14" spans="2:17" x14ac:dyDescent="0.2">
      <c r="B14" s="8" t="s">
        <v>17</v>
      </c>
      <c r="C14" s="4">
        <f>C10+SUM(C11:C13)</f>
        <v>26000</v>
      </c>
      <c r="D14" s="4">
        <f t="shared" ref="D14:H14" si="5">D10+SUM(D11:D13)</f>
        <v>123500</v>
      </c>
      <c r="E14" s="4">
        <f t="shared" si="5"/>
        <v>236000</v>
      </c>
      <c r="F14" s="4">
        <f t="shared" si="5"/>
        <v>141833.33333333331</v>
      </c>
      <c r="G14" s="4">
        <f t="shared" si="5"/>
        <v>104333.33333333333</v>
      </c>
      <c r="H14" s="4">
        <f t="shared" si="5"/>
        <v>21833.333333333328</v>
      </c>
      <c r="I14" s="25">
        <f>SUM(C14:H14)</f>
        <v>653500</v>
      </c>
      <c r="L14" t="s">
        <v>58</v>
      </c>
    </row>
    <row r="15" spans="2:17" x14ac:dyDescent="0.2">
      <c r="B15" s="5" t="s">
        <v>18</v>
      </c>
      <c r="C15" s="2">
        <f>-6500/6+C52</f>
        <v>-1355.625</v>
      </c>
      <c r="D15" s="2">
        <f t="shared" ref="D15:H15" si="6">-6500/6+D52</f>
        <v>-1349.5970920138889</v>
      </c>
      <c r="E15" s="2">
        <f t="shared" si="6"/>
        <v>-3470.7761104600695</v>
      </c>
      <c r="F15" s="2">
        <f t="shared" si="6"/>
        <v>-4013.1633243457027</v>
      </c>
      <c r="G15" s="2">
        <f t="shared" si="6"/>
        <v>-1616.6189161155007</v>
      </c>
      <c r="H15" s="2">
        <f>-6500/6+H52</f>
        <v>-953.48259481355694</v>
      </c>
      <c r="I15" s="22">
        <f>SUM(C15:H15)</f>
        <v>-12759.26303774872</v>
      </c>
      <c r="L15" t="s">
        <v>59</v>
      </c>
      <c r="N15" s="7">
        <f>M4</f>
        <v>480000</v>
      </c>
    </row>
    <row r="16" spans="2:17" ht="17" thickBot="1" x14ac:dyDescent="0.25">
      <c r="B16" s="8" t="s">
        <v>45</v>
      </c>
      <c r="C16" s="4">
        <f>C14+C15</f>
        <v>24644.375</v>
      </c>
      <c r="D16" s="4">
        <f t="shared" ref="D16:H16" si="7">D14+D15</f>
        <v>122150.40290798611</v>
      </c>
      <c r="E16" s="4">
        <f t="shared" si="7"/>
        <v>232529.22388953992</v>
      </c>
      <c r="F16" s="4">
        <f t="shared" si="7"/>
        <v>137820.17000898762</v>
      </c>
      <c r="G16" s="4">
        <f t="shared" si="7"/>
        <v>102716.71441721782</v>
      </c>
      <c r="H16" s="4">
        <f t="shared" si="7"/>
        <v>20879.85073851977</v>
      </c>
      <c r="I16" s="26">
        <f>SUM(I14:I15)</f>
        <v>640740.73696225125</v>
      </c>
      <c r="L16" t="s">
        <v>60</v>
      </c>
      <c r="N16" s="2">
        <f>I3</f>
        <v>3500000</v>
      </c>
    </row>
    <row r="17" spans="2:16" x14ac:dyDescent="0.2">
      <c r="L17" t="s">
        <v>61</v>
      </c>
      <c r="N17" s="2">
        <f>0.22*N16</f>
        <v>770000</v>
      </c>
    </row>
    <row r="18" spans="2:16" x14ac:dyDescent="0.2">
      <c r="B18" s="12" t="s">
        <v>32</v>
      </c>
      <c r="C18" s="12"/>
      <c r="D18" s="13">
        <f>-(C19+C20+C21)</f>
        <v>-66000</v>
      </c>
      <c r="E18" s="13">
        <f t="shared" ref="E18:H18" si="8">-(D19+D20+D21)</f>
        <v>-96140</v>
      </c>
      <c r="F18" s="13">
        <f t="shared" si="8"/>
        <v>-47960</v>
      </c>
      <c r="G18" s="13">
        <f t="shared" si="8"/>
        <v>-91960</v>
      </c>
      <c r="H18" s="13">
        <f t="shared" si="8"/>
        <v>-64460</v>
      </c>
      <c r="I18" s="2">
        <f>SUM(I19:I21)</f>
        <v>370480</v>
      </c>
      <c r="J18" s="2"/>
      <c r="L18" t="s">
        <v>62</v>
      </c>
      <c r="N18" s="7">
        <f>-SUM(C26:H29)</f>
        <v>-4050000</v>
      </c>
      <c r="P18" s="7"/>
    </row>
    <row r="19" spans="2:16" x14ac:dyDescent="0.2">
      <c r="B19" t="s">
        <v>19</v>
      </c>
      <c r="C19" s="2">
        <f>0.22*C3</f>
        <v>66000</v>
      </c>
      <c r="D19" s="2">
        <f t="shared" ref="D19:H19" si="9">0.22*D3</f>
        <v>137500</v>
      </c>
      <c r="E19" s="2">
        <f t="shared" si="9"/>
        <v>220000</v>
      </c>
      <c r="F19" s="2">
        <f t="shared" si="9"/>
        <v>154000</v>
      </c>
      <c r="G19" s="2">
        <f t="shared" si="9"/>
        <v>126500</v>
      </c>
      <c r="H19" s="2">
        <f t="shared" si="9"/>
        <v>66000</v>
      </c>
      <c r="I19" s="2">
        <f>SUM(C19:H19)</f>
        <v>770000</v>
      </c>
      <c r="N19" s="40">
        <f>SUM(N15:N18)</f>
        <v>700000</v>
      </c>
    </row>
    <row r="20" spans="2:16" x14ac:dyDescent="0.2">
      <c r="B20" t="s">
        <v>20</v>
      </c>
      <c r="D20" s="2">
        <f>0.22*C5</f>
        <v>-41360</v>
      </c>
      <c r="E20" s="2">
        <f t="shared" ref="E20:H20" si="10">(D5+D6+D11)*0.22</f>
        <v>-62040</v>
      </c>
      <c r="F20" s="2">
        <f t="shared" si="10"/>
        <v>-62040</v>
      </c>
      <c r="G20" s="2">
        <f t="shared" si="10"/>
        <v>-62040</v>
      </c>
      <c r="H20" s="2">
        <f t="shared" si="10"/>
        <v>-62040</v>
      </c>
      <c r="I20" s="2">
        <f>SUM(D20:H20)</f>
        <v>-289520</v>
      </c>
    </row>
    <row r="21" spans="2:16" x14ac:dyDescent="0.2">
      <c r="B21" t="s">
        <v>21</v>
      </c>
      <c r="E21" s="7">
        <f>0.22*E40</f>
        <v>-110000</v>
      </c>
      <c r="I21" s="2">
        <f>SUM(E21)</f>
        <v>-110000</v>
      </c>
      <c r="L21" t="s">
        <v>63</v>
      </c>
    </row>
    <row r="22" spans="2:16" x14ac:dyDescent="0.2">
      <c r="C22" s="14">
        <v>0.2</v>
      </c>
      <c r="L22" t="s">
        <v>64</v>
      </c>
      <c r="N22" s="7">
        <f>P4</f>
        <v>288000</v>
      </c>
    </row>
    <row r="23" spans="2:16" x14ac:dyDescent="0.2">
      <c r="B23" s="9" t="s">
        <v>22</v>
      </c>
      <c r="C23" s="9"/>
      <c r="D23" s="9"/>
      <c r="E23" s="9"/>
      <c r="F23" s="9"/>
      <c r="G23" s="9"/>
      <c r="H23" s="9"/>
      <c r="I23" s="9"/>
      <c r="L23" t="s">
        <v>65</v>
      </c>
      <c r="N23" s="2">
        <f>-I5-I6-I11-I12</f>
        <v>1752000</v>
      </c>
      <c r="P23" s="2"/>
    </row>
    <row r="24" spans="2:16" x14ac:dyDescent="0.2">
      <c r="B24" s="11" t="s">
        <v>23</v>
      </c>
      <c r="C24" s="18">
        <f>C25+C30</f>
        <v>268000</v>
      </c>
      <c r="D24" s="18">
        <f t="shared" ref="D24:H24" si="11">D25+D30</f>
        <v>-262860</v>
      </c>
      <c r="E24" s="18">
        <f t="shared" si="11"/>
        <v>119820</v>
      </c>
      <c r="F24" s="18">
        <f t="shared" si="11"/>
        <v>302000</v>
      </c>
      <c r="G24" s="18">
        <f t="shared" si="11"/>
        <v>505500</v>
      </c>
      <c r="H24" s="18">
        <f t="shared" si="11"/>
        <v>177500</v>
      </c>
      <c r="I24" s="18">
        <f>SUM(C24:H24)</f>
        <v>1109960</v>
      </c>
      <c r="L24" t="s">
        <v>66</v>
      </c>
      <c r="N24" s="2">
        <f>-SUM(D20:H20)</f>
        <v>289520</v>
      </c>
    </row>
    <row r="25" spans="2:16" x14ac:dyDescent="0.2">
      <c r="B25" s="16" t="s">
        <v>24</v>
      </c>
      <c r="C25" s="17">
        <f>SUM(C26:C29)</f>
        <v>606000</v>
      </c>
      <c r="D25" s="17">
        <f t="shared" ref="D25:H25" si="12">SUM(D26:D29)</f>
        <v>262500</v>
      </c>
      <c r="E25" s="17">
        <f t="shared" si="12"/>
        <v>660000</v>
      </c>
      <c r="F25" s="17">
        <f t="shared" si="12"/>
        <v>794000</v>
      </c>
      <c r="G25" s="17">
        <f t="shared" si="12"/>
        <v>1041500</v>
      </c>
      <c r="H25" s="17">
        <f t="shared" si="12"/>
        <v>686000</v>
      </c>
      <c r="I25" s="15"/>
      <c r="L25" t="s">
        <v>67</v>
      </c>
      <c r="N25" s="7">
        <f>-P4+SUM(D32:H33)+SUM(C35:H36)+SUM(D20:H20)</f>
        <v>-1953520</v>
      </c>
      <c r="P25" s="7"/>
    </row>
    <row r="26" spans="2:16" x14ac:dyDescent="0.2">
      <c r="B26" s="9" t="s">
        <v>31</v>
      </c>
      <c r="C26" s="10">
        <v>480000</v>
      </c>
      <c r="D26" s="10"/>
      <c r="E26" s="10"/>
      <c r="F26" s="10"/>
      <c r="G26" s="10"/>
      <c r="H26" s="10"/>
      <c r="I26" s="10"/>
      <c r="N26" s="40">
        <f>SUM(N22:N25)</f>
        <v>376000</v>
      </c>
    </row>
    <row r="27" spans="2:16" x14ac:dyDescent="0.2">
      <c r="B27" s="9" t="s">
        <v>37</v>
      </c>
      <c r="C27" s="10">
        <f>$C$22*C3</f>
        <v>60000</v>
      </c>
      <c r="D27" s="10">
        <f t="shared" ref="D27:H27" si="13">$C$22*D3</f>
        <v>125000</v>
      </c>
      <c r="E27" s="10">
        <f t="shared" si="13"/>
        <v>200000</v>
      </c>
      <c r="F27" s="10">
        <f t="shared" si="13"/>
        <v>140000</v>
      </c>
      <c r="G27" s="10">
        <f t="shared" si="13"/>
        <v>115000</v>
      </c>
      <c r="H27" s="10">
        <f t="shared" si="13"/>
        <v>60000</v>
      </c>
      <c r="I27" s="10"/>
    </row>
    <row r="28" spans="2:16" x14ac:dyDescent="0.2">
      <c r="B28" s="9" t="s">
        <v>36</v>
      </c>
      <c r="C28" s="10"/>
      <c r="D28" s="10"/>
      <c r="E28" s="10">
        <f>C3-C27</f>
        <v>240000</v>
      </c>
      <c r="F28" s="10">
        <f>D3-D27</f>
        <v>500000</v>
      </c>
      <c r="G28" s="10">
        <f>E3-E27</f>
        <v>800000</v>
      </c>
      <c r="H28" s="10">
        <f>F3-F27</f>
        <v>560000</v>
      </c>
      <c r="I28" s="10"/>
    </row>
    <row r="29" spans="2:16" x14ac:dyDescent="0.2">
      <c r="B29" s="9" t="str">
        <f>B19</f>
        <v>IVA su vendite</v>
      </c>
      <c r="C29" s="41">
        <f>C19</f>
        <v>66000</v>
      </c>
      <c r="D29" s="41">
        <f t="shared" ref="D29:H29" si="14">D19</f>
        <v>137500</v>
      </c>
      <c r="E29" s="41">
        <f t="shared" si="14"/>
        <v>220000</v>
      </c>
      <c r="F29" s="41">
        <f t="shared" si="14"/>
        <v>154000</v>
      </c>
      <c r="G29" s="41">
        <f t="shared" si="14"/>
        <v>126500</v>
      </c>
      <c r="H29" s="41">
        <f t="shared" si="14"/>
        <v>66000</v>
      </c>
      <c r="I29" s="10"/>
    </row>
    <row r="30" spans="2:16" x14ac:dyDescent="0.2">
      <c r="B30" s="16" t="s">
        <v>25</v>
      </c>
      <c r="C30" s="17">
        <f>SUM(C31:C38)</f>
        <v>-338000</v>
      </c>
      <c r="D30" s="17">
        <f t="shared" ref="D30:H30" si="15">SUM(D31:D38)</f>
        <v>-525360</v>
      </c>
      <c r="E30" s="17">
        <f t="shared" si="15"/>
        <v>-540180</v>
      </c>
      <c r="F30" s="17">
        <f t="shared" si="15"/>
        <v>-492000</v>
      </c>
      <c r="G30" s="17">
        <f t="shared" si="15"/>
        <v>-536000</v>
      </c>
      <c r="H30" s="17">
        <f t="shared" si="15"/>
        <v>-508500</v>
      </c>
      <c r="I30" s="15"/>
    </row>
    <row r="31" spans="2:16" x14ac:dyDescent="0.2">
      <c r="B31" s="9" t="s">
        <v>30</v>
      </c>
      <c r="C31" s="10">
        <f>-188000-50000</f>
        <v>-238000</v>
      </c>
      <c r="D31" s="10">
        <f>-50000-80000</f>
        <v>-130000</v>
      </c>
      <c r="E31" s="10"/>
      <c r="F31" s="10"/>
      <c r="G31" s="10"/>
      <c r="H31" s="10"/>
      <c r="I31" s="10"/>
    </row>
    <row r="32" spans="2:16" x14ac:dyDescent="0.2">
      <c r="B32" s="9" t="s">
        <v>28</v>
      </c>
      <c r="C32" s="10"/>
      <c r="D32" s="10">
        <f>C5</f>
        <v>-188000</v>
      </c>
      <c r="E32" s="10">
        <f t="shared" ref="E32:H32" si="16">D5</f>
        <v>-188000</v>
      </c>
      <c r="F32" s="10">
        <f t="shared" si="16"/>
        <v>-188000</v>
      </c>
      <c r="G32" s="10">
        <f t="shared" si="16"/>
        <v>-188000</v>
      </c>
      <c r="H32" s="10">
        <f t="shared" si="16"/>
        <v>-188000</v>
      </c>
      <c r="I32" s="10">
        <f>SUM(D32:H32)</f>
        <v>-940000</v>
      </c>
    </row>
    <row r="33" spans="2:11" x14ac:dyDescent="0.2">
      <c r="B33" s="9" t="s">
        <v>9</v>
      </c>
      <c r="C33" s="10"/>
      <c r="D33" s="10"/>
      <c r="E33" s="10">
        <f>C6</f>
        <v>-50000</v>
      </c>
      <c r="F33" s="10">
        <f t="shared" ref="F33:H33" si="17">D6</f>
        <v>-50000</v>
      </c>
      <c r="G33" s="10">
        <f t="shared" si="17"/>
        <v>-50000</v>
      </c>
      <c r="H33" s="10">
        <f t="shared" si="17"/>
        <v>-50000</v>
      </c>
      <c r="I33" s="10">
        <f>SUM(D33:H33)</f>
        <v>-200000</v>
      </c>
    </row>
    <row r="34" spans="2:11" x14ac:dyDescent="0.2">
      <c r="B34" s="9" t="s">
        <v>10</v>
      </c>
      <c r="C34" s="10">
        <f>C7</f>
        <v>-90000</v>
      </c>
      <c r="D34" s="10">
        <f t="shared" ref="D34:H34" si="18">D7</f>
        <v>-90000</v>
      </c>
      <c r="E34" s="10">
        <f t="shared" si="18"/>
        <v>-90000</v>
      </c>
      <c r="F34" s="10">
        <f t="shared" si="18"/>
        <v>-90000</v>
      </c>
      <c r="G34" s="10">
        <f t="shared" si="18"/>
        <v>-90000</v>
      </c>
      <c r="H34" s="10">
        <f t="shared" si="18"/>
        <v>-90000</v>
      </c>
      <c r="I34" s="10"/>
    </row>
    <row r="35" spans="2:11" x14ac:dyDescent="0.2">
      <c r="B35" s="9" t="s">
        <v>33</v>
      </c>
      <c r="C35" s="10"/>
      <c r="D35" s="10"/>
      <c r="E35" s="10">
        <f>C11</f>
        <v>-44000</v>
      </c>
      <c r="F35" s="10">
        <f t="shared" ref="F35:H35" si="19">D11</f>
        <v>-44000</v>
      </c>
      <c r="G35" s="10">
        <f t="shared" si="19"/>
        <v>-44000</v>
      </c>
      <c r="H35" s="10">
        <f t="shared" si="19"/>
        <v>-44000</v>
      </c>
      <c r="I35" s="10">
        <f t="shared" ref="I35" si="20">SUM(D35:H35)</f>
        <v>-176000</v>
      </c>
    </row>
    <row r="36" spans="2:11" x14ac:dyDescent="0.2">
      <c r="B36" s="9" t="s">
        <v>34</v>
      </c>
      <c r="C36" s="10">
        <f>C12</f>
        <v>-10000</v>
      </c>
      <c r="D36" s="10">
        <f t="shared" ref="D36:H36" si="21">D12</f>
        <v>-10000</v>
      </c>
      <c r="E36" s="10">
        <f t="shared" si="21"/>
        <v>-10000</v>
      </c>
      <c r="F36" s="10">
        <f t="shared" si="21"/>
        <v>-10000</v>
      </c>
      <c r="G36" s="10">
        <f t="shared" si="21"/>
        <v>-10000</v>
      </c>
      <c r="H36" s="10">
        <f t="shared" si="21"/>
        <v>-10000</v>
      </c>
      <c r="I36" s="10">
        <f>SUM(C36:H36)</f>
        <v>-60000</v>
      </c>
    </row>
    <row r="37" spans="2:11" x14ac:dyDescent="0.2">
      <c r="B37" s="9" t="s">
        <v>35</v>
      </c>
      <c r="C37" s="10"/>
      <c r="D37" s="10">
        <f>D18</f>
        <v>-66000</v>
      </c>
      <c r="E37" s="10">
        <f t="shared" ref="E37:H37" si="22">E18</f>
        <v>-96140</v>
      </c>
      <c r="F37" s="10">
        <f t="shared" si="22"/>
        <v>-47960</v>
      </c>
      <c r="G37" s="10">
        <f t="shared" si="22"/>
        <v>-91960</v>
      </c>
      <c r="H37" s="10">
        <f t="shared" si="22"/>
        <v>-64460</v>
      </c>
      <c r="I37" s="10"/>
      <c r="J37" s="7"/>
      <c r="K37" s="7"/>
    </row>
    <row r="38" spans="2:11" x14ac:dyDescent="0.2">
      <c r="B38" s="9" t="str">
        <f>B20</f>
        <v>IVA su acquisti</v>
      </c>
      <c r="C38" s="9">
        <f t="shared" ref="C38:H38" si="23">C20</f>
        <v>0</v>
      </c>
      <c r="D38" s="9">
        <f t="shared" si="23"/>
        <v>-41360</v>
      </c>
      <c r="E38" s="9">
        <f t="shared" si="23"/>
        <v>-62040</v>
      </c>
      <c r="F38" s="9">
        <f t="shared" si="23"/>
        <v>-62040</v>
      </c>
      <c r="G38" s="9">
        <f t="shared" si="23"/>
        <v>-62040</v>
      </c>
      <c r="H38" s="9">
        <f t="shared" si="23"/>
        <v>-62040</v>
      </c>
      <c r="I38" s="10"/>
    </row>
    <row r="39" spans="2:11" x14ac:dyDescent="0.2">
      <c r="B39" s="11" t="s">
        <v>26</v>
      </c>
      <c r="C39" s="10"/>
      <c r="D39" s="10"/>
      <c r="E39" s="10"/>
      <c r="F39" s="10"/>
      <c r="G39" s="10"/>
      <c r="H39" s="10"/>
      <c r="I39" s="10"/>
    </row>
    <row r="40" spans="2:11" x14ac:dyDescent="0.2">
      <c r="B40" s="9" t="s">
        <v>29</v>
      </c>
      <c r="C40" s="10"/>
      <c r="D40" s="10"/>
      <c r="E40" s="10">
        <v>-500000</v>
      </c>
      <c r="F40" s="10"/>
      <c r="G40" s="10"/>
      <c r="H40" s="10"/>
      <c r="I40" s="18">
        <f>E40+E41</f>
        <v>-610000</v>
      </c>
    </row>
    <row r="41" spans="2:11" x14ac:dyDescent="0.2">
      <c r="B41" s="9" t="s">
        <v>21</v>
      </c>
      <c r="C41" s="10"/>
      <c r="D41" s="10"/>
      <c r="E41" s="10">
        <f>E21</f>
        <v>-110000</v>
      </c>
      <c r="F41" s="10"/>
      <c r="G41" s="10"/>
      <c r="H41" s="10"/>
      <c r="I41" s="10"/>
    </row>
    <row r="42" spans="2:11" x14ac:dyDescent="0.2">
      <c r="B42" s="11" t="s">
        <v>27</v>
      </c>
      <c r="C42" s="10"/>
      <c r="D42" s="10"/>
      <c r="E42" s="10">
        <f>SUM(E43:E44)</f>
        <v>-24000</v>
      </c>
      <c r="F42" s="10"/>
      <c r="G42" s="10"/>
      <c r="H42" s="10"/>
      <c r="I42" s="18">
        <f>SUM(E42:H42)</f>
        <v>-24000</v>
      </c>
    </row>
    <row r="43" spans="2:11" x14ac:dyDescent="0.2">
      <c r="B43" s="9" t="s">
        <v>69</v>
      </c>
      <c r="C43" s="10"/>
      <c r="D43" s="10"/>
      <c r="E43" s="10">
        <v>-10000</v>
      </c>
      <c r="F43" s="10"/>
      <c r="G43" s="10"/>
      <c r="H43" s="10"/>
      <c r="I43" s="18"/>
    </row>
    <row r="44" spans="2:11" x14ac:dyDescent="0.2">
      <c r="B44" s="9" t="s">
        <v>70</v>
      </c>
      <c r="C44" s="10"/>
      <c r="D44" s="10"/>
      <c r="E44" s="10">
        <v>-14000</v>
      </c>
      <c r="F44" s="10"/>
      <c r="G44" s="10"/>
      <c r="H44" s="10"/>
      <c r="I44" s="10"/>
    </row>
    <row r="45" spans="2:11" ht="17" thickBot="1" x14ac:dyDescent="0.25">
      <c r="B45" s="19" t="s">
        <v>38</v>
      </c>
      <c r="C45" s="20">
        <f>C24+C40+C42</f>
        <v>268000</v>
      </c>
      <c r="D45" s="20">
        <f t="shared" ref="D45:H45" si="24">D24+D40+D42</f>
        <v>-262860</v>
      </c>
      <c r="E45" s="20">
        <f>E24+E40+E42+E41</f>
        <v>-514180</v>
      </c>
      <c r="F45" s="20">
        <f t="shared" si="24"/>
        <v>302000</v>
      </c>
      <c r="G45" s="20">
        <f t="shared" si="24"/>
        <v>505500</v>
      </c>
      <c r="H45" s="20">
        <f t="shared" si="24"/>
        <v>177500</v>
      </c>
      <c r="I45" s="10"/>
    </row>
    <row r="46" spans="2:11" ht="17" thickTop="1" x14ac:dyDescent="0.2">
      <c r="B46" s="9"/>
      <c r="C46" s="10"/>
      <c r="D46" s="10"/>
      <c r="E46" s="10"/>
      <c r="F46" s="10"/>
      <c r="G46" s="10"/>
      <c r="H46" s="10"/>
      <c r="I46" s="10"/>
    </row>
    <row r="47" spans="2:11" x14ac:dyDescent="0.2">
      <c r="B47" s="9"/>
      <c r="C47" s="10"/>
      <c r="D47" s="10"/>
      <c r="E47" s="10"/>
      <c r="F47" s="10"/>
      <c r="G47" s="10"/>
      <c r="H47" s="10"/>
      <c r="I47" s="10"/>
    </row>
    <row r="48" spans="2:11" x14ac:dyDescent="0.2">
      <c r="B48" t="s">
        <v>39</v>
      </c>
    </row>
    <row r="49" spans="2:8" x14ac:dyDescent="0.2">
      <c r="B49" t="s">
        <v>40</v>
      </c>
      <c r="C49" s="2">
        <v>-225000</v>
      </c>
      <c r="D49" s="2">
        <f>C53</f>
        <v>42727.708333333336</v>
      </c>
      <c r="E49" s="2">
        <f t="shared" ref="E49:H49" si="25">D53</f>
        <v>-220398.55542534721</v>
      </c>
      <c r="F49" s="2">
        <f t="shared" si="25"/>
        <v>-736965.99820247386</v>
      </c>
      <c r="G49" s="2">
        <f t="shared" si="25"/>
        <v>-437895.8281934862</v>
      </c>
      <c r="H49" s="2">
        <f t="shared" si="25"/>
        <v>67070.886223731635</v>
      </c>
    </row>
    <row r="50" spans="2:8" x14ac:dyDescent="0.2">
      <c r="B50" t="s">
        <v>41</v>
      </c>
      <c r="C50" s="2">
        <f>C45</f>
        <v>268000</v>
      </c>
      <c r="D50" s="2">
        <f t="shared" ref="D50:H50" si="26">D45</f>
        <v>-262860</v>
      </c>
      <c r="E50" s="2">
        <f t="shared" si="26"/>
        <v>-514180</v>
      </c>
      <c r="F50" s="2">
        <f t="shared" si="26"/>
        <v>302000</v>
      </c>
      <c r="G50" s="2">
        <f t="shared" si="26"/>
        <v>505500</v>
      </c>
      <c r="H50" s="2">
        <f t="shared" si="26"/>
        <v>177500</v>
      </c>
    </row>
    <row r="51" spans="2:8" x14ac:dyDescent="0.2">
      <c r="B51" t="s">
        <v>42</v>
      </c>
      <c r="C51" s="2">
        <f>SUM(C49:C50)</f>
        <v>43000</v>
      </c>
      <c r="D51" s="2">
        <f t="shared" ref="D51:H51" si="27">SUM(D49:D50)</f>
        <v>-220132.29166666666</v>
      </c>
      <c r="E51" s="2">
        <f t="shared" si="27"/>
        <v>-734578.55542534718</v>
      </c>
      <c r="F51" s="2">
        <f t="shared" si="27"/>
        <v>-434965.99820247386</v>
      </c>
      <c r="G51" s="2">
        <f t="shared" si="27"/>
        <v>67604.171806513797</v>
      </c>
      <c r="H51" s="2">
        <f t="shared" si="27"/>
        <v>244570.88622373162</v>
      </c>
    </row>
    <row r="52" spans="2:8" x14ac:dyDescent="0.2">
      <c r="B52" t="s">
        <v>43</v>
      </c>
      <c r="C52" s="2">
        <f>0.06/24*C49/2+0.01/24*C51/2</f>
        <v>-272.29166666666669</v>
      </c>
      <c r="D52" s="2">
        <f>0.01/24*D49/2+0.06/24*D51/2</f>
        <v>-266.26375868055555</v>
      </c>
      <c r="E52" s="2">
        <f t="shared" ref="C52:H52" si="28">0.06/12*(E49+E51)/2</f>
        <v>-2387.442777126736</v>
      </c>
      <c r="F52" s="2">
        <f t="shared" si="28"/>
        <v>-2929.8299910123692</v>
      </c>
      <c r="G52" s="2">
        <f>0.06/24*G49/2+0.01/24*G51/2</f>
        <v>-533.28558278216747</v>
      </c>
      <c r="H52" s="2">
        <f>0.01/12*(H49+H51)/2</f>
        <v>129.85073851977637</v>
      </c>
    </row>
    <row r="53" spans="2:8" x14ac:dyDescent="0.2">
      <c r="B53" t="s">
        <v>44</v>
      </c>
      <c r="C53" s="2">
        <f t="shared" ref="C53:H53" si="29">C51+C52</f>
        <v>42727.708333333336</v>
      </c>
      <c r="D53" s="2">
        <f t="shared" si="29"/>
        <v>-220398.55542534721</v>
      </c>
      <c r="E53" s="2">
        <f t="shared" si="29"/>
        <v>-736965.99820247386</v>
      </c>
      <c r="F53" s="2">
        <f t="shared" si="29"/>
        <v>-437895.8281934862</v>
      </c>
      <c r="G53" s="2">
        <f t="shared" si="29"/>
        <v>67070.886223731635</v>
      </c>
      <c r="H53" s="2">
        <f t="shared" si="29"/>
        <v>244700.73696225139</v>
      </c>
    </row>
    <row r="57" spans="2:8" x14ac:dyDescent="0.2">
      <c r="B57" t="str">
        <f>B45</f>
        <v>CASH FLOW MENSILE</v>
      </c>
      <c r="C57" s="6">
        <f t="shared" ref="C57:H57" si="30">C45</f>
        <v>268000</v>
      </c>
      <c r="D57" s="6">
        <f t="shared" si="30"/>
        <v>-262860</v>
      </c>
      <c r="E57" s="6">
        <f t="shared" si="30"/>
        <v>-514180</v>
      </c>
      <c r="F57" s="6">
        <f t="shared" si="30"/>
        <v>302000</v>
      </c>
      <c r="G57" s="6">
        <f t="shared" si="30"/>
        <v>505500</v>
      </c>
      <c r="H57" s="6">
        <f t="shared" si="30"/>
        <v>177500</v>
      </c>
    </row>
    <row r="58" spans="2:8" x14ac:dyDescent="0.2">
      <c r="B58" t="s">
        <v>46</v>
      </c>
      <c r="C58" s="2">
        <f>C49</f>
        <v>-225000</v>
      </c>
      <c r="D58" s="2">
        <f t="shared" ref="D58:H58" si="31">D49</f>
        <v>42727.708333333336</v>
      </c>
      <c r="E58" s="2">
        <f t="shared" si="31"/>
        <v>-220398.55542534721</v>
      </c>
      <c r="F58" s="2">
        <f t="shared" si="31"/>
        <v>-736965.99820247386</v>
      </c>
      <c r="G58" s="2">
        <f t="shared" si="31"/>
        <v>-437895.8281934862</v>
      </c>
      <c r="H58" s="2">
        <f t="shared" si="31"/>
        <v>67070.886223731635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05C9-E0CB-8842-9E3E-89A8C67B0A06}">
  <dimension ref="B1:K42"/>
  <sheetViews>
    <sheetView tabSelected="1" zoomScale="244" zoomScaleNormal="214" workbookViewId="0">
      <selection activeCell="G16" sqref="G16"/>
    </sheetView>
  </sheetViews>
  <sheetFormatPr baseColWidth="10" defaultRowHeight="16" x14ac:dyDescent="0.2"/>
  <cols>
    <col min="2" max="2" width="21.6640625" bestFit="1" customWidth="1"/>
    <col min="3" max="3" width="14.6640625" style="6" bestFit="1" customWidth="1"/>
    <col min="4" max="4" width="5" customWidth="1"/>
    <col min="5" max="5" width="5.1640625" customWidth="1"/>
    <col min="6" max="6" width="29.5" bestFit="1" customWidth="1"/>
    <col min="7" max="7" width="13.1640625" bestFit="1" customWidth="1"/>
    <col min="8" max="8" width="13" customWidth="1"/>
    <col min="9" max="9" width="16.6640625" customWidth="1"/>
    <col min="10" max="11" width="12" bestFit="1" customWidth="1"/>
  </cols>
  <sheetData>
    <row r="1" spans="2:11" x14ac:dyDescent="0.2">
      <c r="F1" s="44" t="s">
        <v>115</v>
      </c>
      <c r="G1" s="44"/>
      <c r="H1" s="44"/>
      <c r="I1" s="44"/>
      <c r="J1" s="44"/>
      <c r="K1" s="44"/>
    </row>
    <row r="2" spans="2:11" ht="17" thickBot="1" x14ac:dyDescent="0.25">
      <c r="B2" t="s">
        <v>71</v>
      </c>
      <c r="C2" s="6">
        <v>3500000</v>
      </c>
      <c r="F2" t="s">
        <v>116</v>
      </c>
      <c r="I2" t="s">
        <v>117</v>
      </c>
    </row>
    <row r="3" spans="2:11" x14ac:dyDescent="0.2">
      <c r="F3" s="28" t="s">
        <v>47</v>
      </c>
      <c r="G3" s="36">
        <v>25000</v>
      </c>
      <c r="H3" s="52">
        <f>G3</f>
        <v>25000</v>
      </c>
      <c r="I3" s="29" t="s">
        <v>52</v>
      </c>
      <c r="J3" s="36">
        <v>225000</v>
      </c>
      <c r="K3" s="52">
        <f>-C42</f>
        <v>123185.60000000001</v>
      </c>
    </row>
    <row r="4" spans="2:11" x14ac:dyDescent="0.2">
      <c r="B4" t="s">
        <v>72</v>
      </c>
      <c r="C4" s="6">
        <f>-188000*6</f>
        <v>-1128000</v>
      </c>
      <c r="F4" s="30" t="s">
        <v>48</v>
      </c>
      <c r="G4" s="37">
        <v>480000</v>
      </c>
      <c r="H4" s="24">
        <f>G22</f>
        <v>933333.33333333337</v>
      </c>
      <c r="I4" s="31" t="s">
        <v>53</v>
      </c>
      <c r="J4" s="37">
        <v>288000</v>
      </c>
      <c r="K4" s="24">
        <f>G28</f>
        <v>288000</v>
      </c>
    </row>
    <row r="5" spans="2:11" x14ac:dyDescent="0.2">
      <c r="B5" t="s">
        <v>73</v>
      </c>
      <c r="C5" s="6">
        <f>-50000*6</f>
        <v>-300000</v>
      </c>
      <c r="F5" s="30" t="s">
        <v>118</v>
      </c>
      <c r="G5" s="37">
        <v>50000</v>
      </c>
      <c r="H5" s="24">
        <f>G5+110000</f>
        <v>160000</v>
      </c>
      <c r="I5" s="31" t="s">
        <v>54</v>
      </c>
      <c r="J5" s="37">
        <v>80000</v>
      </c>
      <c r="K5" s="24">
        <f>G29</f>
        <v>66293.333333333328</v>
      </c>
    </row>
    <row r="6" spans="2:11" x14ac:dyDescent="0.2">
      <c r="B6" t="s">
        <v>74</v>
      </c>
      <c r="C6" s="6">
        <f>- 90000*6</f>
        <v>-540000</v>
      </c>
      <c r="F6" s="30" t="s">
        <v>50</v>
      </c>
      <c r="G6" s="37">
        <v>1200000</v>
      </c>
      <c r="H6" s="24">
        <f>G6+C8</f>
        <v>758000</v>
      </c>
      <c r="I6" s="31" t="s">
        <v>55</v>
      </c>
      <c r="J6" s="37">
        <v>290000</v>
      </c>
      <c r="K6" s="24">
        <f>J6-3500</f>
        <v>286500</v>
      </c>
    </row>
    <row r="7" spans="2:11" x14ac:dyDescent="0.2">
      <c r="B7" t="s">
        <v>75</v>
      </c>
      <c r="C7" s="6">
        <f>C6/13.5</f>
        <v>-40000</v>
      </c>
      <c r="F7" s="30" t="s">
        <v>51</v>
      </c>
      <c r="G7" s="37">
        <v>574000</v>
      </c>
      <c r="H7" s="24">
        <f>G7-C28+C13</f>
        <v>1001500</v>
      </c>
      <c r="I7" s="31" t="s">
        <v>68</v>
      </c>
      <c r="J7" s="37">
        <v>50000</v>
      </c>
      <c r="K7" s="24">
        <f>J7-C7</f>
        <v>90000</v>
      </c>
    </row>
    <row r="8" spans="2:11" x14ac:dyDescent="0.2">
      <c r="B8" t="s">
        <v>81</v>
      </c>
      <c r="C8" s="6">
        <f>-(C2+SUM(C4:C7)-C9)</f>
        <v>-442000</v>
      </c>
      <c r="F8" s="30"/>
      <c r="G8" s="37"/>
      <c r="H8" s="51"/>
      <c r="I8" s="31" t="s">
        <v>56</v>
      </c>
      <c r="J8" s="37">
        <v>950000</v>
      </c>
      <c r="K8" s="24">
        <f>J8</f>
        <v>950000</v>
      </c>
    </row>
    <row r="9" spans="2:11" ht="17" thickBot="1" x14ac:dyDescent="0.25">
      <c r="B9" s="42" t="s">
        <v>76</v>
      </c>
      <c r="C9" s="43">
        <f>0.3*C2</f>
        <v>1050000</v>
      </c>
      <c r="D9" s="7"/>
      <c r="F9" s="32"/>
      <c r="G9" s="38"/>
      <c r="H9" s="51"/>
      <c r="I9" s="33" t="s">
        <v>57</v>
      </c>
      <c r="J9" s="38">
        <v>446000</v>
      </c>
      <c r="K9" s="24">
        <f>J9+C33+C16</f>
        <v>1073854.3999999999</v>
      </c>
    </row>
    <row r="10" spans="2:11" ht="17" thickBot="1" x14ac:dyDescent="0.25">
      <c r="B10" t="s">
        <v>77</v>
      </c>
      <c r="C10" s="6">
        <f>-44000*6</f>
        <v>-264000</v>
      </c>
      <c r="F10" s="34"/>
      <c r="G10" s="39">
        <f>SUM(G3:G9)</f>
        <v>2329000</v>
      </c>
      <c r="H10" s="55">
        <f>SUM(H3:H9)</f>
        <v>2877833.3333333335</v>
      </c>
      <c r="I10" s="35"/>
      <c r="J10" s="39">
        <f>SUM(J3:J9)</f>
        <v>2329000</v>
      </c>
      <c r="K10" s="55">
        <f>SUM(K3:K9)</f>
        <v>2877833.333333333</v>
      </c>
    </row>
    <row r="11" spans="2:11" x14ac:dyDescent="0.2">
      <c r="B11" t="s">
        <v>78</v>
      </c>
      <c r="C11" s="6">
        <f>-10000*6</f>
        <v>-60000</v>
      </c>
    </row>
    <row r="12" spans="2:11" ht="17" thickBot="1" x14ac:dyDescent="0.25">
      <c r="B12" s="42" t="s">
        <v>80</v>
      </c>
      <c r="C12" s="43">
        <f>C9+C10+C11</f>
        <v>726000</v>
      </c>
      <c r="K12" s="7">
        <f>K10-H10</f>
        <v>0</v>
      </c>
    </row>
    <row r="13" spans="2:11" x14ac:dyDescent="0.2">
      <c r="B13" t="s">
        <v>79</v>
      </c>
      <c r="C13" s="6">
        <f>-60000-500000/120*3</f>
        <v>-72500</v>
      </c>
    </row>
    <row r="14" spans="2:11" ht="17" thickBot="1" x14ac:dyDescent="0.25">
      <c r="B14" s="42" t="s">
        <v>82</v>
      </c>
      <c r="C14" s="43">
        <f>SUM(C12:C13)</f>
        <v>653500</v>
      </c>
    </row>
    <row r="15" spans="2:11" ht="17" thickBot="1" x14ac:dyDescent="0.25">
      <c r="B15" s="5" t="s">
        <v>109</v>
      </c>
      <c r="C15" s="6">
        <f>-6500+C41</f>
        <v>-11645.599999999999</v>
      </c>
    </row>
    <row r="16" spans="2:11" ht="17" thickBot="1" x14ac:dyDescent="0.25">
      <c r="B16" s="56" t="s">
        <v>45</v>
      </c>
      <c r="C16" s="54">
        <f>SUM(C14:C15)</f>
        <v>641854.4</v>
      </c>
    </row>
    <row r="17" spans="2:9" x14ac:dyDescent="0.2">
      <c r="B17" s="5"/>
    </row>
    <row r="19" spans="2:9" x14ac:dyDescent="0.2">
      <c r="B19" s="44" t="s">
        <v>22</v>
      </c>
      <c r="C19" s="44"/>
    </row>
    <row r="20" spans="2:9" x14ac:dyDescent="0.2">
      <c r="B20" s="12" t="s">
        <v>83</v>
      </c>
      <c r="F20" s="12" t="s">
        <v>87</v>
      </c>
    </row>
    <row r="21" spans="2:9" x14ac:dyDescent="0.2">
      <c r="B21" s="46" t="s">
        <v>80</v>
      </c>
      <c r="C21" s="47">
        <f>C12</f>
        <v>726000</v>
      </c>
      <c r="F21" t="s">
        <v>88</v>
      </c>
      <c r="G21" s="6">
        <f>480000</f>
        <v>480000</v>
      </c>
      <c r="H21" s="6"/>
    </row>
    <row r="22" spans="2:9" x14ac:dyDescent="0.2">
      <c r="B22" t="s">
        <v>84</v>
      </c>
      <c r="C22" s="6">
        <f>G21-G22</f>
        <v>-453333.33333333337</v>
      </c>
      <c r="F22" t="s">
        <v>89</v>
      </c>
      <c r="G22" s="7">
        <f>0.8*C2/3</f>
        <v>933333.33333333337</v>
      </c>
      <c r="H22" s="7"/>
    </row>
    <row r="23" spans="2:9" x14ac:dyDescent="0.2">
      <c r="B23" t="s">
        <v>85</v>
      </c>
      <c r="C23" s="6">
        <f>-C8</f>
        <v>442000</v>
      </c>
      <c r="G23" s="7"/>
      <c r="H23" s="7"/>
    </row>
    <row r="24" spans="2:9" x14ac:dyDescent="0.2">
      <c r="B24" t="s">
        <v>86</v>
      </c>
      <c r="C24" s="6">
        <f>G26</f>
        <v>26293.333333333328</v>
      </c>
    </row>
    <row r="25" spans="2:9" ht="17" thickBot="1" x14ac:dyDescent="0.25">
      <c r="B25" s="42" t="s">
        <v>7</v>
      </c>
      <c r="C25" s="43">
        <f>SUM(C21:C24)</f>
        <v>740960</v>
      </c>
    </row>
    <row r="26" spans="2:9" x14ac:dyDescent="0.2">
      <c r="F26" s="12" t="s">
        <v>90</v>
      </c>
      <c r="G26" s="45">
        <f>G27-G28+G29-G30+G31+G32</f>
        <v>26293.333333333328</v>
      </c>
      <c r="H26" s="45"/>
    </row>
    <row r="27" spans="2:9" x14ac:dyDescent="0.2">
      <c r="B27" s="12" t="s">
        <v>97</v>
      </c>
      <c r="C27" s="48">
        <f>SUM(C28:C29)</f>
        <v>-610000</v>
      </c>
      <c r="F27" t="s">
        <v>91</v>
      </c>
      <c r="G27" s="6">
        <f>288000</f>
        <v>288000</v>
      </c>
      <c r="H27" s="6"/>
    </row>
    <row r="28" spans="2:9" x14ac:dyDescent="0.2">
      <c r="B28" t="s">
        <v>98</v>
      </c>
      <c r="C28" s="6">
        <v>-500000</v>
      </c>
      <c r="F28" t="s">
        <v>92</v>
      </c>
      <c r="G28" s="6">
        <f>188000+50000+50000</f>
        <v>288000</v>
      </c>
      <c r="H28" s="6"/>
    </row>
    <row r="29" spans="2:9" x14ac:dyDescent="0.2">
      <c r="B29" t="s">
        <v>99</v>
      </c>
      <c r="C29" s="6">
        <v>-110000</v>
      </c>
      <c r="F29" t="s">
        <v>93</v>
      </c>
      <c r="G29" s="7">
        <f>C2*0.22/6+SUM(C4+C5+C10)/6*0.22</f>
        <v>66293.333333333328</v>
      </c>
      <c r="H29" s="7"/>
      <c r="I29" s="7"/>
    </row>
    <row r="30" spans="2:9" x14ac:dyDescent="0.2">
      <c r="F30" t="s">
        <v>94</v>
      </c>
      <c r="G30" s="2">
        <v>80000</v>
      </c>
      <c r="H30" s="2"/>
    </row>
    <row r="31" spans="2:9" x14ac:dyDescent="0.2">
      <c r="B31" s="12" t="s">
        <v>106</v>
      </c>
      <c r="C31" s="48">
        <f>SUM(C32:C33)</f>
        <v>-24000</v>
      </c>
      <c r="F31" t="s">
        <v>95</v>
      </c>
      <c r="G31" s="2">
        <v>0</v>
      </c>
      <c r="H31" s="2"/>
    </row>
    <row r="32" spans="2:9" x14ac:dyDescent="0.2">
      <c r="B32" t="s">
        <v>107</v>
      </c>
      <c r="C32" s="6">
        <f>-10000</f>
        <v>-10000</v>
      </c>
      <c r="F32" t="s">
        <v>96</v>
      </c>
      <c r="G32" s="6">
        <v>40000</v>
      </c>
      <c r="H32" s="6"/>
    </row>
    <row r="33" spans="2:3" x14ac:dyDescent="0.2">
      <c r="B33" t="s">
        <v>70</v>
      </c>
      <c r="C33" s="6">
        <v>-14000</v>
      </c>
    </row>
    <row r="35" spans="2:3" ht="17" thickBot="1" x14ac:dyDescent="0.25">
      <c r="B35" s="49" t="s">
        <v>108</v>
      </c>
      <c r="C35" s="50">
        <f>C25+C27+C31</f>
        <v>106960</v>
      </c>
    </row>
    <row r="36" spans="2:3" ht="17" thickTop="1" x14ac:dyDescent="0.2"/>
    <row r="38" spans="2:3" x14ac:dyDescent="0.2">
      <c r="B38" t="s">
        <v>110</v>
      </c>
      <c r="C38" s="6">
        <f>-225000</f>
        <v>-225000</v>
      </c>
    </row>
    <row r="39" spans="2:3" x14ac:dyDescent="0.2">
      <c r="B39" t="s">
        <v>111</v>
      </c>
      <c r="C39" s="6">
        <f>C35</f>
        <v>106960</v>
      </c>
    </row>
    <row r="40" spans="2:3" x14ac:dyDescent="0.2">
      <c r="B40" t="s">
        <v>112</v>
      </c>
      <c r="C40" s="6">
        <f>SUM(C38:C39)</f>
        <v>-118040</v>
      </c>
    </row>
    <row r="41" spans="2:3" ht="17" thickBot="1" x14ac:dyDescent="0.25">
      <c r="B41" t="s">
        <v>113</v>
      </c>
      <c r="C41" s="6">
        <f>0.06/2*(C38+C40)/2</f>
        <v>-5145.5999999999995</v>
      </c>
    </row>
    <row r="42" spans="2:3" ht="17" thickBot="1" x14ac:dyDescent="0.25">
      <c r="B42" s="53" t="s">
        <v>114</v>
      </c>
      <c r="C42" s="54">
        <f>C40+C41</f>
        <v>-123185.60000000001</v>
      </c>
    </row>
  </sheetData>
  <mergeCells count="2">
    <mergeCell ref="B19:C19"/>
    <mergeCell ref="F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936E-6188-2D45-975A-26861C28A617}">
  <dimension ref="A10:E18"/>
  <sheetViews>
    <sheetView topLeftCell="A9" zoomScale="334" workbookViewId="0">
      <selection activeCell="E18" sqref="E18"/>
    </sheetView>
  </sheetViews>
  <sheetFormatPr baseColWidth="10" defaultRowHeight="16" x14ac:dyDescent="0.2"/>
  <sheetData>
    <row r="10" spans="1:5" x14ac:dyDescent="0.2">
      <c r="A10" t="s">
        <v>100</v>
      </c>
      <c r="B10">
        <v>100</v>
      </c>
      <c r="D10" t="s">
        <v>101</v>
      </c>
      <c r="E10">
        <v>122</v>
      </c>
    </row>
    <row r="11" spans="1:5" x14ac:dyDescent="0.2">
      <c r="A11" t="s">
        <v>102</v>
      </c>
      <c r="B11">
        <v>60</v>
      </c>
      <c r="D11" t="s">
        <v>103</v>
      </c>
      <c r="E11">
        <f>B11*1.22</f>
        <v>73.2</v>
      </c>
    </row>
    <row r="12" spans="1:5" ht="17" thickBot="1" x14ac:dyDescent="0.25">
      <c r="A12" s="42" t="s">
        <v>80</v>
      </c>
      <c r="B12" s="42">
        <v>40</v>
      </c>
      <c r="D12" s="42" t="s">
        <v>104</v>
      </c>
      <c r="E12" s="42">
        <f>E10-E11</f>
        <v>48.8</v>
      </c>
    </row>
    <row r="14" spans="1:5" x14ac:dyDescent="0.2">
      <c r="D14" t="s">
        <v>80</v>
      </c>
      <c r="E14">
        <v>40</v>
      </c>
    </row>
    <row r="15" spans="1:5" x14ac:dyDescent="0.2">
      <c r="D15" t="s">
        <v>105</v>
      </c>
      <c r="E15">
        <v>8.8000000000000007</v>
      </c>
    </row>
    <row r="16" spans="1:5" ht="17" thickBot="1" x14ac:dyDescent="0.25">
      <c r="D16" s="42" t="s">
        <v>104</v>
      </c>
      <c r="E16" s="42">
        <f>SUM(E14:E15)</f>
        <v>48.8</v>
      </c>
    </row>
    <row r="18" spans="5:5" x14ac:dyDescent="0.2">
      <c r="E1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MODUGNO GUIDO</cp:lastModifiedBy>
  <dcterms:created xsi:type="dcterms:W3CDTF">2022-04-22T08:43:17Z</dcterms:created>
  <dcterms:modified xsi:type="dcterms:W3CDTF">2022-04-28T13:31:12Z</dcterms:modified>
</cp:coreProperties>
</file>