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48A7509B-0622-4451-8B08-9835353377CC}" xr6:coauthVersionLast="47" xr6:coauthVersionMax="47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ES.1 2015 CS" sheetId="1" r:id="rId1"/>
    <sheet name="ES. 1 2016 CS" sheetId="2" r:id="rId2"/>
    <sheet name="APPROFONDIMENTO ESTRAZIONE OBBL" sheetId="5" r:id="rId3"/>
    <sheet name="ES.1 2015 CM" sheetId="3" r:id="rId4"/>
    <sheet name="Piano Ammortamento F PO 2015" sheetId="4" r:id="rId5"/>
    <sheet name="ES.2 2016 CM" sheetId="6" r:id="rId6"/>
    <sheet name="Piano Ammortamento F PO 2016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7" l="1"/>
  <c r="F16" i="7"/>
  <c r="E16" i="7"/>
  <c r="C16" i="7"/>
  <c r="B16" i="7"/>
  <c r="G10" i="7"/>
  <c r="G9" i="7"/>
  <c r="G8" i="7"/>
  <c r="E8" i="7"/>
  <c r="D8" i="7"/>
  <c r="E6" i="7"/>
  <c r="D6" i="7"/>
  <c r="B25" i="6"/>
  <c r="B26" i="6"/>
  <c r="F27" i="6" s="1"/>
  <c r="G27" i="6" s="1"/>
  <c r="A19" i="6"/>
  <c r="G5" i="6"/>
  <c r="F6" i="7" l="1"/>
  <c r="G6" i="7" s="1"/>
  <c r="E7" i="7" s="1"/>
  <c r="F7" i="7" l="1"/>
  <c r="B7" i="7"/>
  <c r="G7" i="7" l="1"/>
  <c r="B8" i="7" s="1"/>
  <c r="F8" i="7"/>
  <c r="B9" i="7" s="1"/>
  <c r="B26" i="3"/>
  <c r="C33" i="2"/>
  <c r="C27" i="2"/>
  <c r="C41" i="1"/>
  <c r="D9" i="3"/>
  <c r="C5" i="3"/>
  <c r="D7" i="4"/>
  <c r="D8" i="4"/>
  <c r="D9" i="4"/>
  <c r="D10" i="4"/>
  <c r="D11" i="4"/>
  <c r="D12" i="4"/>
  <c r="D13" i="4"/>
  <c r="D14" i="4"/>
  <c r="D15" i="4"/>
  <c r="E6" i="4"/>
  <c r="D6" i="4"/>
  <c r="C15" i="2"/>
  <c r="C34" i="1"/>
  <c r="C28" i="1"/>
  <c r="C19" i="1"/>
  <c r="H18" i="1"/>
  <c r="D14" i="1"/>
  <c r="C6" i="1"/>
  <c r="B4" i="1"/>
  <c r="E9" i="7" l="1"/>
  <c r="F9" i="7" s="1"/>
  <c r="B10" i="7" s="1"/>
  <c r="F6" i="4"/>
  <c r="G6" i="4" s="1"/>
  <c r="E10" i="7" l="1"/>
  <c r="F10" i="7"/>
  <c r="E7" i="4"/>
  <c r="F7" i="4" s="1"/>
  <c r="B7" i="4"/>
  <c r="G7" i="4" s="1"/>
  <c r="B8" i="4" s="1"/>
  <c r="B11" i="7" l="1"/>
  <c r="E8" i="4"/>
  <c r="F8" i="4" s="1"/>
  <c r="G8" i="4"/>
  <c r="B9" i="4" s="1"/>
  <c r="E11" i="7" l="1"/>
  <c r="F11" i="7" s="1"/>
  <c r="G11" i="7" s="1"/>
  <c r="E9" i="4"/>
  <c r="F9" i="4" s="1"/>
  <c r="G9" i="4"/>
  <c r="B10" i="4" s="1"/>
  <c r="B12" i="7" l="1"/>
  <c r="E10" i="4"/>
  <c r="F10" i="4" s="1"/>
  <c r="G10" i="4"/>
  <c r="B11" i="4" s="1"/>
  <c r="E12" i="7" l="1"/>
  <c r="F12" i="7" s="1"/>
  <c r="E11" i="4"/>
  <c r="F11" i="4" s="1"/>
  <c r="G11" i="4"/>
  <c r="B12" i="4" s="1"/>
  <c r="G12" i="7" l="1"/>
  <c r="B13" i="7" s="1"/>
  <c r="E13" i="7"/>
  <c r="F13" i="7" s="1"/>
  <c r="E12" i="4"/>
  <c r="F12" i="4" s="1"/>
  <c r="G12" i="4"/>
  <c r="B13" i="4" s="1"/>
  <c r="G13" i="7" l="1"/>
  <c r="B14" i="7" s="1"/>
  <c r="E14" i="7"/>
  <c r="F14" i="7" s="1"/>
  <c r="E13" i="4"/>
  <c r="F13" i="4" s="1"/>
  <c r="G13" i="4"/>
  <c r="B14" i="4" s="1"/>
  <c r="G14" i="7" l="1"/>
  <c r="B15" i="7" s="1"/>
  <c r="E14" i="4"/>
  <c r="F14" i="4" s="1"/>
  <c r="G14" i="4"/>
  <c r="E15" i="7" l="1"/>
  <c r="F15" i="7" s="1"/>
  <c r="G15" i="7" s="1"/>
  <c r="B15" i="4"/>
  <c r="E15" i="4" s="1"/>
  <c r="F15" i="4" s="1"/>
  <c r="G15" i="4" s="1"/>
</calcChain>
</file>

<file path=xl/sharedStrings.xml><?xml version="1.0" encoding="utf-8"?>
<sst xmlns="http://schemas.openxmlformats.org/spreadsheetml/2006/main" count="272" uniqueCount="117">
  <si>
    <t xml:space="preserve">Metodo del costo </t>
  </si>
  <si>
    <t>100:97 = 250.000:x</t>
  </si>
  <si>
    <t xml:space="preserve">x= </t>
  </si>
  <si>
    <t xml:space="preserve">disaggio di emissione </t>
  </si>
  <si>
    <t>Diversi</t>
  </si>
  <si>
    <t>a</t>
  </si>
  <si>
    <t>Prestito Obbligazionario</t>
  </si>
  <si>
    <t>Dare</t>
  </si>
  <si>
    <t>Avere</t>
  </si>
  <si>
    <t>Obbligazionisti c/sottoscrizione</t>
  </si>
  <si>
    <t xml:space="preserve">Disaggio di emissione </t>
  </si>
  <si>
    <t xml:space="preserve">Banca c/c </t>
  </si>
  <si>
    <t>emissione prestito obbligazionario</t>
  </si>
  <si>
    <t>pagamento della cedola</t>
  </si>
  <si>
    <t>Banca c/c</t>
  </si>
  <si>
    <t xml:space="preserve">interessi passivi su obbligazioni </t>
  </si>
  <si>
    <t xml:space="preserve">a </t>
  </si>
  <si>
    <t xml:space="preserve">rateo passivo </t>
  </si>
  <si>
    <t>ammortamento disaggio di emissione</t>
  </si>
  <si>
    <t xml:space="preserve">ammortamento disaggio </t>
  </si>
  <si>
    <t>disaggio di emissione</t>
  </si>
  <si>
    <t>per semplificazione abbiamo attribuito all'esercizio 12 mesi interi di ammortamento anche se il prestito era stato emesso al 1/04</t>
  </si>
  <si>
    <t xml:space="preserve">Stato Patrimoniale </t>
  </si>
  <si>
    <t>A) Crediti v/soci</t>
  </si>
  <si>
    <t xml:space="preserve">B) Immobilizzazioni </t>
  </si>
  <si>
    <t>C) Attivo Circolante</t>
  </si>
  <si>
    <t xml:space="preserve">D) Ratei e Risconti </t>
  </si>
  <si>
    <t>Disaggio di emissione</t>
  </si>
  <si>
    <t>Attivo</t>
  </si>
  <si>
    <t xml:space="preserve">Passivo </t>
  </si>
  <si>
    <t xml:space="preserve">A) Patrimonio Netto </t>
  </si>
  <si>
    <t xml:space="preserve">B) Fondi per rischi ed oneri </t>
  </si>
  <si>
    <t>C) Debiti TFR</t>
  </si>
  <si>
    <t xml:space="preserve">D) Debiti </t>
  </si>
  <si>
    <t>Obbligazioni</t>
  </si>
  <si>
    <t xml:space="preserve">E) Ratei e Risconti </t>
  </si>
  <si>
    <t>Conto Economico</t>
  </si>
  <si>
    <t xml:space="preserve">A) Valore della produzione </t>
  </si>
  <si>
    <t>B) Costi della produzione</t>
  </si>
  <si>
    <t>10.c altri ammortamenti</t>
  </si>
  <si>
    <t xml:space="preserve">C) Proventi ed oneri finanziari </t>
  </si>
  <si>
    <t xml:space="preserve">Rateo passivo </t>
  </si>
  <si>
    <t>Interessi passivi su obbligazioni</t>
  </si>
  <si>
    <t xml:space="preserve">riapertura conti e storno del rateo </t>
  </si>
  <si>
    <t xml:space="preserve">pagamento della cedola </t>
  </si>
  <si>
    <t xml:space="preserve">prestito obbligazionario </t>
  </si>
  <si>
    <t>obbligazioni estratte</t>
  </si>
  <si>
    <t xml:space="preserve">obbligazioni estratte </t>
  </si>
  <si>
    <t>banca c/c</t>
  </si>
  <si>
    <t>rateo passivo</t>
  </si>
  <si>
    <t xml:space="preserve">scrittura emissione prestito obbligazionario </t>
  </si>
  <si>
    <t xml:space="preserve">obbligazionisti c/sottoscrizione </t>
  </si>
  <si>
    <t>obbligazionisti c/sottoscrizione</t>
  </si>
  <si>
    <t>pagamento cedola</t>
  </si>
  <si>
    <t xml:space="preserve">interesse nominale </t>
  </si>
  <si>
    <t>tasso d'interesse effettivo</t>
  </si>
  <si>
    <t>Anno 1</t>
  </si>
  <si>
    <t>Anno 2</t>
  </si>
  <si>
    <t>Anno 3</t>
  </si>
  <si>
    <t>Anno 4</t>
  </si>
  <si>
    <t>Anno 5</t>
  </si>
  <si>
    <t>Anno 6</t>
  </si>
  <si>
    <t>Anno 7</t>
  </si>
  <si>
    <t>Anno 8</t>
  </si>
  <si>
    <t>Anno 9</t>
  </si>
  <si>
    <t>Anno 10</t>
  </si>
  <si>
    <t>Capitale Iniziale</t>
  </si>
  <si>
    <t>Interessi Nominale</t>
  </si>
  <si>
    <t>Interessi effettivi</t>
  </si>
  <si>
    <t>Capitale Finale</t>
  </si>
  <si>
    <t>Differenza</t>
  </si>
  <si>
    <t>Rimborso del capitale</t>
  </si>
  <si>
    <t>prestito obbligazionario</t>
  </si>
  <si>
    <t xml:space="preserve">calcolo rateo interessi </t>
  </si>
  <si>
    <t xml:space="preserve">non è corretto classificare l'ammortamento del disaggio </t>
  </si>
  <si>
    <t>in 10.c., ma deve essere classificato in C) (vedi OIC 12)</t>
  </si>
  <si>
    <t>interessi passivi su obbligazioni</t>
  </si>
  <si>
    <t xml:space="preserve">1° caso  rimborso anticipato tutto il prestito obbligazionario </t>
  </si>
  <si>
    <t xml:space="preserve">Prestito obbligazionario </t>
  </si>
  <si>
    <t xml:space="preserve">interessi passivi su prestito obbligazionario a </t>
  </si>
  <si>
    <t xml:space="preserve">risconto attivo disaggio di emissione </t>
  </si>
  <si>
    <t xml:space="preserve">2° caso rimborso parziale del prestito obbligazionario </t>
  </si>
  <si>
    <t xml:space="preserve">Prestito Obbligazionario </t>
  </si>
  <si>
    <t>97:100=x:50000</t>
  </si>
  <si>
    <t>valore di emissione</t>
  </si>
  <si>
    <t>riconto attivo</t>
  </si>
  <si>
    <t>risconto attivo</t>
  </si>
  <si>
    <t>100 obbligazioni</t>
  </si>
  <si>
    <t>20 obbligazioni</t>
  </si>
  <si>
    <t xml:space="preserve">di cui 150 relativi alle 20 obbligazioni </t>
  </si>
  <si>
    <t xml:space="preserve">risconto attivo </t>
  </si>
  <si>
    <t>quota imputata all'esercizio 2015</t>
  </si>
  <si>
    <t>interessi passivi 2016 relativi alle 20 obbligazioni</t>
  </si>
  <si>
    <t xml:space="preserve">risconto attivo finale </t>
  </si>
  <si>
    <t xml:space="preserve">SP </t>
  </si>
  <si>
    <t xml:space="preserve">A) crediti verso soci </t>
  </si>
  <si>
    <t>D) Debiti</t>
  </si>
  <si>
    <t>obbligazioni</t>
  </si>
  <si>
    <t xml:space="preserve">CE </t>
  </si>
  <si>
    <t xml:space="preserve">A) valore della produzione </t>
  </si>
  <si>
    <t xml:space="preserve">B) Costi della produzione </t>
  </si>
  <si>
    <t xml:space="preserve">C) proventi ed oneri finanziari </t>
  </si>
  <si>
    <t xml:space="preserve">PIANO D' AMMORTAMENTO CON RIMBORSO FINALE DEL PRESTITO  </t>
  </si>
  <si>
    <t xml:space="preserve">Interessi passivi su obbligazioni </t>
  </si>
  <si>
    <t xml:space="preserve">Diversi </t>
  </si>
  <si>
    <t xml:space="preserve">inetessi passivi </t>
  </si>
  <si>
    <t xml:space="preserve">1/10 estrazione obbligazioni </t>
  </si>
  <si>
    <t>valore 20 obbligazioni estratte</t>
  </si>
  <si>
    <t>interessi maggiori rispetto a quelli attribuiti nell'anno 1 e 2</t>
  </si>
  <si>
    <t xml:space="preserve">interessi passivi </t>
  </si>
  <si>
    <t>calcola cedola</t>
  </si>
  <si>
    <t>interessi passivi su prestito obbligazionario</t>
  </si>
  <si>
    <t>La cedola si calcola sul valore del prestito obbligazionario pari a 243435-48687 e non 243435-50000</t>
  </si>
  <si>
    <t>NB</t>
  </si>
  <si>
    <t xml:space="preserve">in questo caso il prestito obbligazionario non </t>
  </si>
  <si>
    <t xml:space="preserve">aumenta dell'ammortamento del disaggio di emissione  rettificato in base alla durata delle 20 </t>
  </si>
  <si>
    <t xml:space="preserve">obbligazioni perché tale disaggio viene pagato.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</si>
</sst>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" fontId="0" fillId="0" borderId="0" xfId="0" applyNumberFormat="1"/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2" borderId="0" xfId="0" applyFill="1"/>
    <xf numFmtId="1" fontId="0" fillId="0" borderId="0" xfId="0" applyNumberFormat="1"/>
    <xf numFmtId="0" fontId="0" fillId="0" borderId="0" xfId="0" applyAlignment="1">
      <alignment horizontal="center"/>
    </xf>
    <xf numFmtId="16" fontId="0" fillId="2" borderId="0" xfId="0" applyNumberFormat="1" applyFill="1"/>
    <xf numFmtId="14" fontId="0" fillId="2" borderId="0" xfId="0" applyNumberFormat="1" applyFill="1"/>
    <xf numFmtId="1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1325777</xdr:colOff>
      <xdr:row>34</xdr:row>
      <xdr:rowOff>77230</xdr:rowOff>
    </xdr:from>
    <xdr:to>
      <xdr:col>1</xdr:col>
      <xdr:colOff>1576774</xdr:colOff>
      <xdr:row>35</xdr:row>
      <xdr:rowOff>154460</xdr:rowOff>
    </xdr:to>
    <xdr:sp macro="" textlink="">
      <xdr:nvSpPr>
        <xdr:cNvPr id="2" name="Freccia in giù 1">
          <a:extLst>
            <a:ext uri="{FF2B5EF4-FFF2-40B4-BE49-F238E27FC236}">
              <a16:creationId xmlns:a16="http://schemas.microsoft.com/office/drawing/2014/main" id="{F2C62CD6-A2FA-813E-9468-46D713EE27A2}"/>
            </a:ext>
          </a:extLst>
        </xdr:cNvPr>
        <xdr:cNvSpPr/>
      </xdr:nvSpPr>
      <xdr:spPr>
        <a:xfrm>
          <a:off x="1937179" y="6641757"/>
          <a:ext cx="250997" cy="270304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24" zoomScale="148" zoomScaleNormal="148" workbookViewId="0">
      <selection activeCell="E35" sqref="E35"/>
    </sheetView>
  </sheetViews>
  <sheetFormatPr defaultRowHeight="15" x14ac:dyDescent="0.25"/>
  <cols>
    <col min="2" max="2" width="27.28515625" customWidth="1"/>
    <col min="3" max="3" width="12.42578125" customWidth="1"/>
    <col min="4" max="4" width="13.28515625" customWidth="1"/>
    <col min="7" max="7" width="11.28515625" customWidth="1"/>
    <col min="8" max="8" width="13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>
        <v>2015</v>
      </c>
    </row>
    <row r="4" spans="1:7" x14ac:dyDescent="0.25">
      <c r="A4" t="s">
        <v>2</v>
      </c>
      <c r="B4">
        <f>(250000*97)/100</f>
        <v>242500</v>
      </c>
    </row>
    <row r="6" spans="1:7" x14ac:dyDescent="0.25">
      <c r="A6" t="s">
        <v>3</v>
      </c>
      <c r="C6">
        <f>250000-242500</f>
        <v>7500</v>
      </c>
    </row>
    <row r="7" spans="1:7" x14ac:dyDescent="0.25">
      <c r="A7" t="s">
        <v>12</v>
      </c>
      <c r="F7" t="s">
        <v>7</v>
      </c>
      <c r="G7" t="s">
        <v>8</v>
      </c>
    </row>
    <row r="8" spans="1:7" x14ac:dyDescent="0.25">
      <c r="A8" s="1">
        <v>44652</v>
      </c>
      <c r="B8" t="s">
        <v>4</v>
      </c>
      <c r="C8" t="s">
        <v>5</v>
      </c>
      <c r="D8" t="s">
        <v>6</v>
      </c>
      <c r="G8">
        <v>250000</v>
      </c>
    </row>
    <row r="9" spans="1:7" x14ac:dyDescent="0.25">
      <c r="B9" t="s">
        <v>9</v>
      </c>
      <c r="F9">
        <v>242500</v>
      </c>
    </row>
    <row r="10" spans="1:7" x14ac:dyDescent="0.25">
      <c r="B10" t="s">
        <v>10</v>
      </c>
      <c r="F10">
        <v>7500</v>
      </c>
    </row>
    <row r="11" spans="1:7" x14ac:dyDescent="0.25">
      <c r="F11" t="s">
        <v>7</v>
      </c>
      <c r="G11" t="s">
        <v>8</v>
      </c>
    </row>
    <row r="12" spans="1:7" x14ac:dyDescent="0.25">
      <c r="B12" t="s">
        <v>11</v>
      </c>
      <c r="C12" t="s">
        <v>5</v>
      </c>
      <c r="D12" t="s">
        <v>9</v>
      </c>
      <c r="F12">
        <v>242500</v>
      </c>
      <c r="G12">
        <v>242500</v>
      </c>
    </row>
    <row r="14" spans="1:7" x14ac:dyDescent="0.25">
      <c r="A14" t="s">
        <v>13</v>
      </c>
      <c r="D14">
        <f>250000*4%*6/12</f>
        <v>5000</v>
      </c>
    </row>
    <row r="15" spans="1:7" x14ac:dyDescent="0.25">
      <c r="F15" t="s">
        <v>7</v>
      </c>
      <c r="G15" t="s">
        <v>8</v>
      </c>
    </row>
    <row r="16" spans="1:7" x14ac:dyDescent="0.25">
      <c r="A16" s="1">
        <v>44835</v>
      </c>
      <c r="B16" t="s">
        <v>15</v>
      </c>
      <c r="C16" t="s">
        <v>5</v>
      </c>
      <c r="D16" t="s">
        <v>14</v>
      </c>
      <c r="F16">
        <v>5000</v>
      </c>
      <c r="G16">
        <v>5000</v>
      </c>
    </row>
    <row r="17" spans="1:8" x14ac:dyDescent="0.25">
      <c r="F17" t="s">
        <v>7</v>
      </c>
      <c r="G17" t="s">
        <v>8</v>
      </c>
    </row>
    <row r="18" spans="1:8" x14ac:dyDescent="0.25">
      <c r="A18" s="1">
        <v>44926</v>
      </c>
      <c r="B18" t="s">
        <v>15</v>
      </c>
      <c r="C18" t="s">
        <v>16</v>
      </c>
      <c r="D18" t="s">
        <v>17</v>
      </c>
      <c r="F18">
        <v>2527</v>
      </c>
      <c r="G18">
        <v>2527</v>
      </c>
      <c r="H18">
        <f>(5000/182)*92</f>
        <v>2527.4725274725274</v>
      </c>
    </row>
    <row r="19" spans="1:8" x14ac:dyDescent="0.25">
      <c r="A19" t="s">
        <v>18</v>
      </c>
      <c r="C19">
        <f>7500/10</f>
        <v>750</v>
      </c>
      <c r="F19" t="s">
        <v>7</v>
      </c>
      <c r="G19" t="s">
        <v>8</v>
      </c>
    </row>
    <row r="20" spans="1:8" x14ac:dyDescent="0.25">
      <c r="B20" t="s">
        <v>19</v>
      </c>
      <c r="C20" t="s">
        <v>5</v>
      </c>
      <c r="D20" t="s">
        <v>20</v>
      </c>
      <c r="F20">
        <v>750</v>
      </c>
      <c r="G20">
        <v>750</v>
      </c>
      <c r="H20" t="s">
        <v>21</v>
      </c>
    </row>
    <row r="22" spans="1:8" x14ac:dyDescent="0.25">
      <c r="B22" t="s">
        <v>28</v>
      </c>
      <c r="E22" t="s">
        <v>29</v>
      </c>
    </row>
    <row r="23" spans="1:8" x14ac:dyDescent="0.25">
      <c r="B23" t="s">
        <v>22</v>
      </c>
      <c r="C23" s="2">
        <v>42369</v>
      </c>
      <c r="D23" s="2">
        <v>42004</v>
      </c>
      <c r="G23" s="2">
        <v>42369</v>
      </c>
      <c r="H23" s="2">
        <v>42004</v>
      </c>
    </row>
    <row r="24" spans="1:8" x14ac:dyDescent="0.25">
      <c r="B24" t="s">
        <v>23</v>
      </c>
      <c r="E24" t="s">
        <v>30</v>
      </c>
    </row>
    <row r="25" spans="1:8" x14ac:dyDescent="0.25">
      <c r="B25" t="s">
        <v>24</v>
      </c>
      <c r="E25" t="s">
        <v>31</v>
      </c>
    </row>
    <row r="26" spans="1:8" x14ac:dyDescent="0.25">
      <c r="B26" t="s">
        <v>25</v>
      </c>
      <c r="E26" t="s">
        <v>32</v>
      </c>
    </row>
    <row r="27" spans="1:8" x14ac:dyDescent="0.25">
      <c r="B27" t="s">
        <v>26</v>
      </c>
      <c r="E27" t="s">
        <v>33</v>
      </c>
    </row>
    <row r="28" spans="1:8" x14ac:dyDescent="0.25">
      <c r="B28" t="s">
        <v>27</v>
      </c>
      <c r="C28">
        <f>F10-F20</f>
        <v>6750</v>
      </c>
      <c r="E28" t="s">
        <v>34</v>
      </c>
      <c r="G28" s="3">
        <v>250000</v>
      </c>
    </row>
    <row r="29" spans="1:8" x14ac:dyDescent="0.25">
      <c r="E29" t="s">
        <v>35</v>
      </c>
      <c r="G29">
        <v>2527</v>
      </c>
    </row>
    <row r="30" spans="1:8" x14ac:dyDescent="0.25">
      <c r="B30" s="6" t="s">
        <v>36</v>
      </c>
      <c r="C30" s="6">
        <v>2015</v>
      </c>
    </row>
    <row r="31" spans="1:8" x14ac:dyDescent="0.25">
      <c r="B31" s="6" t="s">
        <v>37</v>
      </c>
      <c r="C31" s="6"/>
    </row>
    <row r="32" spans="1:8" x14ac:dyDescent="0.25">
      <c r="B32" s="6" t="s">
        <v>38</v>
      </c>
      <c r="C32" s="6"/>
    </row>
    <row r="33" spans="2:4" x14ac:dyDescent="0.25">
      <c r="B33" s="6" t="s">
        <v>39</v>
      </c>
      <c r="C33" s="6">
        <v>750</v>
      </c>
      <c r="D33" t="s">
        <v>74</v>
      </c>
    </row>
    <row r="34" spans="2:4" x14ac:dyDescent="0.25">
      <c r="B34" s="6" t="s">
        <v>40</v>
      </c>
      <c r="C34" s="6">
        <f>5000+2527</f>
        <v>7527</v>
      </c>
      <c r="D34" t="s">
        <v>75</v>
      </c>
    </row>
    <row r="37" spans="2:4" x14ac:dyDescent="0.25">
      <c r="B37" s="6" t="s">
        <v>36</v>
      </c>
      <c r="C37" s="6">
        <v>2015</v>
      </c>
    </row>
    <row r="38" spans="2:4" x14ac:dyDescent="0.25">
      <c r="B38" s="6" t="s">
        <v>37</v>
      </c>
      <c r="C38" s="6"/>
    </row>
    <row r="39" spans="2:4" x14ac:dyDescent="0.25">
      <c r="B39" s="6" t="s">
        <v>38</v>
      </c>
      <c r="C39" s="6"/>
    </row>
    <row r="40" spans="2:4" x14ac:dyDescent="0.25">
      <c r="B40" s="6" t="s">
        <v>39</v>
      </c>
      <c r="C40" s="6"/>
    </row>
    <row r="41" spans="2:4" x14ac:dyDescent="0.25">
      <c r="B41" s="6" t="s">
        <v>40</v>
      </c>
      <c r="C41" s="6">
        <f>5000+2527+750</f>
        <v>8277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23" zoomScale="167" zoomScaleNormal="167" workbookViewId="0">
      <selection activeCell="C33" sqref="C33"/>
    </sheetView>
  </sheetViews>
  <sheetFormatPr defaultRowHeight="15" x14ac:dyDescent="0.25"/>
  <cols>
    <col min="2" max="2" width="28.7109375" customWidth="1"/>
    <col min="3" max="3" width="12.42578125" bestFit="1" customWidth="1"/>
    <col min="6" max="7" width="10.85546875" bestFit="1" customWidth="1"/>
    <col min="8" max="8" width="10.28515625" customWidth="1"/>
  </cols>
  <sheetData>
    <row r="1" spans="1:8" x14ac:dyDescent="0.25">
      <c r="A1" t="s">
        <v>0</v>
      </c>
    </row>
    <row r="2" spans="1:8" x14ac:dyDescent="0.25">
      <c r="A2">
        <v>2016</v>
      </c>
    </row>
    <row r="3" spans="1:8" x14ac:dyDescent="0.25">
      <c r="A3" t="s">
        <v>43</v>
      </c>
      <c r="G3" t="s">
        <v>7</v>
      </c>
      <c r="H3" t="s">
        <v>8</v>
      </c>
    </row>
    <row r="4" spans="1:8" x14ac:dyDescent="0.25">
      <c r="A4" s="1">
        <v>44562</v>
      </c>
      <c r="B4" t="s">
        <v>41</v>
      </c>
      <c r="D4" t="s">
        <v>5</v>
      </c>
      <c r="E4" t="s">
        <v>42</v>
      </c>
      <c r="G4">
        <v>2527</v>
      </c>
      <c r="H4">
        <v>2527</v>
      </c>
    </row>
    <row r="5" spans="1:8" x14ac:dyDescent="0.25">
      <c r="A5" t="s">
        <v>44</v>
      </c>
      <c r="G5" t="s">
        <v>7</v>
      </c>
      <c r="H5" t="s">
        <v>8</v>
      </c>
    </row>
    <row r="6" spans="1:8" x14ac:dyDescent="0.25">
      <c r="A6" s="1">
        <v>44652</v>
      </c>
      <c r="B6" t="s">
        <v>42</v>
      </c>
      <c r="D6" t="s">
        <v>5</v>
      </c>
      <c r="E6" t="s">
        <v>14</v>
      </c>
      <c r="G6">
        <v>5000</v>
      </c>
      <c r="H6">
        <v>5000</v>
      </c>
    </row>
    <row r="7" spans="1:8" x14ac:dyDescent="0.25">
      <c r="A7" s="1"/>
      <c r="G7" t="s">
        <v>7</v>
      </c>
      <c r="H7" t="s">
        <v>8</v>
      </c>
    </row>
    <row r="8" spans="1:8" x14ac:dyDescent="0.25">
      <c r="A8" s="1">
        <v>44835</v>
      </c>
      <c r="B8" t="s">
        <v>42</v>
      </c>
      <c r="D8" t="s">
        <v>5</v>
      </c>
      <c r="E8" t="s">
        <v>14</v>
      </c>
      <c r="G8">
        <v>5000</v>
      </c>
      <c r="H8">
        <v>5000</v>
      </c>
    </row>
    <row r="9" spans="1:8" x14ac:dyDescent="0.25">
      <c r="G9" t="s">
        <v>7</v>
      </c>
      <c r="H9" t="s">
        <v>8</v>
      </c>
    </row>
    <row r="10" spans="1:8" x14ac:dyDescent="0.25">
      <c r="A10" s="1">
        <v>44835</v>
      </c>
      <c r="B10" t="s">
        <v>45</v>
      </c>
      <c r="D10" t="s">
        <v>5</v>
      </c>
      <c r="E10" t="s">
        <v>46</v>
      </c>
      <c r="G10">
        <v>50000</v>
      </c>
      <c r="H10">
        <v>50000</v>
      </c>
    </row>
    <row r="11" spans="1:8" x14ac:dyDescent="0.25">
      <c r="A11" s="1"/>
      <c r="G11" t="s">
        <v>7</v>
      </c>
      <c r="H11" t="s">
        <v>8</v>
      </c>
    </row>
    <row r="12" spans="1:8" x14ac:dyDescent="0.25">
      <c r="B12" t="s">
        <v>47</v>
      </c>
      <c r="D12" t="s">
        <v>5</v>
      </c>
      <c r="E12" t="s">
        <v>48</v>
      </c>
      <c r="G12">
        <v>50000</v>
      </c>
      <c r="H12">
        <v>50000</v>
      </c>
    </row>
    <row r="13" spans="1:8" x14ac:dyDescent="0.25">
      <c r="B13" t="s">
        <v>76</v>
      </c>
      <c r="D13" t="s">
        <v>5</v>
      </c>
      <c r="E13" t="s">
        <v>10</v>
      </c>
      <c r="G13">
        <v>1350</v>
      </c>
      <c r="H13">
        <v>1350</v>
      </c>
    </row>
    <row r="14" spans="1:8" x14ac:dyDescent="0.25">
      <c r="A14" s="1">
        <v>44926</v>
      </c>
    </row>
    <row r="15" spans="1:8" x14ac:dyDescent="0.25">
      <c r="A15" t="s">
        <v>49</v>
      </c>
      <c r="C15">
        <f xml:space="preserve"> 4000/182*92</f>
        <v>2021.9780219780221</v>
      </c>
    </row>
    <row r="16" spans="1:8" x14ac:dyDescent="0.25">
      <c r="G16" t="s">
        <v>7</v>
      </c>
      <c r="H16" t="s">
        <v>8</v>
      </c>
    </row>
    <row r="17" spans="2:8" x14ac:dyDescent="0.25">
      <c r="B17" t="s">
        <v>15</v>
      </c>
      <c r="D17" t="s">
        <v>5</v>
      </c>
      <c r="E17" t="s">
        <v>49</v>
      </c>
      <c r="G17">
        <v>2022</v>
      </c>
      <c r="H17">
        <v>2022</v>
      </c>
    </row>
    <row r="18" spans="2:8" x14ac:dyDescent="0.25">
      <c r="G18" t="s">
        <v>7</v>
      </c>
      <c r="H18" t="s">
        <v>8</v>
      </c>
    </row>
    <row r="19" spans="2:8" x14ac:dyDescent="0.25">
      <c r="B19" t="s">
        <v>19</v>
      </c>
      <c r="D19" t="s">
        <v>5</v>
      </c>
      <c r="E19" t="s">
        <v>20</v>
      </c>
      <c r="G19">
        <v>600</v>
      </c>
      <c r="H19">
        <v>600</v>
      </c>
    </row>
    <row r="21" spans="2:8" x14ac:dyDescent="0.25">
      <c r="B21" t="s">
        <v>28</v>
      </c>
      <c r="E21" t="s">
        <v>29</v>
      </c>
    </row>
    <row r="22" spans="2:8" x14ac:dyDescent="0.25">
      <c r="B22" t="s">
        <v>22</v>
      </c>
      <c r="C22" s="2">
        <v>42735</v>
      </c>
      <c r="G22" s="2">
        <v>42735</v>
      </c>
      <c r="H22" s="2">
        <v>42369</v>
      </c>
    </row>
    <row r="23" spans="2:8" x14ac:dyDescent="0.25">
      <c r="B23" t="s">
        <v>23</v>
      </c>
      <c r="E23" t="s">
        <v>30</v>
      </c>
    </row>
    <row r="24" spans="2:8" x14ac:dyDescent="0.25">
      <c r="B24" t="s">
        <v>24</v>
      </c>
      <c r="E24" t="s">
        <v>31</v>
      </c>
    </row>
    <row r="25" spans="2:8" x14ac:dyDescent="0.25">
      <c r="B25" t="s">
        <v>25</v>
      </c>
      <c r="E25" t="s">
        <v>32</v>
      </c>
    </row>
    <row r="26" spans="2:8" x14ac:dyDescent="0.25">
      <c r="B26" t="s">
        <v>26</v>
      </c>
      <c r="E26" t="s">
        <v>33</v>
      </c>
    </row>
    <row r="27" spans="2:8" x14ac:dyDescent="0.25">
      <c r="B27" t="s">
        <v>27</v>
      </c>
      <c r="C27">
        <f>6750-1350-600</f>
        <v>4800</v>
      </c>
      <c r="E27" t="s">
        <v>34</v>
      </c>
      <c r="G27" s="3">
        <v>200000</v>
      </c>
      <c r="H27">
        <v>250000</v>
      </c>
    </row>
    <row r="28" spans="2:8" x14ac:dyDescent="0.25">
      <c r="E28" t="s">
        <v>35</v>
      </c>
      <c r="G28">
        <v>2022</v>
      </c>
      <c r="H28">
        <v>1527</v>
      </c>
    </row>
    <row r="29" spans="2:8" x14ac:dyDescent="0.25">
      <c r="B29" t="s">
        <v>36</v>
      </c>
      <c r="C29">
        <v>2016</v>
      </c>
    </row>
    <row r="30" spans="2:8" x14ac:dyDescent="0.25">
      <c r="B30" t="s">
        <v>37</v>
      </c>
    </row>
    <row r="31" spans="2:8" x14ac:dyDescent="0.25">
      <c r="B31" t="s">
        <v>38</v>
      </c>
    </row>
    <row r="32" spans="2:8" x14ac:dyDescent="0.25">
      <c r="B32" t="s">
        <v>39</v>
      </c>
    </row>
    <row r="33" spans="2:3" x14ac:dyDescent="0.25">
      <c r="B33" t="s">
        <v>40</v>
      </c>
      <c r="C33">
        <f>5000+2022+5000-2527+G13+600</f>
        <v>11445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A3" workbookViewId="0">
      <selection activeCell="A19" sqref="A19"/>
    </sheetView>
  </sheetViews>
  <sheetFormatPr defaultRowHeight="15" x14ac:dyDescent="0.25"/>
  <cols>
    <col min="1" max="1" width="55.140625" bestFit="1" customWidth="1"/>
  </cols>
  <sheetData>
    <row r="1" spans="1:5" x14ac:dyDescent="0.25">
      <c r="A1" t="s">
        <v>77</v>
      </c>
    </row>
    <row r="2" spans="1:5" x14ac:dyDescent="0.25">
      <c r="A2" t="s">
        <v>78</v>
      </c>
      <c r="B2" t="s">
        <v>5</v>
      </c>
      <c r="C2" t="s">
        <v>14</v>
      </c>
      <c r="D2">
        <v>250000</v>
      </c>
      <c r="E2">
        <v>250000</v>
      </c>
    </row>
    <row r="3" spans="1:5" x14ac:dyDescent="0.25">
      <c r="A3" t="s">
        <v>79</v>
      </c>
      <c r="B3" t="s">
        <v>5</v>
      </c>
      <c r="C3" t="s">
        <v>80</v>
      </c>
      <c r="D3">
        <v>6750</v>
      </c>
      <c r="E3">
        <v>6750</v>
      </c>
    </row>
    <row r="5" spans="1:5" x14ac:dyDescent="0.25">
      <c r="A5" t="s">
        <v>81</v>
      </c>
    </row>
    <row r="6" spans="1:5" x14ac:dyDescent="0.25">
      <c r="A6" t="s">
        <v>82</v>
      </c>
      <c r="B6" t="s">
        <v>5</v>
      </c>
      <c r="C6" t="s">
        <v>11</v>
      </c>
      <c r="D6">
        <v>50000</v>
      </c>
      <c r="E6">
        <v>50000</v>
      </c>
    </row>
    <row r="7" spans="1:5" x14ac:dyDescent="0.25">
      <c r="A7" t="s">
        <v>76</v>
      </c>
      <c r="B7" t="s">
        <v>5</v>
      </c>
      <c r="C7" t="s">
        <v>10</v>
      </c>
      <c r="D7">
        <v>1350</v>
      </c>
      <c r="E7">
        <v>1350</v>
      </c>
    </row>
    <row r="9" spans="1:5" x14ac:dyDescent="0.25">
      <c r="A9" t="s">
        <v>83</v>
      </c>
      <c r="B9">
        <v>48500</v>
      </c>
      <c r="C9" t="s">
        <v>84</v>
      </c>
    </row>
    <row r="10" spans="1:5" x14ac:dyDescent="0.25">
      <c r="A10" t="s">
        <v>85</v>
      </c>
      <c r="B10">
        <v>1500</v>
      </c>
    </row>
    <row r="11" spans="1:5" x14ac:dyDescent="0.25">
      <c r="A11" t="s">
        <v>86</v>
      </c>
      <c r="B11" t="s">
        <v>87</v>
      </c>
      <c r="C11">
        <v>7500</v>
      </c>
    </row>
    <row r="12" spans="1:5" x14ac:dyDescent="0.25">
      <c r="A12" t="s">
        <v>86</v>
      </c>
      <c r="B12" t="s">
        <v>88</v>
      </c>
      <c r="C12">
        <v>750</v>
      </c>
      <c r="D12" t="s">
        <v>89</v>
      </c>
    </row>
    <row r="14" spans="1:5" x14ac:dyDescent="0.25">
      <c r="A14" t="s">
        <v>90</v>
      </c>
      <c r="B14">
        <v>7500</v>
      </c>
    </row>
    <row r="15" spans="1:5" x14ac:dyDescent="0.25">
      <c r="A15" t="s">
        <v>91</v>
      </c>
      <c r="B15">
        <v>750</v>
      </c>
    </row>
    <row r="16" spans="1:5" x14ac:dyDescent="0.25">
      <c r="A16" t="s">
        <v>92</v>
      </c>
      <c r="B16">
        <v>1350</v>
      </c>
    </row>
    <row r="17" spans="1:4" x14ac:dyDescent="0.25">
      <c r="A17" t="s">
        <v>93</v>
      </c>
      <c r="B17">
        <v>5400</v>
      </c>
    </row>
    <row r="19" spans="1:4" x14ac:dyDescent="0.25">
      <c r="A19">
        <v>42735</v>
      </c>
    </row>
    <row r="20" spans="1:4" x14ac:dyDescent="0.25">
      <c r="A20" t="s">
        <v>19</v>
      </c>
      <c r="B20" t="s">
        <v>5</v>
      </c>
      <c r="C20" t="s">
        <v>3</v>
      </c>
      <c r="D20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opLeftCell="B4" zoomScale="196" zoomScaleNormal="196" workbookViewId="0">
      <selection activeCell="E14" sqref="E14"/>
    </sheetView>
  </sheetViews>
  <sheetFormatPr defaultRowHeight="15" x14ac:dyDescent="0.25"/>
  <sheetData>
    <row r="1" spans="1:9" x14ac:dyDescent="0.25">
      <c r="A1" t="s">
        <v>50</v>
      </c>
    </row>
    <row r="2" spans="1:9" x14ac:dyDescent="0.25">
      <c r="B2">
        <v>2015</v>
      </c>
      <c r="H2" t="s">
        <v>7</v>
      </c>
      <c r="I2" t="s">
        <v>8</v>
      </c>
    </row>
    <row r="3" spans="1:9" x14ac:dyDescent="0.25">
      <c r="A3" s="1">
        <v>44652</v>
      </c>
      <c r="B3" t="s">
        <v>51</v>
      </c>
      <c r="E3" t="s">
        <v>5</v>
      </c>
      <c r="F3" t="s">
        <v>45</v>
      </c>
      <c r="H3">
        <v>242500</v>
      </c>
      <c r="I3">
        <v>242500</v>
      </c>
    </row>
    <row r="4" spans="1:9" x14ac:dyDescent="0.25">
      <c r="B4" t="s">
        <v>14</v>
      </c>
      <c r="E4" t="s">
        <v>5</v>
      </c>
      <c r="F4" t="s">
        <v>52</v>
      </c>
      <c r="H4">
        <v>242500</v>
      </c>
      <c r="I4">
        <v>242500</v>
      </c>
    </row>
    <row r="5" spans="1:9" x14ac:dyDescent="0.25">
      <c r="A5" t="s">
        <v>53</v>
      </c>
      <c r="C5">
        <f>242500*4.377%*6/12</f>
        <v>5307.1124999999993</v>
      </c>
      <c r="H5" t="s">
        <v>7</v>
      </c>
      <c r="I5" t="s">
        <v>8</v>
      </c>
    </row>
    <row r="6" spans="1:9" x14ac:dyDescent="0.25">
      <c r="A6" s="1">
        <v>44835</v>
      </c>
      <c r="B6" t="s">
        <v>15</v>
      </c>
      <c r="E6" t="s">
        <v>5</v>
      </c>
      <c r="F6" t="s">
        <v>4</v>
      </c>
      <c r="H6">
        <v>5307</v>
      </c>
    </row>
    <row r="7" spans="1:9" x14ac:dyDescent="0.25">
      <c r="F7" t="s">
        <v>72</v>
      </c>
      <c r="I7">
        <v>307</v>
      </c>
    </row>
    <row r="8" spans="1:9" x14ac:dyDescent="0.25">
      <c r="F8" t="s">
        <v>14</v>
      </c>
      <c r="I8">
        <v>5000</v>
      </c>
    </row>
    <row r="9" spans="1:9" x14ac:dyDescent="0.25">
      <c r="A9" t="s">
        <v>73</v>
      </c>
      <c r="D9">
        <f>(5307/182)*92</f>
        <v>2682.6593406593406</v>
      </c>
    </row>
    <row r="10" spans="1:9" x14ac:dyDescent="0.25">
      <c r="A10" s="1">
        <v>44926</v>
      </c>
      <c r="H10" t="s">
        <v>7</v>
      </c>
      <c r="I10" t="s">
        <v>8</v>
      </c>
    </row>
    <row r="11" spans="1:9" x14ac:dyDescent="0.25">
      <c r="B11" t="s">
        <v>15</v>
      </c>
      <c r="E11" t="s">
        <v>5</v>
      </c>
      <c r="F11" t="s">
        <v>17</v>
      </c>
      <c r="H11">
        <v>2683</v>
      </c>
      <c r="I11">
        <v>2683</v>
      </c>
    </row>
    <row r="13" spans="1:9" x14ac:dyDescent="0.25">
      <c r="B13" t="s">
        <v>94</v>
      </c>
      <c r="E13" t="s">
        <v>94</v>
      </c>
    </row>
    <row r="14" spans="1:9" x14ac:dyDescent="0.25">
      <c r="A14" t="s">
        <v>28</v>
      </c>
      <c r="B14">
        <v>2015</v>
      </c>
      <c r="C14">
        <v>2014</v>
      </c>
      <c r="D14" t="s">
        <v>29</v>
      </c>
      <c r="E14">
        <v>2015</v>
      </c>
      <c r="F14">
        <v>2014</v>
      </c>
    </row>
    <row r="15" spans="1:9" x14ac:dyDescent="0.25">
      <c r="A15" t="s">
        <v>95</v>
      </c>
      <c r="D15" t="s">
        <v>30</v>
      </c>
    </row>
    <row r="16" spans="1:9" x14ac:dyDescent="0.25">
      <c r="A16" t="s">
        <v>24</v>
      </c>
      <c r="D16" t="s">
        <v>31</v>
      </c>
    </row>
    <row r="17" spans="1:5" x14ac:dyDescent="0.25">
      <c r="A17" t="s">
        <v>25</v>
      </c>
      <c r="D17" t="s">
        <v>32</v>
      </c>
    </row>
    <row r="18" spans="1:5" x14ac:dyDescent="0.25">
      <c r="A18" t="s">
        <v>26</v>
      </c>
      <c r="D18" t="s">
        <v>96</v>
      </c>
    </row>
    <row r="19" spans="1:5" x14ac:dyDescent="0.25">
      <c r="D19" t="s">
        <v>97</v>
      </c>
      <c r="E19">
        <v>242807</v>
      </c>
    </row>
    <row r="20" spans="1:5" x14ac:dyDescent="0.25">
      <c r="D20" t="s">
        <v>35</v>
      </c>
      <c r="E20">
        <v>2683</v>
      </c>
    </row>
    <row r="21" spans="1:5" x14ac:dyDescent="0.25">
      <c r="A21" t="s">
        <v>98</v>
      </c>
      <c r="B21">
        <v>2015</v>
      </c>
    </row>
    <row r="22" spans="1:5" x14ac:dyDescent="0.25">
      <c r="A22" t="s">
        <v>99</v>
      </c>
    </row>
    <row r="24" spans="1:5" x14ac:dyDescent="0.25">
      <c r="A24" t="s">
        <v>100</v>
      </c>
    </row>
    <row r="26" spans="1:5" x14ac:dyDescent="0.25">
      <c r="A26" t="s">
        <v>101</v>
      </c>
      <c r="B26">
        <f>5307+2683</f>
        <v>7990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="144" zoomScaleNormal="150" workbookViewId="0">
      <selection sqref="A1:G15"/>
    </sheetView>
  </sheetViews>
  <sheetFormatPr defaultRowHeight="15" x14ac:dyDescent="0.25"/>
  <cols>
    <col min="1" max="1" width="11.28515625" bestFit="1" customWidth="1"/>
    <col min="2" max="2" width="13.85546875" bestFit="1" customWidth="1"/>
    <col min="3" max="3" width="13.85546875" customWidth="1"/>
    <col min="4" max="4" width="16.42578125" bestFit="1" customWidth="1"/>
    <col min="5" max="5" width="15" bestFit="1" customWidth="1"/>
    <col min="6" max="6" width="15" customWidth="1"/>
    <col min="7" max="7" width="12.85546875" bestFit="1" customWidth="1"/>
  </cols>
  <sheetData>
    <row r="1" spans="1:7" x14ac:dyDescent="0.25">
      <c r="A1" t="s">
        <v>54</v>
      </c>
      <c r="E1" s="4">
        <v>0.04</v>
      </c>
      <c r="F1" s="4"/>
    </row>
    <row r="2" spans="1:7" x14ac:dyDescent="0.25">
      <c r="A2" t="s">
        <v>55</v>
      </c>
      <c r="E2" s="5">
        <v>4.3770000000000003E-2</v>
      </c>
      <c r="F2" s="5"/>
    </row>
    <row r="3" spans="1:7" x14ac:dyDescent="0.25">
      <c r="A3" s="8" t="s">
        <v>102</v>
      </c>
      <c r="B3" s="8"/>
      <c r="C3" s="8"/>
      <c r="D3" s="8"/>
      <c r="E3" s="8"/>
      <c r="F3" s="8"/>
      <c r="G3" s="8"/>
    </row>
    <row r="4" spans="1:7" x14ac:dyDescent="0.25">
      <c r="B4" t="s">
        <v>66</v>
      </c>
      <c r="C4" t="s">
        <v>71</v>
      </c>
      <c r="D4" t="s">
        <v>67</v>
      </c>
      <c r="E4" t="s">
        <v>68</v>
      </c>
      <c r="F4" t="s">
        <v>70</v>
      </c>
      <c r="G4" t="s">
        <v>69</v>
      </c>
    </row>
    <row r="5" spans="1:7" x14ac:dyDescent="0.25">
      <c r="B5">
        <v>242500</v>
      </c>
    </row>
    <row r="6" spans="1:7" x14ac:dyDescent="0.25">
      <c r="A6" s="2" t="s">
        <v>56</v>
      </c>
      <c r="D6">
        <f>4%*250000</f>
        <v>10000</v>
      </c>
      <c r="E6">
        <f>4.377%*B5</f>
        <v>10614.224999999999</v>
      </c>
      <c r="F6">
        <f>E6-D6</f>
        <v>614.22499999999854</v>
      </c>
      <c r="G6">
        <f>B5+F6</f>
        <v>243114.22500000001</v>
      </c>
    </row>
    <row r="7" spans="1:7" x14ac:dyDescent="0.25">
      <c r="A7" s="2" t="s">
        <v>57</v>
      </c>
      <c r="B7">
        <f t="shared" ref="B7:B15" si="0">G6</f>
        <v>243114.22500000001</v>
      </c>
      <c r="D7">
        <f t="shared" ref="D7:D15" si="1">4%*250000</f>
        <v>10000</v>
      </c>
      <c r="E7">
        <f>E2*G6</f>
        <v>10641.10962825</v>
      </c>
      <c r="F7">
        <f>E7-D7</f>
        <v>641.10962825000024</v>
      </c>
      <c r="G7">
        <f t="shared" ref="G7:G14" si="2">B7+F7</f>
        <v>243755.33462825001</v>
      </c>
    </row>
    <row r="8" spans="1:7" x14ac:dyDescent="0.25">
      <c r="A8" t="s">
        <v>58</v>
      </c>
      <c r="B8">
        <f t="shared" si="0"/>
        <v>243755.33462825001</v>
      </c>
      <c r="D8">
        <f t="shared" si="1"/>
        <v>10000</v>
      </c>
      <c r="E8">
        <f>E2*B8</f>
        <v>10669.170996678504</v>
      </c>
      <c r="F8">
        <f t="shared" ref="F8:F15" si="3">E8-D8</f>
        <v>669.1709966785038</v>
      </c>
      <c r="G8">
        <f t="shared" si="2"/>
        <v>244424.50562492851</v>
      </c>
    </row>
    <row r="9" spans="1:7" x14ac:dyDescent="0.25">
      <c r="A9" t="s">
        <v>59</v>
      </c>
      <c r="B9">
        <f t="shared" si="0"/>
        <v>244424.50562492851</v>
      </c>
      <c r="D9">
        <f t="shared" si="1"/>
        <v>10000</v>
      </c>
      <c r="E9">
        <f>E2*B9</f>
        <v>10698.460611203122</v>
      </c>
      <c r="F9">
        <f t="shared" si="3"/>
        <v>698.46061120312152</v>
      </c>
      <c r="G9">
        <f t="shared" si="2"/>
        <v>245122.96623613164</v>
      </c>
    </row>
    <row r="10" spans="1:7" x14ac:dyDescent="0.25">
      <c r="A10" t="s">
        <v>60</v>
      </c>
      <c r="B10">
        <f t="shared" si="0"/>
        <v>245122.96623613164</v>
      </c>
      <c r="D10">
        <f t="shared" si="1"/>
        <v>10000</v>
      </c>
      <c r="E10">
        <f>E2*B10</f>
        <v>10729.032232155483</v>
      </c>
      <c r="F10">
        <f t="shared" si="3"/>
        <v>729.03223215548314</v>
      </c>
      <c r="G10">
        <f t="shared" si="2"/>
        <v>245851.99846828711</v>
      </c>
    </row>
    <row r="11" spans="1:7" x14ac:dyDescent="0.25">
      <c r="A11" t="s">
        <v>61</v>
      </c>
      <c r="B11">
        <f t="shared" si="0"/>
        <v>245851.99846828711</v>
      </c>
      <c r="D11">
        <f t="shared" si="1"/>
        <v>10000</v>
      </c>
      <c r="E11">
        <f>E2*B11</f>
        <v>10760.941972956927</v>
      </c>
      <c r="F11">
        <f t="shared" si="3"/>
        <v>760.9419729569272</v>
      </c>
      <c r="G11">
        <f t="shared" si="2"/>
        <v>246612.94044124405</v>
      </c>
    </row>
    <row r="12" spans="1:7" x14ac:dyDescent="0.25">
      <c r="A12" t="s">
        <v>62</v>
      </c>
      <c r="B12">
        <f t="shared" si="0"/>
        <v>246612.94044124405</v>
      </c>
      <c r="D12">
        <f t="shared" si="1"/>
        <v>10000</v>
      </c>
      <c r="E12">
        <f>E2*B12</f>
        <v>10794.248403113254</v>
      </c>
      <c r="F12">
        <f t="shared" si="3"/>
        <v>794.24840311325352</v>
      </c>
      <c r="G12">
        <f t="shared" si="2"/>
        <v>247407.1888443573</v>
      </c>
    </row>
    <row r="13" spans="1:7" x14ac:dyDescent="0.25">
      <c r="A13" t="s">
        <v>63</v>
      </c>
      <c r="B13">
        <f t="shared" si="0"/>
        <v>247407.1888443573</v>
      </c>
      <c r="D13">
        <f t="shared" si="1"/>
        <v>10000</v>
      </c>
      <c r="E13">
        <f>E2*B13</f>
        <v>10829.012655717519</v>
      </c>
      <c r="F13">
        <f t="shared" si="3"/>
        <v>829.01265571751901</v>
      </c>
      <c r="G13">
        <f t="shared" si="2"/>
        <v>248236.20150007482</v>
      </c>
    </row>
    <row r="14" spans="1:7" x14ac:dyDescent="0.25">
      <c r="A14" t="s">
        <v>64</v>
      </c>
      <c r="B14">
        <f t="shared" si="0"/>
        <v>248236.20150007482</v>
      </c>
      <c r="D14">
        <f t="shared" si="1"/>
        <v>10000</v>
      </c>
      <c r="E14">
        <f>E2*B14</f>
        <v>10865.298539658275</v>
      </c>
      <c r="F14">
        <f t="shared" si="3"/>
        <v>865.29853965827533</v>
      </c>
      <c r="G14">
        <f t="shared" si="2"/>
        <v>249101.5000397331</v>
      </c>
    </row>
    <row r="15" spans="1:7" x14ac:dyDescent="0.25">
      <c r="A15" t="s">
        <v>65</v>
      </c>
      <c r="B15">
        <f t="shared" si="0"/>
        <v>249101.5000397331</v>
      </c>
      <c r="C15">
        <v>250000</v>
      </c>
      <c r="D15">
        <f t="shared" si="1"/>
        <v>10000</v>
      </c>
      <c r="E15">
        <f>E2*B15</f>
        <v>10903.172656739118</v>
      </c>
      <c r="F15">
        <f t="shared" si="3"/>
        <v>903.17265673911788</v>
      </c>
      <c r="G15">
        <f>G14+F15-C15</f>
        <v>4.6726964722329285</v>
      </c>
    </row>
  </sheetData>
  <mergeCells count="1"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topLeftCell="B10" workbookViewId="0">
      <selection activeCell="F25" sqref="F25"/>
    </sheetView>
  </sheetViews>
  <sheetFormatPr defaultRowHeight="15" x14ac:dyDescent="0.25"/>
  <cols>
    <col min="1" max="1" width="40.140625" bestFit="1" customWidth="1"/>
    <col min="3" max="3" width="30" bestFit="1" customWidth="1"/>
    <col min="4" max="4" width="13" customWidth="1"/>
    <col min="5" max="5" width="14.140625" customWidth="1"/>
  </cols>
  <sheetData>
    <row r="1" spans="1:7" x14ac:dyDescent="0.25">
      <c r="A1">
        <v>2016</v>
      </c>
    </row>
    <row r="2" spans="1:7" x14ac:dyDescent="0.25">
      <c r="A2" s="1">
        <v>44562</v>
      </c>
      <c r="D2" t="s">
        <v>7</v>
      </c>
      <c r="E2" t="s">
        <v>8</v>
      </c>
    </row>
    <row r="3" spans="1:7" x14ac:dyDescent="0.25">
      <c r="A3" t="s">
        <v>17</v>
      </c>
      <c r="B3" t="s">
        <v>5</v>
      </c>
      <c r="C3" t="s">
        <v>103</v>
      </c>
      <c r="D3">
        <v>2683</v>
      </c>
      <c r="E3">
        <v>2683</v>
      </c>
    </row>
    <row r="5" spans="1:7" x14ac:dyDescent="0.25">
      <c r="A5" s="1">
        <v>44652</v>
      </c>
      <c r="D5" t="s">
        <v>7</v>
      </c>
      <c r="E5" t="s">
        <v>8</v>
      </c>
      <c r="G5">
        <f>641/2</f>
        <v>320.5</v>
      </c>
    </row>
    <row r="6" spans="1:7" x14ac:dyDescent="0.25">
      <c r="A6" t="s">
        <v>15</v>
      </c>
      <c r="B6" t="s">
        <v>5</v>
      </c>
      <c r="C6" t="s">
        <v>104</v>
      </c>
      <c r="D6">
        <v>5307</v>
      </c>
    </row>
    <row r="7" spans="1:7" x14ac:dyDescent="0.25">
      <c r="C7" t="s">
        <v>82</v>
      </c>
      <c r="E7">
        <v>307</v>
      </c>
    </row>
    <row r="8" spans="1:7" x14ac:dyDescent="0.25">
      <c r="C8" t="s">
        <v>11</v>
      </c>
      <c r="E8">
        <v>5000</v>
      </c>
    </row>
    <row r="9" spans="1:7" x14ac:dyDescent="0.25">
      <c r="A9" s="1">
        <v>44835</v>
      </c>
    </row>
    <row r="10" spans="1:7" x14ac:dyDescent="0.25">
      <c r="A10" t="s">
        <v>105</v>
      </c>
      <c r="B10" t="s">
        <v>5</v>
      </c>
      <c r="C10" t="s">
        <v>104</v>
      </c>
      <c r="D10">
        <v>5320</v>
      </c>
    </row>
    <row r="11" spans="1:7" x14ac:dyDescent="0.25">
      <c r="C11" t="s">
        <v>82</v>
      </c>
      <c r="E11">
        <v>320</v>
      </c>
    </row>
    <row r="12" spans="1:7" x14ac:dyDescent="0.25">
      <c r="C12" t="s">
        <v>11</v>
      </c>
      <c r="E12">
        <v>5000</v>
      </c>
    </row>
    <row r="13" spans="1:7" x14ac:dyDescent="0.25">
      <c r="A13" t="s">
        <v>106</v>
      </c>
    </row>
    <row r="14" spans="1:7" x14ac:dyDescent="0.25">
      <c r="A14" t="s">
        <v>107</v>
      </c>
    </row>
    <row r="17" spans="1:10" x14ac:dyDescent="0.25">
      <c r="A17" t="s">
        <v>82</v>
      </c>
      <c r="B17" t="s">
        <v>5</v>
      </c>
      <c r="C17" t="s">
        <v>11</v>
      </c>
      <c r="D17" s="7">
        <v>48687</v>
      </c>
      <c r="E17" s="7">
        <v>48687</v>
      </c>
    </row>
    <row r="19" spans="1:10" x14ac:dyDescent="0.25">
      <c r="A19">
        <f>50000-48687</f>
        <v>1313</v>
      </c>
      <c r="B19" t="s">
        <v>108</v>
      </c>
    </row>
    <row r="20" spans="1:10" x14ac:dyDescent="0.25">
      <c r="A20" t="s">
        <v>109</v>
      </c>
      <c r="B20" t="s">
        <v>5</v>
      </c>
      <c r="C20" t="s">
        <v>6</v>
      </c>
      <c r="D20">
        <v>1313</v>
      </c>
      <c r="E20">
        <v>1313</v>
      </c>
    </row>
    <row r="22" spans="1:10" x14ac:dyDescent="0.25">
      <c r="A22" t="s">
        <v>78</v>
      </c>
      <c r="B22" t="s">
        <v>5</v>
      </c>
      <c r="C22" t="s">
        <v>14</v>
      </c>
      <c r="D22">
        <v>1313</v>
      </c>
      <c r="E22">
        <v>1313</v>
      </c>
    </row>
    <row r="24" spans="1:10" x14ac:dyDescent="0.25">
      <c r="A24" s="9">
        <v>44926</v>
      </c>
      <c r="B24" s="6"/>
      <c r="C24" s="6"/>
      <c r="D24" s="6"/>
      <c r="E24" s="6"/>
      <c r="F24" s="6"/>
      <c r="G24" s="6"/>
      <c r="H24" s="6"/>
      <c r="I24" s="6"/>
    </row>
    <row r="25" spans="1:10" x14ac:dyDescent="0.25">
      <c r="A25" s="6" t="s">
        <v>110</v>
      </c>
      <c r="B25" s="6">
        <f>(243434-48687)*4.377%*6/12</f>
        <v>4262.0380949999999</v>
      </c>
      <c r="C25" s="6" t="s">
        <v>112</v>
      </c>
      <c r="D25" s="6"/>
      <c r="E25" s="6"/>
      <c r="F25" s="6"/>
      <c r="G25" s="6"/>
      <c r="H25" s="6"/>
      <c r="I25" s="6" t="s">
        <v>113</v>
      </c>
      <c r="J25" t="s">
        <v>114</v>
      </c>
    </row>
    <row r="26" spans="1:10" x14ac:dyDescent="0.25">
      <c r="A26" s="6" t="s">
        <v>49</v>
      </c>
      <c r="B26" s="6">
        <f>(B25/182)*92</f>
        <v>2154.4368392307692</v>
      </c>
      <c r="C26" s="6"/>
      <c r="D26" s="6"/>
      <c r="E26" s="6"/>
      <c r="F26" s="6" t="s">
        <v>7</v>
      </c>
      <c r="G26" s="6" t="s">
        <v>8</v>
      </c>
      <c r="H26" s="6"/>
      <c r="I26" s="6"/>
      <c r="J26" t="s">
        <v>115</v>
      </c>
    </row>
    <row r="27" spans="1:10" x14ac:dyDescent="0.25">
      <c r="A27" s="6" t="s">
        <v>111</v>
      </c>
      <c r="B27" s="6"/>
      <c r="C27" s="6"/>
      <c r="D27" s="6" t="s">
        <v>5</v>
      </c>
      <c r="E27" s="6" t="s">
        <v>49</v>
      </c>
      <c r="F27" s="6">
        <f>B26</f>
        <v>2154.4368392307692</v>
      </c>
      <c r="G27" s="6">
        <f>F27</f>
        <v>2154.4368392307692</v>
      </c>
      <c r="H27" s="6"/>
      <c r="I27" s="6"/>
      <c r="J27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tabSelected="1" topLeftCell="A3" zoomScale="118" zoomScaleNormal="118" workbookViewId="0">
      <selection activeCell="E11" sqref="E10:E11"/>
    </sheetView>
  </sheetViews>
  <sheetFormatPr defaultRowHeight="15" x14ac:dyDescent="0.25"/>
  <cols>
    <col min="7" max="7" width="13.5703125" bestFit="1" customWidth="1"/>
  </cols>
  <sheetData>
    <row r="1" spans="1:7" x14ac:dyDescent="0.25">
      <c r="A1" t="s">
        <v>54</v>
      </c>
      <c r="E1" s="4">
        <v>0.04</v>
      </c>
      <c r="F1" s="4"/>
    </row>
    <row r="2" spans="1:7" x14ac:dyDescent="0.25">
      <c r="A2" t="s">
        <v>55</v>
      </c>
      <c r="E2" s="5">
        <v>4.3770000000000003E-2</v>
      </c>
      <c r="F2" s="5"/>
    </row>
    <row r="3" spans="1:7" x14ac:dyDescent="0.25">
      <c r="A3" s="8" t="s">
        <v>102</v>
      </c>
      <c r="B3" s="8"/>
      <c r="C3" s="8"/>
      <c r="D3" s="8"/>
      <c r="E3" s="8"/>
      <c r="F3" s="8"/>
      <c r="G3" s="8"/>
    </row>
    <row r="4" spans="1:7" x14ac:dyDescent="0.25">
      <c r="B4" t="s">
        <v>66</v>
      </c>
      <c r="C4" t="s">
        <v>71</v>
      </c>
      <c r="D4" t="s">
        <v>67</v>
      </c>
      <c r="E4" t="s">
        <v>68</v>
      </c>
      <c r="F4" t="s">
        <v>70</v>
      </c>
      <c r="G4" t="s">
        <v>69</v>
      </c>
    </row>
    <row r="5" spans="1:7" x14ac:dyDescent="0.25">
      <c r="B5">
        <v>242500</v>
      </c>
    </row>
    <row r="6" spans="1:7" x14ac:dyDescent="0.25">
      <c r="A6" s="2" t="s">
        <v>56</v>
      </c>
      <c r="D6">
        <f>4%*250000</f>
        <v>10000</v>
      </c>
      <c r="E6">
        <f>4.377%*B5</f>
        <v>10614.224999999999</v>
      </c>
      <c r="F6">
        <f>E6-D6</f>
        <v>614.22499999999854</v>
      </c>
      <c r="G6" s="7">
        <f>B5+F6</f>
        <v>243114.22500000001</v>
      </c>
    </row>
    <row r="7" spans="1:7" x14ac:dyDescent="0.25">
      <c r="A7" s="2" t="s">
        <v>57</v>
      </c>
      <c r="B7">
        <f t="shared" ref="B7" si="0">G6</f>
        <v>243114.22500000001</v>
      </c>
      <c r="D7">
        <v>5000</v>
      </c>
      <c r="E7">
        <f>(E2*G6*6/12)</f>
        <v>5320.5548141250001</v>
      </c>
      <c r="F7">
        <f>E7-D7</f>
        <v>320.55481412500012</v>
      </c>
      <c r="G7" s="7">
        <f>B7+F7</f>
        <v>243434.77981412501</v>
      </c>
    </row>
    <row r="8" spans="1:7" x14ac:dyDescent="0.25">
      <c r="A8" s="10" t="s">
        <v>57</v>
      </c>
      <c r="B8" s="6">
        <f t="shared" ref="B8:B16" si="1">G7</f>
        <v>243434.77981412501</v>
      </c>
      <c r="C8" s="6"/>
      <c r="D8" s="6">
        <f>(250000-50000)*4%*6/12</f>
        <v>4000</v>
      </c>
      <c r="E8" s="6">
        <f>(B8-48686)*4.377%*6/12</f>
        <v>4262.0770462321252</v>
      </c>
      <c r="F8" s="6">
        <f t="shared" ref="F8:F16" si="2">E8-D8</f>
        <v>262.07704623212521</v>
      </c>
      <c r="G8" s="11">
        <f>(B8-48687)+F8</f>
        <v>195009.85686035713</v>
      </c>
    </row>
    <row r="9" spans="1:7" x14ac:dyDescent="0.25">
      <c r="A9" t="s">
        <v>58</v>
      </c>
      <c r="B9">
        <f t="shared" si="1"/>
        <v>195009.85686035713</v>
      </c>
      <c r="D9">
        <v>8000</v>
      </c>
      <c r="E9">
        <f>E2*B9</f>
        <v>8535.5814347778323</v>
      </c>
      <c r="F9">
        <f t="shared" si="2"/>
        <v>535.58143477783233</v>
      </c>
      <c r="G9" s="7">
        <f>B9+F9</f>
        <v>195545.43829513495</v>
      </c>
    </row>
    <row r="10" spans="1:7" x14ac:dyDescent="0.25">
      <c r="A10" t="s">
        <v>59</v>
      </c>
      <c r="B10">
        <f t="shared" si="1"/>
        <v>195545.43829513495</v>
      </c>
      <c r="D10">
        <v>8000</v>
      </c>
      <c r="E10">
        <f>B10*E2</f>
        <v>8559.0238341780569</v>
      </c>
      <c r="F10">
        <f t="shared" si="2"/>
        <v>559.02383417805686</v>
      </c>
      <c r="G10" s="7">
        <f t="shared" ref="G10:G15" si="3">B10+F10</f>
        <v>196104.462129313</v>
      </c>
    </row>
    <row r="11" spans="1:7" x14ac:dyDescent="0.25">
      <c r="A11" t="s">
        <v>60</v>
      </c>
      <c r="B11">
        <f t="shared" si="1"/>
        <v>196104.462129313</v>
      </c>
      <c r="D11">
        <v>8000</v>
      </c>
      <c r="E11">
        <f>$E$2*B11</f>
        <v>8583.4923074000308</v>
      </c>
      <c r="F11">
        <f t="shared" si="2"/>
        <v>583.49230740003077</v>
      </c>
      <c r="G11" s="7">
        <f t="shared" si="3"/>
        <v>196687.95443671304</v>
      </c>
    </row>
    <row r="12" spans="1:7" x14ac:dyDescent="0.25">
      <c r="A12" t="s">
        <v>61</v>
      </c>
      <c r="B12">
        <f t="shared" si="1"/>
        <v>196687.95443671304</v>
      </c>
      <c r="D12">
        <v>8000</v>
      </c>
      <c r="E12">
        <f t="shared" ref="E12:E16" si="4">$E$2*B12</f>
        <v>8609.0317656949301</v>
      </c>
      <c r="F12">
        <f t="shared" si="2"/>
        <v>609.03176569493007</v>
      </c>
      <c r="G12" s="7">
        <f t="shared" si="3"/>
        <v>197296.98620240798</v>
      </c>
    </row>
    <row r="13" spans="1:7" x14ac:dyDescent="0.25">
      <c r="A13" t="s">
        <v>62</v>
      </c>
      <c r="B13">
        <f t="shared" si="1"/>
        <v>197296.98620240798</v>
      </c>
      <c r="D13">
        <v>8000</v>
      </c>
      <c r="E13">
        <f t="shared" si="4"/>
        <v>8635.6890860793974</v>
      </c>
      <c r="F13">
        <f t="shared" si="2"/>
        <v>635.68908607939738</v>
      </c>
      <c r="G13" s="7">
        <f t="shared" si="3"/>
        <v>197932.67528848737</v>
      </c>
    </row>
    <row r="14" spans="1:7" x14ac:dyDescent="0.25">
      <c r="A14" t="s">
        <v>63</v>
      </c>
      <c r="B14">
        <f t="shared" si="1"/>
        <v>197932.67528848737</v>
      </c>
      <c r="D14">
        <v>8000</v>
      </c>
      <c r="E14">
        <f t="shared" si="4"/>
        <v>8663.5131973770931</v>
      </c>
      <c r="F14">
        <f t="shared" si="2"/>
        <v>663.51319737709309</v>
      </c>
      <c r="G14" s="7">
        <f t="shared" si="3"/>
        <v>198596.18848586446</v>
      </c>
    </row>
    <row r="15" spans="1:7" x14ac:dyDescent="0.25">
      <c r="A15" t="s">
        <v>64</v>
      </c>
      <c r="B15">
        <f t="shared" si="1"/>
        <v>198596.18848586446</v>
      </c>
      <c r="D15">
        <v>8000</v>
      </c>
      <c r="E15">
        <f t="shared" si="4"/>
        <v>8692.5551700262877</v>
      </c>
      <c r="F15">
        <f t="shared" si="2"/>
        <v>692.55517002628767</v>
      </c>
      <c r="G15" s="7">
        <f t="shared" si="3"/>
        <v>199288.74365589075</v>
      </c>
    </row>
    <row r="16" spans="1:7" x14ac:dyDescent="0.25">
      <c r="A16" t="s">
        <v>65</v>
      </c>
      <c r="B16">
        <f t="shared" si="1"/>
        <v>199288.74365589075</v>
      </c>
      <c r="C16">
        <f>-200000</f>
        <v>-200000</v>
      </c>
      <c r="D16">
        <v>8000</v>
      </c>
      <c r="E16">
        <f t="shared" si="4"/>
        <v>8722.8683098183392</v>
      </c>
      <c r="F16">
        <f t="shared" si="2"/>
        <v>722.86830981833918</v>
      </c>
      <c r="G16" s="7">
        <f>B16+F16+C16</f>
        <v>11.611965709074866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ES.1 2015 CS</vt:lpstr>
      <vt:lpstr>ES. 1 2016 CS</vt:lpstr>
      <vt:lpstr>APPROFONDIMENTO ESTRAZIONE OBBL</vt:lpstr>
      <vt:lpstr>ES.1 2015 CM</vt:lpstr>
      <vt:lpstr>Piano Ammortamento F PO 2015</vt:lpstr>
      <vt:lpstr>ES.2 2016 CM</vt:lpstr>
      <vt:lpstr>Piano Ammortamento F PO 2016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2022-05-03T07:34:09Z</dcterms:created>
  <dcterms:modified xsi:type="dcterms:W3CDTF">2022-05-06T08:39:27Z</dcterms:modified>
</cp:coreProperties>
</file>