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ocuments\MEGAsync\Didattica\IT\2022-23\Collettore\"/>
    </mc:Choice>
  </mc:AlternateContent>
  <bookViews>
    <workbookView xWindow="0" yWindow="0" windowWidth="16380" windowHeight="8196" tabRatio="484" firstSheet="2" activeTab="4"/>
  </bookViews>
  <sheets>
    <sheet name="risultati Termolog" sheetId="6" r:id="rId1"/>
    <sheet name="potenze per terminale" sheetId="1" r:id="rId2"/>
    <sheet name="Perdite carico concentrate" sheetId="5" r:id="rId3"/>
    <sheet name="dimensionamento" sheetId="2" r:id="rId4"/>
    <sheet name="collettore" sheetId="9" r:id="rId5"/>
    <sheet name="Foglio2" sheetId="8" r:id="rId6"/>
    <sheet name="Foglio1" sheetId="10" r:id="rId7"/>
  </sheets>
  <definedNames>
    <definedName name="cp">dimensionamento!$B$3</definedName>
    <definedName name="csi_c">dimensionamento!$L$23</definedName>
    <definedName name="D">dimensionamento!$B$4</definedName>
    <definedName name="Dc">dimensionamento!$L$21</definedName>
    <definedName name="DP_cg">dimensionamento!$L$24</definedName>
    <definedName name="DPC">dimensionamento!$B$5</definedName>
    <definedName name="Dpvmax">dimensionamento!$M$1</definedName>
    <definedName name="Dt">dimensionamento!$G$4</definedName>
    <definedName name="Dtheta_n">dimensionamento!$M$3</definedName>
    <definedName name="mu">dimensionamento!$B$2</definedName>
    <definedName name="n">dimensionamento!$M$2</definedName>
    <definedName name="rho">dimensionamento!$B$1</definedName>
    <definedName name="t_mi">dimensionamento!$Q$5</definedName>
    <definedName name="vc">dimensionamento!$L$22</definedName>
  </definedNames>
  <calcPr calcId="162913" iterateDelta="1E-4"/>
</workbook>
</file>

<file path=xl/calcChain.xml><?xml version="1.0" encoding="utf-8"?>
<calcChain xmlns="http://schemas.openxmlformats.org/spreadsheetml/2006/main">
  <c r="J10" i="2" l="1"/>
  <c r="AN19" i="2" l="1"/>
  <c r="AN10" i="2"/>
  <c r="AN11" i="2"/>
  <c r="AN12" i="2"/>
  <c r="AN13" i="2"/>
  <c r="AN14" i="2"/>
  <c r="AN15" i="2"/>
  <c r="AN16" i="2"/>
  <c r="AN17" i="2"/>
  <c r="AN9" i="2"/>
  <c r="AM10" i="2"/>
  <c r="AM11" i="2"/>
  <c r="AM12" i="2"/>
  <c r="AM13" i="2"/>
  <c r="AM14" i="2"/>
  <c r="AM15" i="2"/>
  <c r="AM16" i="2"/>
  <c r="AM17" i="2"/>
  <c r="AM9" i="2"/>
  <c r="AL10" i="2"/>
  <c r="AL11" i="2"/>
  <c r="AL12" i="2"/>
  <c r="AL13" i="2"/>
  <c r="AL14" i="2"/>
  <c r="AL15" i="2"/>
  <c r="AL16" i="2"/>
  <c r="AL17" i="2"/>
  <c r="AL9" i="2"/>
  <c r="AJ10" i="2"/>
  <c r="AJ11" i="2"/>
  <c r="AJ12" i="2"/>
  <c r="AJ13" i="2"/>
  <c r="AJ14" i="2"/>
  <c r="AJ15" i="2"/>
  <c r="AJ16" i="2"/>
  <c r="AJ17" i="2"/>
  <c r="AJ9" i="2"/>
  <c r="B13" i="1"/>
  <c r="B12" i="1" s="1"/>
  <c r="K13" i="6"/>
  <c r="I13" i="6"/>
  <c r="F13" i="6"/>
  <c r="K14" i="6"/>
  <c r="I14" i="6"/>
  <c r="F14" i="6"/>
  <c r="M13" i="6"/>
  <c r="M16" i="6" s="1"/>
  <c r="M14" i="6"/>
  <c r="C8" i="1" l="1"/>
  <c r="C10" i="1"/>
  <c r="C11" i="1"/>
  <c r="C12" i="1"/>
  <c r="C13" i="1"/>
  <c r="C6" i="1"/>
  <c r="C5" i="1"/>
  <c r="C7" i="1"/>
  <c r="C9" i="1"/>
  <c r="D10" i="2"/>
  <c r="D11" i="2"/>
  <c r="D12" i="2"/>
  <c r="D13" i="2"/>
  <c r="D14" i="2"/>
  <c r="D15" i="2"/>
  <c r="D16" i="2"/>
  <c r="D17" i="2"/>
  <c r="D9" i="2"/>
  <c r="B10" i="2"/>
  <c r="B11" i="2"/>
  <c r="B12" i="2"/>
  <c r="B13" i="2"/>
  <c r="B14" i="2"/>
  <c r="B15" i="2"/>
  <c r="B16" i="2"/>
  <c r="B17" i="2"/>
  <c r="B9" i="2"/>
  <c r="C17" i="2" l="1"/>
  <c r="C13" i="2"/>
  <c r="C9" i="2"/>
  <c r="C14" i="2"/>
  <c r="C16" i="2"/>
  <c r="C12" i="2"/>
  <c r="C15" i="2"/>
  <c r="C11" i="2"/>
  <c r="C10" i="2"/>
  <c r="G11" i="2" l="1"/>
  <c r="G14" i="2"/>
  <c r="G15" i="2"/>
  <c r="G9" i="2"/>
  <c r="G12" i="2"/>
  <c r="G13" i="2"/>
  <c r="G10" i="2"/>
  <c r="G16" i="2"/>
  <c r="G17" i="2"/>
  <c r="H11" i="2"/>
  <c r="M11" i="2" s="1"/>
  <c r="D3" i="5"/>
  <c r="D4" i="5"/>
  <c r="D5" i="5"/>
  <c r="D6" i="5"/>
  <c r="D7" i="5" s="1"/>
  <c r="D2" i="5"/>
  <c r="H10" i="2" l="1"/>
  <c r="P10" i="2"/>
  <c r="W10" i="2"/>
  <c r="H13" i="2"/>
  <c r="W13" i="2"/>
  <c r="P13" i="2"/>
  <c r="H16" i="2"/>
  <c r="W16" i="2"/>
  <c r="P16" i="2"/>
  <c r="P9" i="2"/>
  <c r="H9" i="2"/>
  <c r="W9" i="2"/>
  <c r="H14" i="2"/>
  <c r="P14" i="2"/>
  <c r="W14" i="2"/>
  <c r="H15" i="2"/>
  <c r="P15" i="2"/>
  <c r="W15" i="2"/>
  <c r="I11" i="2"/>
  <c r="J11" i="2" s="1"/>
  <c r="K11" i="2" s="1"/>
  <c r="L11" i="2" s="1"/>
  <c r="N11" i="2" s="1"/>
  <c r="H17" i="2"/>
  <c r="P17" i="2"/>
  <c r="W17" i="2"/>
  <c r="H12" i="2"/>
  <c r="W12" i="2"/>
  <c r="P12" i="2"/>
  <c r="W11" i="2"/>
  <c r="P11" i="2"/>
  <c r="I12" i="2" l="1"/>
  <c r="J12" i="2" s="1"/>
  <c r="K12" i="2" s="1"/>
  <c r="L12" i="2" s="1"/>
  <c r="N12" i="2" s="1"/>
  <c r="M12" i="2"/>
  <c r="I14" i="2"/>
  <c r="J14" i="2" s="1"/>
  <c r="K14" i="2" s="1"/>
  <c r="L14" i="2" s="1"/>
  <c r="M14" i="2"/>
  <c r="X11" i="2"/>
  <c r="I16" i="2"/>
  <c r="J16" i="2" s="1"/>
  <c r="K16" i="2" s="1"/>
  <c r="L16" i="2" s="1"/>
  <c r="M16" i="2"/>
  <c r="Q11" i="2"/>
  <c r="I13" i="2"/>
  <c r="J13" i="2" s="1"/>
  <c r="K13" i="2" s="1"/>
  <c r="L13" i="2" s="1"/>
  <c r="N13" i="2" s="1"/>
  <c r="M13" i="2"/>
  <c r="I17" i="2"/>
  <c r="J17" i="2" s="1"/>
  <c r="K17" i="2" s="1"/>
  <c r="L17" i="2" s="1"/>
  <c r="M17" i="2"/>
  <c r="M15" i="2"/>
  <c r="I15" i="2"/>
  <c r="J15" i="2" s="1"/>
  <c r="K15" i="2" s="1"/>
  <c r="L15" i="2" s="1"/>
  <c r="N15" i="2" s="1"/>
  <c r="M9" i="2"/>
  <c r="I9" i="2"/>
  <c r="J9" i="2" s="1"/>
  <c r="K9" i="2" s="1"/>
  <c r="L9" i="2" s="1"/>
  <c r="I10" i="2"/>
  <c r="M10" i="2"/>
  <c r="Q15" i="2" l="1"/>
  <c r="X15" i="2"/>
  <c r="N14" i="2"/>
  <c r="N17" i="2"/>
  <c r="N16" i="2"/>
  <c r="N9" i="2"/>
  <c r="Q13" i="2"/>
  <c r="X13" i="2"/>
  <c r="X12" i="2"/>
  <c r="Q12" i="2"/>
  <c r="Q17" i="2" l="1"/>
  <c r="X17" i="2"/>
  <c r="Q9" i="2"/>
  <c r="X9" i="2"/>
  <c r="X14" i="2"/>
  <c r="Q14" i="2"/>
  <c r="X16" i="2"/>
  <c r="Q16" i="2"/>
  <c r="K10" i="2" l="1"/>
  <c r="L10" i="2" s="1"/>
  <c r="N10" i="2" s="1"/>
  <c r="X10" i="2" l="1"/>
  <c r="Q10" i="2"/>
  <c r="Q19" i="2" s="1"/>
  <c r="R11" i="2" l="1"/>
  <c r="R15" i="2"/>
  <c r="R12" i="2"/>
  <c r="R10" i="2"/>
  <c r="R17" i="2"/>
  <c r="R13" i="2"/>
  <c r="R14" i="2"/>
  <c r="R9" i="2"/>
  <c r="R16" i="2"/>
  <c r="Y9" i="2" l="1"/>
  <c r="S9" i="2"/>
  <c r="T9" i="2" s="1"/>
  <c r="Y10" i="2"/>
  <c r="S10" i="2"/>
  <c r="T10" i="2" s="1"/>
  <c r="S14" i="2"/>
  <c r="T14" i="2" s="1"/>
  <c r="Y14" i="2"/>
  <c r="S12" i="2"/>
  <c r="T12" i="2" s="1"/>
  <c r="Y12" i="2"/>
  <c r="Y13" i="2"/>
  <c r="S13" i="2"/>
  <c r="T13" i="2" s="1"/>
  <c r="Y15" i="2"/>
  <c r="S15" i="2"/>
  <c r="T15" i="2" s="1"/>
  <c r="S16" i="2"/>
  <c r="T16" i="2" s="1"/>
  <c r="Y16" i="2"/>
  <c r="S17" i="2"/>
  <c r="T17" i="2" s="1"/>
  <c r="Y17" i="2"/>
  <c r="S11" i="2"/>
  <c r="T11" i="2" s="1"/>
  <c r="Y11" i="2"/>
  <c r="AA10" i="2" l="1"/>
  <c r="AB10" i="2" s="1"/>
  <c r="AC10" i="2" s="1"/>
  <c r="AF10" i="2" s="1"/>
  <c r="AH10" i="2" s="1"/>
  <c r="Z10" i="2"/>
  <c r="Z15" i="2"/>
  <c r="AA15" i="2"/>
  <c r="AB15" i="2" s="1"/>
  <c r="AC15" i="2" s="1"/>
  <c r="AF15" i="2" s="1"/>
  <c r="AH15" i="2" s="1"/>
  <c r="Z16" i="2"/>
  <c r="AA16" i="2"/>
  <c r="AB16" i="2" s="1"/>
  <c r="AC16" i="2" s="1"/>
  <c r="AF16" i="2" s="1"/>
  <c r="AH16" i="2" s="1"/>
  <c r="AA14" i="2"/>
  <c r="AB14" i="2" s="1"/>
  <c r="AC14" i="2" s="1"/>
  <c r="AF14" i="2" s="1"/>
  <c r="AH14" i="2" s="1"/>
  <c r="Z14" i="2"/>
  <c r="Z17" i="2"/>
  <c r="AA17" i="2"/>
  <c r="AB17" i="2" s="1"/>
  <c r="AC17" i="2" s="1"/>
  <c r="AF17" i="2" s="1"/>
  <c r="AH17" i="2" s="1"/>
  <c r="Z12" i="2"/>
  <c r="AA12" i="2"/>
  <c r="AB12" i="2" s="1"/>
  <c r="AC12" i="2" s="1"/>
  <c r="AF12" i="2" s="1"/>
  <c r="AH12" i="2" s="1"/>
  <c r="AA11" i="2"/>
  <c r="AB11" i="2" s="1"/>
  <c r="AC11" i="2" s="1"/>
  <c r="AF11" i="2" s="1"/>
  <c r="AH11" i="2" s="1"/>
  <c r="Z11" i="2"/>
  <c r="Z13" i="2"/>
  <c r="AA13" i="2"/>
  <c r="AB13" i="2" s="1"/>
  <c r="AC13" i="2" s="1"/>
  <c r="AF13" i="2" s="1"/>
  <c r="AH13" i="2" s="1"/>
  <c r="Y20" i="2"/>
  <c r="AA9" i="2"/>
  <c r="AB9" i="2" s="1"/>
  <c r="AC9" i="2" s="1"/>
  <c r="AF9" i="2" s="1"/>
  <c r="AH9" i="2" s="1"/>
  <c r="Z9" i="2"/>
</calcChain>
</file>

<file path=xl/sharedStrings.xml><?xml version="1.0" encoding="utf-8"?>
<sst xmlns="http://schemas.openxmlformats.org/spreadsheetml/2006/main" count="191" uniqueCount="117">
  <si>
    <t>rendimento emissione</t>
  </si>
  <si>
    <t>rendimento controllo</t>
  </si>
  <si>
    <t>phi</t>
  </si>
  <si>
    <t>phi_re</t>
  </si>
  <si>
    <t>L3</t>
  </si>
  <si>
    <t>B2</t>
  </si>
  <si>
    <t>L1</t>
  </si>
  <si>
    <t>L2</t>
  </si>
  <si>
    <t>rho</t>
  </si>
  <si>
    <t>kg/m^3</t>
  </si>
  <si>
    <t>mu</t>
  </si>
  <si>
    <t>kg m/s</t>
  </si>
  <si>
    <t>Dcoll</t>
  </si>
  <si>
    <t>m</t>
  </si>
  <si>
    <t>csi_c</t>
  </si>
  <si>
    <t>Pa</t>
  </si>
  <si>
    <t>n</t>
  </si>
  <si>
    <t>csi</t>
  </si>
  <si>
    <t>Dt</t>
  </si>
  <si>
    <t>L</t>
  </si>
  <si>
    <t>u</t>
  </si>
  <si>
    <t>Re</t>
  </si>
  <si>
    <t>Fa</t>
  </si>
  <si>
    <t>r</t>
  </si>
  <si>
    <t>Dpd</t>
  </si>
  <si>
    <t>Dpc</t>
  </si>
  <si>
    <t>Dp</t>
  </si>
  <si>
    <t>Dpv</t>
  </si>
  <si>
    <t>W</t>
  </si>
  <si>
    <t>M^3/s</t>
  </si>
  <si>
    <t>m/s</t>
  </si>
  <si>
    <t>Pa/m</t>
  </si>
  <si>
    <t>radiatore</t>
  </si>
  <si>
    <t>detentore squadra</t>
  </si>
  <si>
    <t>curve strette</t>
  </si>
  <si>
    <t>sbocchi collettore</t>
  </si>
  <si>
    <t>totale</t>
  </si>
  <si>
    <t>salto termico guida</t>
  </si>
  <si>
    <t>perdita carico collettore</t>
  </si>
  <si>
    <t>diametro collettore</t>
  </si>
  <si>
    <t>sum csi</t>
  </si>
  <si>
    <t>densità</t>
  </si>
  <si>
    <t>viscosità</t>
  </si>
  <si>
    <t>perdite di carico concentrate</t>
  </si>
  <si>
    <t>curva normale</t>
  </si>
  <si>
    <t>n*csi</t>
  </si>
  <si>
    <t>cp</t>
  </si>
  <si>
    <t>J/(kg K)</t>
  </si>
  <si>
    <t>Dpvmax</t>
  </si>
  <si>
    <t>Dptot</t>
  </si>
  <si>
    <t>G_vera</t>
  </si>
  <si>
    <t>Dtheta</t>
  </si>
  <si>
    <t>tm_term</t>
  </si>
  <si>
    <t>Dtheta_amb</t>
  </si>
  <si>
    <t>phi_n</t>
  </si>
  <si>
    <t>Dtheta_n</t>
  </si>
  <si>
    <t>°C</t>
  </si>
  <si>
    <t>K</t>
  </si>
  <si>
    <t>differenza temperatura nominale</t>
  </si>
  <si>
    <t>temperatura mandata impianto</t>
  </si>
  <si>
    <t>esponente radiatore</t>
  </si>
  <si>
    <t>posizione</t>
  </si>
  <si>
    <t>kvs</t>
  </si>
  <si>
    <t>Dpvj</t>
  </si>
  <si>
    <t>-</t>
  </si>
  <si>
    <t>kv_richiesto</t>
  </si>
  <si>
    <t>kv_v</t>
  </si>
  <si>
    <t>phi_el</t>
  </si>
  <si>
    <t>nelementi</t>
  </si>
  <si>
    <t>d tubo</t>
  </si>
  <si>
    <t>phi termolog</t>
  </si>
  <si>
    <t xml:space="preserve">   Carichi termici totali</t>
  </si>
  <si>
    <t xml:space="preserve">   EDIFICIO RRT</t>
  </si>
  <si>
    <t>Zona riscaldata</t>
  </si>
  <si>
    <t>Locale</t>
  </si>
  <si>
    <t>Δθp</t>
  </si>
  <si>
    <t>Фt</t>
  </si>
  <si>
    <t>Фv</t>
  </si>
  <si>
    <t>Фrh</t>
  </si>
  <si>
    <t>Фhl</t>
  </si>
  <si>
    <t>B1</t>
  </si>
  <si>
    <t>S</t>
  </si>
  <si>
    <t>Corridoio</t>
  </si>
  <si>
    <t>Dpvs</t>
  </si>
  <si>
    <t>Dptot_vs</t>
  </si>
  <si>
    <t>t_amb</t>
  </si>
  <si>
    <t>elementi-ordine</t>
  </si>
  <si>
    <t>larghezza</t>
  </si>
  <si>
    <t>S1</t>
  </si>
  <si>
    <t>S2</t>
  </si>
  <si>
    <t>m^3/s</t>
  </si>
  <si>
    <t>theta_i</t>
  </si>
  <si>
    <t>Dp_max</t>
  </si>
  <si>
    <t>G'</t>
  </si>
  <si>
    <t>G_d</t>
  </si>
  <si>
    <t>Dp_des</t>
  </si>
  <si>
    <t>C</t>
  </si>
  <si>
    <t>DG %</t>
  </si>
  <si>
    <t>caldaia collettore</t>
  </si>
  <si>
    <t xml:space="preserve">csi collettore </t>
  </si>
  <si>
    <t>A-R</t>
  </si>
  <si>
    <t>d</t>
  </si>
  <si>
    <t>Dpcoll</t>
  </si>
  <si>
    <t>Gh</t>
  </si>
  <si>
    <t>m^3/h</t>
  </si>
  <si>
    <t>sumcsi</t>
  </si>
  <si>
    <t>kv valvola</t>
  </si>
  <si>
    <t>DPv</t>
  </si>
  <si>
    <t>Dpcald</t>
  </si>
  <si>
    <t>zona riscaldata</t>
  </si>
  <si>
    <t>contenuto acqua</t>
  </si>
  <si>
    <t>litri/elem</t>
  </si>
  <si>
    <t>contenuto tot</t>
  </si>
  <si>
    <t>cont. Acqua</t>
  </si>
  <si>
    <t>litri</t>
  </si>
  <si>
    <t>cont. Acqua tubi</t>
  </si>
  <si>
    <t xml:space="preserve">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</si>
</sst>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#,##0.000"/>
  </numFmts>
  <fonts count="11" x14ac:knownFonts="1">
    <font>
      <sz val="10"/>
      <name val="Arial"/>
      <family val="2"/>
    </font>
    <font>
      <sz val="10"/>
      <color indexed="10"/>
      <name val="Arial"/>
      <family val="2"/>
    </font>
    <font>
      <b/>
      <sz val="8"/>
      <color indexed="8"/>
      <name val="Microsoft Sans Serif"/>
    </font>
    <font>
      <sz val="8"/>
      <color indexed="8"/>
      <name val="Microsoft Sans Serif"/>
    </font>
    <font>
      <sz val="8"/>
      <color rgb="FF000000"/>
      <name val="Tahoma"/>
    </font>
    <font>
      <sz val="10"/>
      <color indexed="8"/>
      <name val="Microsoft Sans Serif"/>
      <family val="2"/>
    </font>
    <font>
      <sz val="9"/>
      <color rgb="FF000000"/>
      <name val="Segoe UI"/>
    </font>
    <font>
      <sz val="9"/>
      <color rgb="FF505050"/>
      <name val="Segoe UI"/>
    </font>
    <font>
      <u/>
      <sz val="9"/>
      <color rgb="FF505050"/>
      <name val="Segoe UI"/>
      <family val="2"/>
    </font>
    <font>
      <sz val="9"/>
      <color rgb="FF505050"/>
      <name val="Segoe UI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D3D3D3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/>
      <right/>
      <top/>
      <bottom style="thin">
        <color rgb="FFC0C0C0"/>
      </bottom>
      <diagonal/>
    </border>
  </borders>
  <cellStyleXfs count="1">
    <xf numFmtId="0" fontId="0" fillId="0" borderId="0"/>
  </cellStyleXfs>
  <cellXfs count="41">
    <xf numFmtId="0" fontId="0" fillId="0" borderId="0" xfId="0"/>
    <xf numFmtId="165" fontId="1" fillId="0" borderId="0" xfId="0" applyNumberFormat="1" applyFont="1"/>
    <xf numFmtId="2" fontId="0" fillId="0" borderId="0" xfId="0" applyNumberFormat="1"/>
    <xf numFmtId="11" fontId="0" fillId="0" borderId="0" xfId="0" applyNumberFormat="1"/>
    <xf numFmtId="20" fontId="0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67" fontId="2" fillId="0" borderId="4" xfId="0" applyNumberFormat="1" applyFont="1" applyBorder="1" applyAlignment="1">
      <alignment vertical="center" wrapText="1"/>
    </xf>
    <xf numFmtId="167" fontId="0" fillId="0" borderId="0" xfId="0" applyNumberFormat="1"/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11" fontId="0" fillId="0" borderId="0" xfId="0" applyNumberFormat="1" applyFill="1"/>
    <xf numFmtId="0" fontId="0" fillId="0" borderId="0" xfId="0" applyFill="1"/>
    <xf numFmtId="2" fontId="5" fillId="0" borderId="2" xfId="0" applyNumberFormat="1" applyFont="1" applyFill="1" applyBorder="1" applyAlignment="1">
      <alignment horizontal="left" vertical="center" wrapText="1"/>
    </xf>
    <xf numFmtId="165" fontId="0" fillId="0" borderId="0" xfId="0" applyNumberFormat="1" applyFill="1"/>
    <xf numFmtId="164" fontId="0" fillId="0" borderId="0" xfId="0" applyNumberFormat="1" applyFill="1"/>
    <xf numFmtId="166" fontId="0" fillId="0" borderId="0" xfId="0" applyNumberFormat="1" applyFill="1"/>
    <xf numFmtId="2" fontId="0" fillId="0" borderId="0" xfId="0" applyNumberFormat="1" applyFill="1"/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2" fontId="10" fillId="0" borderId="0" xfId="0" applyNumberFormat="1" applyFont="1" applyFill="1"/>
    <xf numFmtId="164" fontId="10" fillId="0" borderId="0" xfId="0" applyNumberFormat="1" applyFont="1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419367</xdr:colOff>
      <xdr:row>2</xdr:row>
      <xdr:rowOff>124690</xdr:rowOff>
    </xdr:from>
    <xdr:to>
      <xdr:col>11</xdr:col>
      <xdr:colOff>502233</xdr:colOff>
      <xdr:row>39</xdr:row>
      <xdr:rowOff>8526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8167" y="464659"/>
          <a:ext cx="4959666" cy="6220159"/>
        </a:xfrm>
        <a:prstGeom prst="rect">
          <a:avLst/>
        </a:prstGeom>
      </xdr:spPr>
    </xdr:pic>
    <xdr:clientData/>
  </xdr:twoCellAnchor>
  <xdr:twoCellAnchor editAs="oneCell">
    <xdr:from>
      <xdr:col>12</xdr:col>
      <xdr:colOff>246983</xdr:colOff>
      <xdr:row>2</xdr:row>
      <xdr:rowOff>80728</xdr:rowOff>
    </xdr:from>
    <xdr:to>
      <xdr:col>20</xdr:col>
      <xdr:colOff>264844</xdr:colOff>
      <xdr:row>39</xdr:row>
      <xdr:rowOff>123093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183" y="413237"/>
          <a:ext cx="4894661" cy="6236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420140</xdr:colOff>
      <xdr:row>30</xdr:row>
      <xdr:rowOff>122366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2540" cy="5151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20</xdr:col>
      <xdr:colOff>366795</xdr:colOff>
      <xdr:row>64</xdr:row>
      <xdr:rowOff>122395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364480"/>
          <a:ext cx="11949195" cy="548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145" zoomScaleNormal="145" workbookViewId="0">
      <selection activeCell="M6" sqref="M6:M14"/>
    </sheetView>
  </sheetViews>
  <sheetFormatPr defaultRowHeight="13.2" x14ac:dyDescent="0.25"/>
  <cols>
    <col min="13" max="13" width="9.109375" bestFit="1" customWidth="1"/>
  </cols>
  <sheetData>
    <row r="1" spans="1:15" x14ac:dyDescent="0.25">
      <c r="A1" s="39" t="s">
        <v>71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5">
      <c r="A2" s="7"/>
      <c r="B2" s="7"/>
      <c r="C2" s="8"/>
      <c r="D2" s="7"/>
      <c r="E2" s="7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40" t="s">
        <v>72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x14ac:dyDescent="0.25">
      <c r="A4" s="7"/>
      <c r="B4" s="7"/>
      <c r="C4" s="8"/>
      <c r="D4" s="7"/>
      <c r="E4" s="7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5" ht="13.2" customHeight="1" x14ac:dyDescent="0.25">
      <c r="A5" s="28" t="s">
        <v>73</v>
      </c>
      <c r="B5" s="28"/>
      <c r="C5" s="29"/>
      <c r="D5" s="28" t="s">
        <v>74</v>
      </c>
      <c r="E5" s="30" t="s">
        <v>75</v>
      </c>
      <c r="F5" s="30" t="s">
        <v>76</v>
      </c>
      <c r="G5" s="30"/>
      <c r="H5" s="30"/>
      <c r="I5" s="30" t="s">
        <v>77</v>
      </c>
      <c r="J5" s="30"/>
      <c r="K5" s="30" t="s">
        <v>78</v>
      </c>
      <c r="L5" s="30"/>
      <c r="M5" s="30" t="s">
        <v>79</v>
      </c>
      <c r="N5" s="11"/>
      <c r="O5" s="11"/>
    </row>
    <row r="6" spans="1:15" ht="13.2" customHeight="1" x14ac:dyDescent="0.25">
      <c r="A6" s="31" t="s">
        <v>109</v>
      </c>
      <c r="B6" s="31"/>
      <c r="C6" s="32"/>
      <c r="D6" s="36" t="s">
        <v>80</v>
      </c>
      <c r="E6" s="32">
        <v>29</v>
      </c>
      <c r="F6" s="33">
        <v>270.01299999999998</v>
      </c>
      <c r="G6" s="32"/>
      <c r="H6" s="32"/>
      <c r="I6" s="33">
        <v>375.63200000000001</v>
      </c>
      <c r="J6" s="32"/>
      <c r="K6" s="34">
        <v>63.45</v>
      </c>
      <c r="L6" s="32"/>
      <c r="M6" s="33">
        <v>709.09500000000003</v>
      </c>
    </row>
    <row r="7" spans="1:15" ht="13.2" customHeight="1" x14ac:dyDescent="0.25">
      <c r="A7" s="31" t="s">
        <v>109</v>
      </c>
      <c r="B7" s="31"/>
      <c r="C7" s="32"/>
      <c r="D7" s="35" t="s">
        <v>5</v>
      </c>
      <c r="E7" s="32">
        <v>29</v>
      </c>
      <c r="F7" s="33">
        <v>213.57300000000001</v>
      </c>
      <c r="G7" s="32"/>
      <c r="H7" s="32"/>
      <c r="I7" s="33">
        <v>250.75200000000001</v>
      </c>
      <c r="J7" s="32"/>
      <c r="K7" s="34">
        <v>42.39</v>
      </c>
      <c r="L7" s="32"/>
      <c r="M7" s="33">
        <v>506.71499999999997</v>
      </c>
    </row>
    <row r="8" spans="1:15" ht="13.2" customHeight="1" x14ac:dyDescent="0.25">
      <c r="A8" s="31" t="s">
        <v>109</v>
      </c>
      <c r="B8" s="31"/>
      <c r="C8" s="32"/>
      <c r="D8" s="31" t="s">
        <v>96</v>
      </c>
      <c r="E8" s="32">
        <v>25</v>
      </c>
      <c r="F8" s="33">
        <v>369.71499999999997</v>
      </c>
      <c r="G8" s="32"/>
      <c r="H8" s="32"/>
      <c r="I8" s="33">
        <v>168.499</v>
      </c>
      <c r="J8" s="32"/>
      <c r="K8" s="34">
        <v>132.03</v>
      </c>
      <c r="L8" s="32"/>
      <c r="M8" s="33">
        <v>670.24300000000005</v>
      </c>
    </row>
    <row r="9" spans="1:15" ht="13.2" customHeight="1" x14ac:dyDescent="0.25">
      <c r="A9" s="31" t="s">
        <v>109</v>
      </c>
      <c r="B9" s="31"/>
      <c r="C9" s="32"/>
      <c r="D9" s="31" t="s">
        <v>57</v>
      </c>
      <c r="E9" s="32">
        <v>25</v>
      </c>
      <c r="F9" s="33">
        <v>625.12400000000002</v>
      </c>
      <c r="G9" s="32"/>
      <c r="H9" s="32"/>
      <c r="I9" s="33">
        <v>188.51300000000001</v>
      </c>
      <c r="J9" s="32"/>
      <c r="K9" s="34">
        <v>147.78</v>
      </c>
      <c r="L9" s="32"/>
      <c r="M9" s="33">
        <v>961.41800000000001</v>
      </c>
    </row>
    <row r="10" spans="1:15" ht="13.2" customHeight="1" x14ac:dyDescent="0.25">
      <c r="A10" s="31"/>
      <c r="B10" s="31"/>
      <c r="C10" s="32"/>
      <c r="D10" s="31" t="s">
        <v>6</v>
      </c>
      <c r="E10" s="32">
        <v>25</v>
      </c>
      <c r="F10" s="33">
        <v>669.96500000000003</v>
      </c>
      <c r="G10" s="32"/>
      <c r="H10" s="32"/>
      <c r="I10" s="34">
        <v>210.01</v>
      </c>
      <c r="J10" s="32"/>
      <c r="K10" s="34">
        <v>164.61</v>
      </c>
      <c r="L10" s="32"/>
      <c r="M10" s="33">
        <v>1044.585</v>
      </c>
    </row>
    <row r="11" spans="1:15" ht="13.2" customHeight="1" x14ac:dyDescent="0.25">
      <c r="A11" s="31" t="s">
        <v>109</v>
      </c>
      <c r="B11" s="31"/>
      <c r="C11" s="32"/>
      <c r="D11" s="31" t="s">
        <v>7</v>
      </c>
      <c r="E11" s="32">
        <v>25</v>
      </c>
      <c r="F11" s="34">
        <v>423.31</v>
      </c>
      <c r="G11" s="32"/>
      <c r="H11" s="32"/>
      <c r="I11" s="33">
        <v>174.09399999999999</v>
      </c>
      <c r="J11" s="32"/>
      <c r="K11" s="34">
        <v>136.44</v>
      </c>
      <c r="L11" s="32"/>
      <c r="M11" s="33">
        <v>733.84500000000003</v>
      </c>
    </row>
    <row r="12" spans="1:15" ht="13.2" customHeight="1" x14ac:dyDescent="0.25">
      <c r="A12" s="31" t="s">
        <v>109</v>
      </c>
      <c r="B12" s="31"/>
      <c r="C12" s="32"/>
      <c r="D12" s="31" t="s">
        <v>4</v>
      </c>
      <c r="E12" s="32">
        <v>25</v>
      </c>
      <c r="F12" s="33">
        <v>606.95399999999995</v>
      </c>
      <c r="G12" s="32"/>
      <c r="H12" s="32"/>
      <c r="I12" s="33">
        <v>585.96199999999999</v>
      </c>
      <c r="J12" s="32"/>
      <c r="K12" s="34">
        <v>153.09</v>
      </c>
      <c r="L12" s="32"/>
      <c r="M12" s="33">
        <v>1346.0060000000001</v>
      </c>
    </row>
    <row r="13" spans="1:15" ht="13.2" customHeight="1" x14ac:dyDescent="0.25">
      <c r="A13" s="31" t="s">
        <v>109</v>
      </c>
      <c r="B13" s="31"/>
      <c r="C13" s="32"/>
      <c r="D13" s="31" t="s">
        <v>88</v>
      </c>
      <c r="E13" s="32">
        <v>25</v>
      </c>
      <c r="F13" s="33">
        <f>F14</f>
        <v>687.12549999999999</v>
      </c>
      <c r="G13" s="32"/>
      <c r="H13" s="32"/>
      <c r="I13" s="33">
        <f>I14</f>
        <v>275.6465</v>
      </c>
      <c r="J13" s="32"/>
      <c r="K13" s="33">
        <f>K14</f>
        <v>216.04499999999999</v>
      </c>
      <c r="L13" s="32"/>
      <c r="M13" s="33">
        <f>M14</f>
        <v>1178.817</v>
      </c>
    </row>
    <row r="14" spans="1:15" ht="13.2" customHeight="1" x14ac:dyDescent="0.25">
      <c r="A14" s="31" t="s">
        <v>109</v>
      </c>
      <c r="B14" s="31"/>
      <c r="C14" s="32"/>
      <c r="D14" s="35" t="s">
        <v>89</v>
      </c>
      <c r="E14" s="32">
        <v>25</v>
      </c>
      <c r="F14" s="33">
        <f>0.5*1374.251</f>
        <v>687.12549999999999</v>
      </c>
      <c r="G14" s="32"/>
      <c r="H14" s="32"/>
      <c r="I14" s="33">
        <f>0.5*551.293</f>
        <v>275.6465</v>
      </c>
      <c r="J14" s="32"/>
      <c r="K14" s="34">
        <f>0.5*432.09</f>
        <v>216.04499999999999</v>
      </c>
      <c r="L14" s="32"/>
      <c r="M14" s="33">
        <f>2357.634/2</f>
        <v>1178.817</v>
      </c>
    </row>
    <row r="16" spans="1:15" x14ac:dyDescent="0.25">
      <c r="B16" t="s">
        <v>19</v>
      </c>
      <c r="C16" t="s">
        <v>91</v>
      </c>
      <c r="M16" s="12">
        <f>SUM(M6:M14)</f>
        <v>8329.5410000000011</v>
      </c>
    </row>
    <row r="17" spans="1:3" x14ac:dyDescent="0.25">
      <c r="A17" s="15" t="s">
        <v>80</v>
      </c>
      <c r="B17">
        <v>10</v>
      </c>
      <c r="C17">
        <v>24</v>
      </c>
    </row>
    <row r="18" spans="1:3" x14ac:dyDescent="0.25">
      <c r="A18" s="16" t="s">
        <v>6</v>
      </c>
      <c r="B18">
        <v>14.2</v>
      </c>
      <c r="C18">
        <v>20</v>
      </c>
    </row>
    <row r="19" spans="1:3" x14ac:dyDescent="0.25">
      <c r="A19" s="15" t="s">
        <v>7</v>
      </c>
      <c r="B19">
        <v>17.2</v>
      </c>
      <c r="C19">
        <v>20</v>
      </c>
    </row>
    <row r="20" spans="1:3" x14ac:dyDescent="0.25">
      <c r="A20" s="16" t="s">
        <v>4</v>
      </c>
      <c r="B20">
        <v>17.3</v>
      </c>
      <c r="C20">
        <v>20</v>
      </c>
    </row>
    <row r="21" spans="1:3" x14ac:dyDescent="0.25">
      <c r="A21" s="15" t="s">
        <v>88</v>
      </c>
      <c r="B21">
        <v>14.6</v>
      </c>
      <c r="C21">
        <v>20</v>
      </c>
    </row>
    <row r="22" spans="1:3" x14ac:dyDescent="0.25">
      <c r="A22" s="15" t="s">
        <v>89</v>
      </c>
      <c r="B22">
        <v>15.6</v>
      </c>
      <c r="C22">
        <v>20</v>
      </c>
    </row>
    <row r="23" spans="1:3" x14ac:dyDescent="0.25">
      <c r="A23" s="16" t="s">
        <v>82</v>
      </c>
      <c r="B23">
        <v>2</v>
      </c>
      <c r="C23">
        <v>20</v>
      </c>
    </row>
    <row r="24" spans="1:3" x14ac:dyDescent="0.25">
      <c r="A24" s="15" t="s">
        <v>5</v>
      </c>
      <c r="B24">
        <v>13.4</v>
      </c>
      <c r="C24">
        <v>24</v>
      </c>
    </row>
    <row r="25" spans="1:3" x14ac:dyDescent="0.25">
      <c r="A25" s="16" t="s">
        <v>57</v>
      </c>
      <c r="B25">
        <v>16.2</v>
      </c>
      <c r="C25">
        <v>20</v>
      </c>
    </row>
  </sheetData>
  <sortState ref="D6:M14">
    <sortCondition ref="D6:D14"/>
  </sortState>
  <mergeCells count="2">
    <mergeCell ref="A1:O1"/>
    <mergeCell ref="A3:O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160" zoomScaleNormal="160" workbookViewId="0">
      <selection activeCell="C13" sqref="C13"/>
    </sheetView>
  </sheetViews>
  <sheetFormatPr defaultColWidth="11.5546875" defaultRowHeight="13.2" x14ac:dyDescent="0.25"/>
  <sheetData>
    <row r="1" spans="1:7" x14ac:dyDescent="0.25">
      <c r="A1" s="1">
        <v>0.96</v>
      </c>
      <c r="B1" t="s">
        <v>0</v>
      </c>
    </row>
    <row r="2" spans="1:7" x14ac:dyDescent="0.25">
      <c r="A2" s="1">
        <v>0.93</v>
      </c>
      <c r="B2" t="s">
        <v>1</v>
      </c>
    </row>
    <row r="4" spans="1:7" x14ac:dyDescent="0.25">
      <c r="B4" t="s">
        <v>70</v>
      </c>
      <c r="C4" t="s">
        <v>3</v>
      </c>
      <c r="D4" t="s">
        <v>19</v>
      </c>
      <c r="E4" t="s">
        <v>91</v>
      </c>
    </row>
    <row r="5" spans="1:7" x14ac:dyDescent="0.25">
      <c r="A5" s="24" t="s">
        <v>80</v>
      </c>
      <c r="B5" s="33">
        <v>709.09500000000003</v>
      </c>
      <c r="C5" s="2">
        <f t="shared" ref="C5:C13" si="0">B5/$A$1/$A$2</f>
        <v>794.23723118279565</v>
      </c>
      <c r="D5">
        <v>10</v>
      </c>
      <c r="E5">
        <v>24</v>
      </c>
      <c r="G5" s="2"/>
    </row>
    <row r="6" spans="1:7" x14ac:dyDescent="0.25">
      <c r="A6" s="26" t="s">
        <v>5</v>
      </c>
      <c r="B6" s="33">
        <v>506.71499999999997</v>
      </c>
      <c r="C6" s="2">
        <f t="shared" si="0"/>
        <v>567.55712365591398</v>
      </c>
      <c r="D6">
        <v>13.4</v>
      </c>
      <c r="E6">
        <v>24</v>
      </c>
      <c r="G6" s="2"/>
    </row>
    <row r="7" spans="1:7" x14ac:dyDescent="0.25">
      <c r="A7" s="27" t="s">
        <v>96</v>
      </c>
      <c r="B7" s="33">
        <v>670.24300000000005</v>
      </c>
      <c r="C7" s="2">
        <f t="shared" si="0"/>
        <v>750.72020609318997</v>
      </c>
      <c r="D7">
        <v>2</v>
      </c>
      <c r="E7">
        <v>20</v>
      </c>
      <c r="G7" s="2"/>
    </row>
    <row r="8" spans="1:7" x14ac:dyDescent="0.25">
      <c r="A8" s="25" t="s">
        <v>57</v>
      </c>
      <c r="B8" s="33">
        <v>961.41800000000001</v>
      </c>
      <c r="C8" s="2">
        <f t="shared" si="0"/>
        <v>1076.8570788530465</v>
      </c>
      <c r="D8">
        <v>16.2</v>
      </c>
      <c r="E8">
        <v>20</v>
      </c>
      <c r="G8" s="2"/>
    </row>
    <row r="9" spans="1:7" x14ac:dyDescent="0.25">
      <c r="A9" s="26" t="s">
        <v>6</v>
      </c>
      <c r="B9" s="33">
        <v>1044.585</v>
      </c>
      <c r="C9" s="2">
        <f t="shared" si="0"/>
        <v>1170.0100806451612</v>
      </c>
      <c r="D9">
        <v>14.2</v>
      </c>
      <c r="E9">
        <v>20</v>
      </c>
      <c r="G9" s="2"/>
    </row>
    <row r="10" spans="1:7" x14ac:dyDescent="0.25">
      <c r="A10" s="26" t="s">
        <v>7</v>
      </c>
      <c r="B10" s="33">
        <v>733.84500000000003</v>
      </c>
      <c r="C10" s="2">
        <f t="shared" si="0"/>
        <v>821.95900537634407</v>
      </c>
      <c r="D10">
        <v>17.2</v>
      </c>
      <c r="E10">
        <v>20</v>
      </c>
      <c r="G10" s="2"/>
    </row>
    <row r="11" spans="1:7" x14ac:dyDescent="0.25">
      <c r="A11" s="27" t="s">
        <v>4</v>
      </c>
      <c r="B11" s="33">
        <v>1346.0060000000001</v>
      </c>
      <c r="C11" s="2">
        <f t="shared" si="0"/>
        <v>1507.6232078853047</v>
      </c>
      <c r="D11">
        <v>17.3</v>
      </c>
      <c r="E11">
        <v>20</v>
      </c>
      <c r="G11" s="2"/>
    </row>
    <row r="12" spans="1:7" x14ac:dyDescent="0.25">
      <c r="A12" s="24" t="s">
        <v>88</v>
      </c>
      <c r="B12" s="33">
        <f>B13</f>
        <v>1178.817</v>
      </c>
      <c r="C12" s="2">
        <f t="shared" si="0"/>
        <v>1320.3595430107528</v>
      </c>
      <c r="D12">
        <v>14.6</v>
      </c>
      <c r="E12">
        <v>20</v>
      </c>
      <c r="G12" s="2"/>
    </row>
    <row r="13" spans="1:7" x14ac:dyDescent="0.25">
      <c r="A13" s="25" t="s">
        <v>89</v>
      </c>
      <c r="B13" s="33">
        <f>2357.634/2</f>
        <v>1178.817</v>
      </c>
      <c r="C13" s="2">
        <f t="shared" si="0"/>
        <v>1320.3595430107528</v>
      </c>
      <c r="D13">
        <v>15.6</v>
      </c>
      <c r="E13">
        <v>20</v>
      </c>
    </row>
    <row r="14" spans="1:7" x14ac:dyDescent="0.25">
      <c r="C14" s="2"/>
      <c r="D14" s="2"/>
      <c r="E14" s="25"/>
    </row>
    <row r="15" spans="1:7" x14ac:dyDescent="0.25">
      <c r="A15" s="15" t="s">
        <v>80</v>
      </c>
      <c r="B15">
        <v>10</v>
      </c>
      <c r="C15">
        <v>24</v>
      </c>
      <c r="D15" s="6"/>
      <c r="E15" s="24"/>
    </row>
    <row r="16" spans="1:7" x14ac:dyDescent="0.25">
      <c r="A16" s="15" t="s">
        <v>5</v>
      </c>
      <c r="B16">
        <v>13.4</v>
      </c>
      <c r="C16">
        <v>24</v>
      </c>
      <c r="D16" s="2"/>
      <c r="E16" s="24"/>
    </row>
    <row r="17" spans="1:5" x14ac:dyDescent="0.25">
      <c r="A17" s="16" t="s">
        <v>82</v>
      </c>
      <c r="B17">
        <v>2</v>
      </c>
      <c r="C17">
        <v>20</v>
      </c>
      <c r="E17" s="25"/>
    </row>
    <row r="18" spans="1:5" x14ac:dyDescent="0.25">
      <c r="A18" s="16" t="s">
        <v>57</v>
      </c>
      <c r="B18">
        <v>16.2</v>
      </c>
      <c r="C18">
        <v>20</v>
      </c>
    </row>
    <row r="19" spans="1:5" x14ac:dyDescent="0.25">
      <c r="A19" s="16" t="s">
        <v>6</v>
      </c>
      <c r="B19">
        <v>14.2</v>
      </c>
      <c r="C19">
        <v>20</v>
      </c>
    </row>
    <row r="20" spans="1:5" x14ac:dyDescent="0.25">
      <c r="A20" s="15" t="s">
        <v>7</v>
      </c>
      <c r="B20">
        <v>17.2</v>
      </c>
      <c r="C20">
        <v>20</v>
      </c>
    </row>
    <row r="21" spans="1:5" x14ac:dyDescent="0.25">
      <c r="A21" s="16" t="s">
        <v>4</v>
      </c>
      <c r="B21">
        <v>17.3</v>
      </c>
      <c r="C21">
        <v>20</v>
      </c>
    </row>
    <row r="22" spans="1:5" x14ac:dyDescent="0.25">
      <c r="A22" s="15" t="s">
        <v>88</v>
      </c>
      <c r="B22">
        <v>14.6</v>
      </c>
      <c r="C22">
        <v>20</v>
      </c>
    </row>
    <row r="23" spans="1:5" x14ac:dyDescent="0.25">
      <c r="A23" s="15" t="s">
        <v>89</v>
      </c>
      <c r="B23">
        <v>15.6</v>
      </c>
      <c r="C23">
        <v>20</v>
      </c>
    </row>
  </sheetData>
  <sheetProtection selectLockedCells="1" selectUnlockedCells="1"/>
  <sortState ref="A5:E13">
    <sortCondition ref="A5:A13"/>
  </sortState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7" zoomScale="175" zoomScaleNormal="175" workbookViewId="0">
      <selection activeCell="D7" sqref="D7"/>
    </sheetView>
  </sheetViews>
  <sheetFormatPr defaultRowHeight="13.2" x14ac:dyDescent="0.25"/>
  <cols>
    <col min="1" max="1" width="18.88671875" customWidth="1"/>
  </cols>
  <sheetData>
    <row r="1" spans="1:4" x14ac:dyDescent="0.25">
      <c r="B1" t="s">
        <v>17</v>
      </c>
      <c r="C1" t="s">
        <v>16</v>
      </c>
      <c r="D1" t="s">
        <v>45</v>
      </c>
    </row>
    <row r="2" spans="1:4" x14ac:dyDescent="0.25">
      <c r="A2" t="s">
        <v>34</v>
      </c>
      <c r="B2">
        <v>2</v>
      </c>
      <c r="C2">
        <v>6</v>
      </c>
      <c r="D2">
        <f>B2*C2</f>
        <v>12</v>
      </c>
    </row>
    <row r="3" spans="1:4" x14ac:dyDescent="0.25">
      <c r="A3" t="s">
        <v>44</v>
      </c>
      <c r="B3">
        <v>1.5</v>
      </c>
      <c r="C3">
        <v>2</v>
      </c>
      <c r="D3">
        <f>B3*C3</f>
        <v>3</v>
      </c>
    </row>
    <row r="4" spans="1:4" x14ac:dyDescent="0.25">
      <c r="A4" t="s">
        <v>33</v>
      </c>
      <c r="B4">
        <v>1</v>
      </c>
      <c r="C4">
        <v>1</v>
      </c>
      <c r="D4">
        <f>B4*C4</f>
        <v>1</v>
      </c>
    </row>
    <row r="5" spans="1:4" x14ac:dyDescent="0.25">
      <c r="A5" t="s">
        <v>32</v>
      </c>
      <c r="B5">
        <v>3</v>
      </c>
      <c r="C5">
        <v>1</v>
      </c>
      <c r="D5">
        <f>B5*C5</f>
        <v>3</v>
      </c>
    </row>
    <row r="6" spans="1:4" x14ac:dyDescent="0.25">
      <c r="A6" t="s">
        <v>35</v>
      </c>
      <c r="B6">
        <v>6.5</v>
      </c>
      <c r="C6">
        <v>1</v>
      </c>
      <c r="D6">
        <f>B6*C6</f>
        <v>6.5</v>
      </c>
    </row>
    <row r="7" spans="1:4" x14ac:dyDescent="0.25">
      <c r="A7" t="s">
        <v>36</v>
      </c>
      <c r="D7">
        <f>SUM(D2:D6)</f>
        <v>25.5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zoomScale="145" zoomScaleNormal="145" workbookViewId="0">
      <pane xSplit="1" topLeftCell="AA1" activePane="topRight" state="frozen"/>
      <selection pane="topRight" activeCell="J10" sqref="J10"/>
    </sheetView>
  </sheetViews>
  <sheetFormatPr defaultRowHeight="13.2" x14ac:dyDescent="0.25"/>
  <cols>
    <col min="3" max="4" width="9.6640625" customWidth="1"/>
    <col min="5" max="5" width="9.5546875" customWidth="1"/>
    <col min="7" max="7" width="10.88671875" customWidth="1"/>
    <col min="10" max="10" width="10" customWidth="1"/>
    <col min="12" max="12" width="13" customWidth="1"/>
    <col min="15" max="15" width="12.44140625" customWidth="1"/>
    <col min="16" max="16" width="11.6640625" customWidth="1"/>
    <col min="18" max="18" width="10.88671875" customWidth="1"/>
    <col min="19" max="19" width="9.5546875" bestFit="1" customWidth="1"/>
    <col min="20" max="20" width="9" customWidth="1"/>
    <col min="21" max="21" width="10" bestFit="1" customWidth="1"/>
    <col min="22" max="22" width="11.5546875" bestFit="1" customWidth="1"/>
    <col min="23" max="23" width="9.5546875" bestFit="1" customWidth="1"/>
    <col min="25" max="25" width="11.109375" customWidth="1"/>
    <col min="31" max="31" width="10.5546875" bestFit="1" customWidth="1"/>
  </cols>
  <sheetData>
    <row r="1" spans="1:40" x14ac:dyDescent="0.25">
      <c r="A1" t="s">
        <v>8</v>
      </c>
      <c r="B1">
        <v>978</v>
      </c>
      <c r="C1" t="s">
        <v>9</v>
      </c>
      <c r="D1" t="s">
        <v>41</v>
      </c>
      <c r="F1" t="s">
        <v>12</v>
      </c>
      <c r="G1">
        <v>2.5999999999999999E-2</v>
      </c>
      <c r="H1" t="s">
        <v>13</v>
      </c>
      <c r="I1" t="s">
        <v>39</v>
      </c>
    </row>
    <row r="2" spans="1:40" x14ac:dyDescent="0.25">
      <c r="A2" t="s">
        <v>10</v>
      </c>
      <c r="B2" s="3">
        <v>4.0099999999999999E-4</v>
      </c>
      <c r="C2" t="s">
        <v>11</v>
      </c>
      <c r="D2" t="s">
        <v>42</v>
      </c>
      <c r="F2" t="s">
        <v>14</v>
      </c>
      <c r="G2">
        <v>3</v>
      </c>
      <c r="I2" t="s">
        <v>38</v>
      </c>
      <c r="M2" s="12"/>
      <c r="O2" t="s">
        <v>60</v>
      </c>
    </row>
    <row r="3" spans="1:40" x14ac:dyDescent="0.25">
      <c r="A3" t="s">
        <v>46</v>
      </c>
      <c r="B3">
        <v>4190</v>
      </c>
      <c r="C3" t="s">
        <v>47</v>
      </c>
      <c r="M3" s="2"/>
      <c r="O3" t="s">
        <v>58</v>
      </c>
    </row>
    <row r="4" spans="1:40" x14ac:dyDescent="0.25">
      <c r="F4" t="s">
        <v>18</v>
      </c>
      <c r="G4">
        <v>10</v>
      </c>
      <c r="H4" t="s">
        <v>57</v>
      </c>
      <c r="I4" t="s">
        <v>37</v>
      </c>
    </row>
    <row r="5" spans="1:40" x14ac:dyDescent="0.25">
      <c r="A5" t="s">
        <v>40</v>
      </c>
      <c r="E5" t="s">
        <v>43</v>
      </c>
      <c r="O5" t="s">
        <v>59</v>
      </c>
      <c r="Q5">
        <v>55</v>
      </c>
      <c r="R5" t="s">
        <v>56</v>
      </c>
    </row>
    <row r="6" spans="1:40" x14ac:dyDescent="0.25">
      <c r="W6" t="s">
        <v>95</v>
      </c>
      <c r="X6" t="s">
        <v>93</v>
      </c>
    </row>
    <row r="7" spans="1:40" x14ac:dyDescent="0.25">
      <c r="B7" s="4" t="s">
        <v>19</v>
      </c>
      <c r="C7" s="4" t="s">
        <v>2</v>
      </c>
      <c r="D7" t="s">
        <v>85</v>
      </c>
      <c r="E7" t="s">
        <v>69</v>
      </c>
      <c r="F7" t="s">
        <v>113</v>
      </c>
      <c r="G7" t="s">
        <v>94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t="s">
        <v>62</v>
      </c>
      <c r="P7" t="s">
        <v>83</v>
      </c>
      <c r="Q7" t="s">
        <v>84</v>
      </c>
      <c r="R7" t="s">
        <v>48</v>
      </c>
      <c r="S7" t="s">
        <v>63</v>
      </c>
      <c r="T7" t="s">
        <v>65</v>
      </c>
      <c r="U7" t="s">
        <v>61</v>
      </c>
      <c r="V7" t="s">
        <v>66</v>
      </c>
      <c r="W7" t="s">
        <v>27</v>
      </c>
      <c r="X7" t="s">
        <v>49</v>
      </c>
      <c r="Y7" t="s">
        <v>50</v>
      </c>
      <c r="Z7" t="s">
        <v>97</v>
      </c>
      <c r="AA7" t="s">
        <v>51</v>
      </c>
      <c r="AB7" t="s">
        <v>52</v>
      </c>
      <c r="AC7" t="s">
        <v>53</v>
      </c>
      <c r="AD7" t="s">
        <v>16</v>
      </c>
      <c r="AE7" t="s">
        <v>55</v>
      </c>
      <c r="AF7" t="s">
        <v>54</v>
      </c>
      <c r="AG7" t="s">
        <v>67</v>
      </c>
      <c r="AH7" t="s">
        <v>68</v>
      </c>
      <c r="AI7" t="s">
        <v>86</v>
      </c>
      <c r="AJ7" t="s">
        <v>87</v>
      </c>
      <c r="AK7" t="s">
        <v>110</v>
      </c>
      <c r="AL7" t="s">
        <v>112</v>
      </c>
      <c r="AM7" t="s">
        <v>115</v>
      </c>
    </row>
    <row r="8" spans="1:40" x14ac:dyDescent="0.25">
      <c r="B8" s="4" t="s">
        <v>13</v>
      </c>
      <c r="C8" s="4" t="s">
        <v>28</v>
      </c>
      <c r="D8" t="s">
        <v>56</v>
      </c>
      <c r="E8" t="s">
        <v>13</v>
      </c>
      <c r="G8" t="s">
        <v>29</v>
      </c>
      <c r="H8" t="s">
        <v>30</v>
      </c>
      <c r="K8" t="s">
        <v>31</v>
      </c>
      <c r="L8" t="s">
        <v>15</v>
      </c>
      <c r="M8" t="s">
        <v>15</v>
      </c>
      <c r="N8" t="s">
        <v>15</v>
      </c>
      <c r="P8" t="s">
        <v>15</v>
      </c>
      <c r="R8" t="s">
        <v>15</v>
      </c>
      <c r="S8" t="s">
        <v>15</v>
      </c>
      <c r="T8" t="s">
        <v>64</v>
      </c>
      <c r="W8" t="s">
        <v>15</v>
      </c>
      <c r="Y8" t="s">
        <v>90</v>
      </c>
      <c r="AG8" t="s">
        <v>28</v>
      </c>
      <c r="AJ8" t="s">
        <v>13</v>
      </c>
      <c r="AK8" t="s">
        <v>111</v>
      </c>
      <c r="AL8" t="s">
        <v>114</v>
      </c>
    </row>
    <row r="9" spans="1:40" s="18" customFormat="1" x14ac:dyDescent="0.25">
      <c r="A9" t="s">
        <v>80</v>
      </c>
      <c r="B9" s="18">
        <f>'potenze per terminale'!D5</f>
        <v>10</v>
      </c>
      <c r="C9" s="19">
        <f>'potenze per terminale'!C5</f>
        <v>794.23723118279565</v>
      </c>
      <c r="D9" s="18">
        <f>'potenze per terminale'!E5</f>
        <v>24</v>
      </c>
      <c r="E9" s="18">
        <v>0.01</v>
      </c>
      <c r="F9" s="18">
        <v>7.9000000000000001E-2</v>
      </c>
      <c r="G9" s="17">
        <f t="shared" ref="G9:G17" si="0">C9/rho/cp/Dt</f>
        <v>1.9381945307085125E-5</v>
      </c>
      <c r="H9" s="20">
        <f t="shared" ref="H9:H17" si="1">G9/PI()/E9^2*4</f>
        <v>0.2467785921887489</v>
      </c>
      <c r="I9" s="21">
        <f t="shared" ref="I9:I17" si="2">rho*H9*E9/mu</f>
        <v>6018.6898543789639</v>
      </c>
      <c r="J9" s="22">
        <f>0.316*I9^-0.25</f>
        <v>3.5876625852144232E-2</v>
      </c>
      <c r="K9" s="21">
        <f t="shared" ref="K9:K17" si="3">J9*0.5*rho*H9^2/E9</f>
        <v>106.84037786304729</v>
      </c>
      <c r="L9" s="17">
        <f t="shared" ref="L9:L17" si="4">K9*B9</f>
        <v>1068.403778630473</v>
      </c>
      <c r="M9" s="21">
        <f>'Perdite carico concentrate'!$D$7*0.5*rho*H9^2</f>
        <v>759.38847948959926</v>
      </c>
      <c r="N9" s="21">
        <f>L9+M9</f>
        <v>1827.7922581200723</v>
      </c>
      <c r="O9" s="18">
        <v>0.5</v>
      </c>
      <c r="P9" s="23">
        <f>(G9*3600/O9)^2*100000</f>
        <v>1947.420423349374</v>
      </c>
      <c r="Q9" s="21">
        <f>N9+P9</f>
        <v>3775.2126814694466</v>
      </c>
      <c r="R9" s="23">
        <f t="shared" ref="R9:R17" si="5">$Q$19</f>
        <v>15426.992873619643</v>
      </c>
      <c r="S9" s="21">
        <f>R9-N9</f>
        <v>13599.200615499571</v>
      </c>
      <c r="T9" s="20">
        <f>G9*3600/SQRT(S9/100000)</f>
        <v>0.18920960288817082</v>
      </c>
      <c r="U9" s="23">
        <v>3</v>
      </c>
      <c r="V9" s="23">
        <v>0.22</v>
      </c>
      <c r="W9" s="21">
        <f>(G9*3600/V9)^2*100000</f>
        <v>10058.989790027757</v>
      </c>
      <c r="X9" s="23">
        <f>N9+W9</f>
        <v>11886.78204814783</v>
      </c>
      <c r="Y9" s="17">
        <f>G9*(R9/X9)^0.525</f>
        <v>2.2224718957018885E-5</v>
      </c>
      <c r="Z9" s="17">
        <f>(Y9-G9)/G9*100</f>
        <v>14.667122442526836</v>
      </c>
      <c r="AA9" s="23">
        <f t="shared" ref="AA9:AA17" si="6">C9/rho/cp/Y9</f>
        <v>8.7208955688341927</v>
      </c>
      <c r="AB9" s="23">
        <f t="shared" ref="AB9:AB17" si="7">t_mi-AA9/2</f>
        <v>50.639552215582903</v>
      </c>
      <c r="AC9" s="23">
        <f t="shared" ref="AC9:AC17" si="8">AB9-D9</f>
        <v>26.639552215582903</v>
      </c>
      <c r="AD9" s="20">
        <v>1.3015000000000001</v>
      </c>
      <c r="AE9" s="21">
        <v>30</v>
      </c>
      <c r="AF9" s="23">
        <f t="shared" ref="AF9:AF17" si="9">C9*(AE9/AC9)^AD9</f>
        <v>927.04382932935698</v>
      </c>
      <c r="AG9" s="21">
        <v>73.8</v>
      </c>
      <c r="AH9" s="20">
        <f>AF9/AG9</f>
        <v>12.561569503107819</v>
      </c>
      <c r="AI9" s="18">
        <v>13</v>
      </c>
      <c r="AJ9" s="18">
        <f>AI9*0.08</f>
        <v>1.04</v>
      </c>
      <c r="AK9" s="18">
        <v>0.28999999999999998</v>
      </c>
      <c r="AL9" s="18">
        <f>AK9*AI9</f>
        <v>3.7699999999999996</v>
      </c>
      <c r="AM9" s="18">
        <f>F9*B9</f>
        <v>0.79</v>
      </c>
      <c r="AN9" s="23">
        <f>AL9+AM9</f>
        <v>4.5599999999999996</v>
      </c>
    </row>
    <row r="10" spans="1:40" x14ac:dyDescent="0.25">
      <c r="A10" t="s">
        <v>5</v>
      </c>
      <c r="B10" s="18">
        <f>'potenze per terminale'!D6</f>
        <v>13.4</v>
      </c>
      <c r="C10" s="19">
        <f>'potenze per terminale'!C6</f>
        <v>567.55712365591398</v>
      </c>
      <c r="D10" s="18">
        <f>'potenze per terminale'!E6</f>
        <v>24</v>
      </c>
      <c r="E10" s="18">
        <v>0.01</v>
      </c>
      <c r="F10" s="18">
        <v>7.9000000000000001E-2</v>
      </c>
      <c r="G10" s="17">
        <f t="shared" si="0"/>
        <v>1.3850220938350488E-5</v>
      </c>
      <c r="H10" s="20">
        <f t="shared" si="1"/>
        <v>0.17634649002026792</v>
      </c>
      <c r="I10" s="21">
        <f t="shared" si="2"/>
        <v>4300.9193825392031</v>
      </c>
      <c r="J10" s="22">
        <f t="shared" ref="J10:J17" si="10">0.316*I10^-0.25</f>
        <v>3.9020852838706016E-2</v>
      </c>
      <c r="K10" s="21">
        <f t="shared" si="3"/>
        <v>59.338867866317969</v>
      </c>
      <c r="L10" s="17">
        <f t="shared" si="4"/>
        <v>795.14082940866081</v>
      </c>
      <c r="M10" s="21">
        <f>'Perdite carico concentrate'!$D$7*0.5*rho*H10^2</f>
        <v>387.77756520231037</v>
      </c>
      <c r="N10" s="21">
        <f t="shared" ref="N10:N17" si="11">L10+M10</f>
        <v>1182.9183946109711</v>
      </c>
      <c r="O10" s="18">
        <v>0.5</v>
      </c>
      <c r="P10" s="23">
        <f t="shared" ref="P10:P17" si="12">(G10*3600/O10)^2*100000</f>
        <v>994.43956629317768</v>
      </c>
      <c r="Q10" s="21">
        <f t="shared" ref="Q10:Q17" si="13">N10+P10</f>
        <v>2177.357960904149</v>
      </c>
      <c r="R10" s="23">
        <f t="shared" si="5"/>
        <v>15426.992873619643</v>
      </c>
      <c r="S10" s="21">
        <f t="shared" ref="S10:S17" si="14">R10-N10</f>
        <v>14244.074479008672</v>
      </c>
      <c r="T10" s="20">
        <f t="shared" ref="T10:T17" si="15">G10*3600/SQRT(S10/100000)</f>
        <v>0.13211194430348716</v>
      </c>
      <c r="U10" s="2">
        <v>2</v>
      </c>
      <c r="V10" s="2">
        <v>0.15</v>
      </c>
      <c r="W10" s="21">
        <f t="shared" ref="W10:W17" si="16">(G10*3600/V10)^2*100000</f>
        <v>11049.328514368643</v>
      </c>
      <c r="X10" s="23">
        <f t="shared" ref="X10:X17" si="17">N10+W10</f>
        <v>12232.246908979614</v>
      </c>
      <c r="Y10" s="17">
        <f t="shared" ref="Y10:Y17" si="18">G10*(R10/X10)^0.525</f>
        <v>1.5644568795739124E-5</v>
      </c>
      <c r="Z10" s="17">
        <f t="shared" ref="Z10:Z17" si="19">(Y10-G10)/G10*100</f>
        <v>12.955373530686337</v>
      </c>
      <c r="AA10" s="23">
        <f t="shared" si="6"/>
        <v>8.8530538100370428</v>
      </c>
      <c r="AB10" s="23">
        <f t="shared" si="7"/>
        <v>50.57347309498148</v>
      </c>
      <c r="AC10" s="23">
        <f t="shared" si="8"/>
        <v>26.57347309498148</v>
      </c>
      <c r="AD10" s="20">
        <v>1.3015000000000001</v>
      </c>
      <c r="AE10" s="21">
        <v>30</v>
      </c>
      <c r="AF10" s="23">
        <f t="shared" si="9"/>
        <v>664.60469399039107</v>
      </c>
      <c r="AG10" s="21">
        <v>73.8</v>
      </c>
      <c r="AH10" s="20">
        <f t="shared" ref="AH10:AH17" si="20">AF10/AG10</f>
        <v>9.0054836584063835</v>
      </c>
      <c r="AI10" s="18">
        <v>9</v>
      </c>
      <c r="AJ10" s="18">
        <f t="shared" ref="AJ10:AJ17" si="21">AI10*0.08</f>
        <v>0.72</v>
      </c>
      <c r="AK10" s="18">
        <v>0.28999999999999998</v>
      </c>
      <c r="AL10" s="18">
        <f t="shared" ref="AL10:AL17" si="22">AK10*AI10</f>
        <v>2.61</v>
      </c>
      <c r="AM10" s="18">
        <f t="shared" ref="AM10:AM17" si="23">F10*B10</f>
        <v>1.0586</v>
      </c>
      <c r="AN10" s="23">
        <f t="shared" ref="AN10:AN17" si="24">AL10+AM10</f>
        <v>3.6685999999999996</v>
      </c>
    </row>
    <row r="11" spans="1:40" x14ac:dyDescent="0.25">
      <c r="A11" t="s">
        <v>96</v>
      </c>
      <c r="B11" s="18">
        <f>'potenze per terminale'!D7</f>
        <v>2</v>
      </c>
      <c r="C11" s="19">
        <f>'potenze per terminale'!C7</f>
        <v>750.72020609318997</v>
      </c>
      <c r="D11" s="18">
        <f>'potenze per terminale'!E7</f>
        <v>20</v>
      </c>
      <c r="E11" s="18">
        <v>0.01</v>
      </c>
      <c r="F11" s="18">
        <v>7.9000000000000001E-2</v>
      </c>
      <c r="G11" s="17">
        <f t="shared" si="0"/>
        <v>1.8319989801728479E-5</v>
      </c>
      <c r="H11" s="20">
        <f t="shared" si="1"/>
        <v>0.23325735474705592</v>
      </c>
      <c r="I11" s="21">
        <f t="shared" si="2"/>
        <v>5688.9200235067501</v>
      </c>
      <c r="J11" s="22">
        <f t="shared" si="10"/>
        <v>3.6385607094183786E-2</v>
      </c>
      <c r="K11" s="21">
        <f t="shared" si="3"/>
        <v>96.807538385745559</v>
      </c>
      <c r="L11" s="17">
        <f t="shared" si="4"/>
        <v>193.61507677149112</v>
      </c>
      <c r="M11" s="21">
        <f>'Perdite carico concentrate'!$D$7*0.5*rho*H11^2</f>
        <v>678.45294499184399</v>
      </c>
      <c r="N11" s="21">
        <f t="shared" si="11"/>
        <v>872.06802176333508</v>
      </c>
      <c r="O11" s="18">
        <v>0.5</v>
      </c>
      <c r="P11" s="23">
        <f t="shared" si="12"/>
        <v>1739.8645845228975</v>
      </c>
      <c r="Q11" s="21">
        <f t="shared" si="13"/>
        <v>2611.9326062862328</v>
      </c>
      <c r="R11" s="23">
        <f t="shared" si="5"/>
        <v>15426.992873619643</v>
      </c>
      <c r="S11" s="21">
        <f t="shared" si="14"/>
        <v>14554.924851856309</v>
      </c>
      <c r="T11" s="20">
        <f t="shared" si="15"/>
        <v>0.17287123896791673</v>
      </c>
      <c r="U11" s="2">
        <v>2</v>
      </c>
      <c r="V11" s="2">
        <v>0.15</v>
      </c>
      <c r="W11" s="21">
        <f t="shared" si="16"/>
        <v>19331.828716921085</v>
      </c>
      <c r="X11" s="23">
        <f t="shared" si="17"/>
        <v>20203.89673868442</v>
      </c>
      <c r="Y11" s="17">
        <f t="shared" si="18"/>
        <v>1.590081740337227E-5</v>
      </c>
      <c r="Z11" s="17">
        <f t="shared" si="19"/>
        <v>-13.205096861614857</v>
      </c>
      <c r="AA11" s="23">
        <f t="shared" si="6"/>
        <v>11.521413860046684</v>
      </c>
      <c r="AB11" s="23">
        <f t="shared" si="7"/>
        <v>49.239293069976661</v>
      </c>
      <c r="AC11" s="23">
        <f t="shared" si="8"/>
        <v>29.239293069976661</v>
      </c>
      <c r="AD11" s="20">
        <v>1.3015000000000001</v>
      </c>
      <c r="AE11" s="21">
        <v>30</v>
      </c>
      <c r="AF11" s="23">
        <f t="shared" si="9"/>
        <v>776.23914363175538</v>
      </c>
      <c r="AG11" s="21">
        <v>73.8</v>
      </c>
      <c r="AH11" s="20">
        <f t="shared" si="20"/>
        <v>10.518145577666063</v>
      </c>
      <c r="AI11" s="18">
        <v>11</v>
      </c>
      <c r="AJ11" s="18">
        <f t="shared" si="21"/>
        <v>0.88</v>
      </c>
      <c r="AK11" s="18">
        <v>0.28999999999999998</v>
      </c>
      <c r="AL11" s="18">
        <f t="shared" si="22"/>
        <v>3.19</v>
      </c>
      <c r="AM11" s="18">
        <f t="shared" si="23"/>
        <v>0.158</v>
      </c>
      <c r="AN11" s="23">
        <f t="shared" si="24"/>
        <v>3.3479999999999999</v>
      </c>
    </row>
    <row r="12" spans="1:40" x14ac:dyDescent="0.25">
      <c r="A12" t="s">
        <v>57</v>
      </c>
      <c r="B12" s="18">
        <f>'potenze per terminale'!D8</f>
        <v>16.2</v>
      </c>
      <c r="C12" s="19">
        <f>'potenze per terminale'!C8</f>
        <v>1076.8570788530465</v>
      </c>
      <c r="D12" s="18">
        <f>'potenze per terminale'!E8</f>
        <v>20</v>
      </c>
      <c r="E12" s="18">
        <v>0.01</v>
      </c>
      <c r="F12" s="18">
        <v>7.9000000000000001E-2</v>
      </c>
      <c r="G12" s="17">
        <f t="shared" si="0"/>
        <v>2.6278779420595497E-5</v>
      </c>
      <c r="H12" s="20">
        <f t="shared" si="1"/>
        <v>0.33459181145674771</v>
      </c>
      <c r="I12" s="21">
        <f t="shared" si="2"/>
        <v>8160.3688679476136</v>
      </c>
      <c r="J12" s="22">
        <f t="shared" si="10"/>
        <v>3.3247549021688784E-2</v>
      </c>
      <c r="K12" s="21">
        <f t="shared" si="3"/>
        <v>182.01161805511114</v>
      </c>
      <c r="L12" s="17">
        <f t="shared" si="4"/>
        <v>2948.5882124928003</v>
      </c>
      <c r="M12" s="21">
        <f>'Perdite carico concentrate'!$D$7*0.5*rho*H12^2</f>
        <v>1395.9814774248835</v>
      </c>
      <c r="N12" s="21">
        <f t="shared" si="11"/>
        <v>4344.5696899176837</v>
      </c>
      <c r="O12" s="18">
        <v>0.5</v>
      </c>
      <c r="P12" s="23">
        <f t="shared" si="12"/>
        <v>3579.936900783448</v>
      </c>
      <c r="Q12" s="21">
        <f t="shared" si="13"/>
        <v>7924.5065907011322</v>
      </c>
      <c r="R12" s="23">
        <f t="shared" si="5"/>
        <v>15426.992873619643</v>
      </c>
      <c r="S12" s="21">
        <f t="shared" si="14"/>
        <v>11082.42318370196</v>
      </c>
      <c r="T12" s="20">
        <f t="shared" si="15"/>
        <v>0.28417791624418159</v>
      </c>
      <c r="U12" s="2">
        <v>3</v>
      </c>
      <c r="V12" s="2">
        <v>0.22</v>
      </c>
      <c r="W12" s="21">
        <f t="shared" si="16"/>
        <v>18491.409611484756</v>
      </c>
      <c r="X12" s="23">
        <f t="shared" si="17"/>
        <v>22835.97930140244</v>
      </c>
      <c r="Y12" s="17">
        <f t="shared" si="18"/>
        <v>2.1388363163778342E-5</v>
      </c>
      <c r="Z12" s="17">
        <f t="shared" si="19"/>
        <v>-18.609754199559141</v>
      </c>
      <c r="AA12" s="23">
        <f t="shared" si="6"/>
        <v>12.286484580128684</v>
      </c>
      <c r="AB12" s="23">
        <f t="shared" si="7"/>
        <v>48.856757709935657</v>
      </c>
      <c r="AC12" s="23">
        <f t="shared" si="8"/>
        <v>28.856757709935657</v>
      </c>
      <c r="AD12" s="20">
        <v>1.3015000000000001</v>
      </c>
      <c r="AE12" s="21">
        <v>30</v>
      </c>
      <c r="AF12" s="23">
        <f t="shared" si="9"/>
        <v>1132.7112557152707</v>
      </c>
      <c r="AG12" s="21">
        <v>73.8</v>
      </c>
      <c r="AH12" s="20">
        <f t="shared" si="20"/>
        <v>15.348390998851906</v>
      </c>
      <c r="AI12" s="18">
        <v>16</v>
      </c>
      <c r="AJ12" s="18">
        <f t="shared" si="21"/>
        <v>1.28</v>
      </c>
      <c r="AK12" s="18">
        <v>0.28999999999999998</v>
      </c>
      <c r="AL12" s="18">
        <f t="shared" si="22"/>
        <v>4.6399999999999997</v>
      </c>
      <c r="AM12" s="18">
        <f t="shared" si="23"/>
        <v>1.2798</v>
      </c>
      <c r="AN12" s="23">
        <f t="shared" si="24"/>
        <v>5.9197999999999995</v>
      </c>
    </row>
    <row r="13" spans="1:40" x14ac:dyDescent="0.25">
      <c r="A13" t="s">
        <v>6</v>
      </c>
      <c r="B13" s="18">
        <f>'potenze per terminale'!D9</f>
        <v>14.2</v>
      </c>
      <c r="C13" s="19">
        <f>'potenze per terminale'!C9</f>
        <v>1170.0100806451612</v>
      </c>
      <c r="D13" s="18">
        <f>'potenze per terminale'!E9</f>
        <v>20</v>
      </c>
      <c r="E13" s="18">
        <v>0.01</v>
      </c>
      <c r="F13" s="18">
        <v>7.9000000000000001E-2</v>
      </c>
      <c r="G13" s="17">
        <f t="shared" si="0"/>
        <v>2.855201254923743E-5</v>
      </c>
      <c r="H13" s="20">
        <f t="shared" si="1"/>
        <v>0.36353551459463718</v>
      </c>
      <c r="I13" s="21">
        <f t="shared" si="2"/>
        <v>8866.2776377445171</v>
      </c>
      <c r="J13" s="22">
        <f t="shared" si="10"/>
        <v>3.2565050122925723E-2</v>
      </c>
      <c r="K13" s="21">
        <f t="shared" si="3"/>
        <v>210.45260168561498</v>
      </c>
      <c r="L13" s="17">
        <f t="shared" si="4"/>
        <v>2988.4269439357327</v>
      </c>
      <c r="M13" s="21">
        <f>'Perdite carico concentrate'!$D$7*0.5*rho*H13^2</f>
        <v>1647.9450584985125</v>
      </c>
      <c r="N13" s="21">
        <f t="shared" si="11"/>
        <v>4636.3720024342456</v>
      </c>
      <c r="O13" s="18">
        <v>0.5</v>
      </c>
      <c r="P13" s="23">
        <f t="shared" si="12"/>
        <v>4226.087108451632</v>
      </c>
      <c r="Q13" s="21">
        <f t="shared" si="13"/>
        <v>8862.4591108858767</v>
      </c>
      <c r="R13" s="23">
        <f t="shared" si="5"/>
        <v>15426.992873619643</v>
      </c>
      <c r="S13" s="21">
        <f t="shared" si="14"/>
        <v>10790.620871185398</v>
      </c>
      <c r="T13" s="20">
        <f t="shared" si="15"/>
        <v>0.31290752658963894</v>
      </c>
      <c r="U13" s="2">
        <v>4</v>
      </c>
      <c r="V13" s="2">
        <v>0.35</v>
      </c>
      <c r="W13" s="21">
        <f t="shared" si="16"/>
        <v>8624.6675682686382</v>
      </c>
      <c r="X13" s="23">
        <f t="shared" si="17"/>
        <v>13261.039570702884</v>
      </c>
      <c r="Y13" s="17">
        <f t="shared" si="18"/>
        <v>3.0912289533746335E-5</v>
      </c>
      <c r="Z13" s="17">
        <f t="shared" si="19"/>
        <v>8.2665870941274271</v>
      </c>
      <c r="AA13" s="23">
        <f t="shared" si="6"/>
        <v>9.2364599904732909</v>
      </c>
      <c r="AB13" s="23">
        <f t="shared" si="7"/>
        <v>50.381770004763354</v>
      </c>
      <c r="AC13" s="23">
        <f t="shared" si="8"/>
        <v>30.381770004763354</v>
      </c>
      <c r="AD13" s="20">
        <v>1.3015000000000001</v>
      </c>
      <c r="AE13" s="21">
        <v>30</v>
      </c>
      <c r="AF13" s="23">
        <f t="shared" si="9"/>
        <v>1150.9116965167159</v>
      </c>
      <c r="AG13" s="21">
        <v>73.8</v>
      </c>
      <c r="AH13" s="20">
        <f t="shared" si="20"/>
        <v>15.595009437895881</v>
      </c>
      <c r="AI13" s="18">
        <v>16</v>
      </c>
      <c r="AJ13" s="18">
        <f t="shared" si="21"/>
        <v>1.28</v>
      </c>
      <c r="AK13" s="18">
        <v>0.28999999999999998</v>
      </c>
      <c r="AL13" s="18">
        <f t="shared" si="22"/>
        <v>4.6399999999999997</v>
      </c>
      <c r="AM13" s="18">
        <f t="shared" si="23"/>
        <v>1.1217999999999999</v>
      </c>
      <c r="AN13" s="23">
        <f t="shared" si="24"/>
        <v>5.7617999999999991</v>
      </c>
    </row>
    <row r="14" spans="1:40" x14ac:dyDescent="0.25">
      <c r="A14" t="s">
        <v>7</v>
      </c>
      <c r="B14" s="18">
        <f>'potenze per terminale'!D10</f>
        <v>17.2</v>
      </c>
      <c r="C14" s="19">
        <f>'potenze per terminale'!C10</f>
        <v>821.95900537634407</v>
      </c>
      <c r="D14" s="18">
        <f>'potenze per terminale'!E10</f>
        <v>20</v>
      </c>
      <c r="E14" s="18">
        <v>0.01</v>
      </c>
      <c r="F14" s="18">
        <v>7.9000000000000001E-2</v>
      </c>
      <c r="G14" s="17">
        <f t="shared" si="0"/>
        <v>2.0058445841358186E-5</v>
      </c>
      <c r="H14" s="20">
        <f t="shared" si="1"/>
        <v>0.25539206451145813</v>
      </c>
      <c r="I14" s="21">
        <f t="shared" si="2"/>
        <v>6228.7640671373083</v>
      </c>
      <c r="J14" s="22">
        <f t="shared" si="10"/>
        <v>3.5570225003126461E-2</v>
      </c>
      <c r="K14" s="21">
        <f t="shared" si="3"/>
        <v>113.45150701819865</v>
      </c>
      <c r="L14" s="17">
        <f t="shared" si="4"/>
        <v>1951.3659207130167</v>
      </c>
      <c r="M14" s="21">
        <f>'Perdite carico concentrate'!$D$7*0.5*rho*H14^2</f>
        <v>813.32446694103942</v>
      </c>
      <c r="N14" s="21">
        <f t="shared" si="11"/>
        <v>2764.6903876540564</v>
      </c>
      <c r="O14" s="18">
        <v>0.5</v>
      </c>
      <c r="P14" s="23">
        <f t="shared" si="12"/>
        <v>2085.737037774506</v>
      </c>
      <c r="Q14" s="21">
        <f t="shared" si="13"/>
        <v>4850.4274254285629</v>
      </c>
      <c r="R14" s="23">
        <f t="shared" si="5"/>
        <v>15426.992873619643</v>
      </c>
      <c r="S14" s="21">
        <f t="shared" si="14"/>
        <v>12662.302485965587</v>
      </c>
      <c r="T14" s="20">
        <f t="shared" si="15"/>
        <v>0.20292868399096664</v>
      </c>
      <c r="U14" s="2">
        <v>3</v>
      </c>
      <c r="V14" s="2">
        <v>0.22</v>
      </c>
      <c r="W14" s="21">
        <f t="shared" si="16"/>
        <v>10773.435112471621</v>
      </c>
      <c r="X14" s="23">
        <f t="shared" si="17"/>
        <v>13538.125500125678</v>
      </c>
      <c r="Y14" s="17">
        <f t="shared" si="18"/>
        <v>2.1482099329518418E-5</v>
      </c>
      <c r="Z14" s="17">
        <f t="shared" si="19"/>
        <v>7.0975263957131896</v>
      </c>
      <c r="AA14" s="23">
        <f t="shared" si="6"/>
        <v>9.3372838164824987</v>
      </c>
      <c r="AB14" s="23">
        <f t="shared" si="7"/>
        <v>50.331358091758752</v>
      </c>
      <c r="AC14" s="23">
        <f t="shared" si="8"/>
        <v>30.331358091758752</v>
      </c>
      <c r="AD14" s="20">
        <v>1.3015000000000001</v>
      </c>
      <c r="AE14" s="21">
        <v>30</v>
      </c>
      <c r="AF14" s="23">
        <f t="shared" si="9"/>
        <v>810.29138201163266</v>
      </c>
      <c r="AG14" s="21">
        <v>73.8</v>
      </c>
      <c r="AH14" s="20">
        <f t="shared" si="20"/>
        <v>10.979558021837841</v>
      </c>
      <c r="AI14" s="18">
        <v>11</v>
      </c>
      <c r="AJ14" s="18">
        <f t="shared" si="21"/>
        <v>0.88</v>
      </c>
      <c r="AK14" s="18">
        <v>0.28999999999999998</v>
      </c>
      <c r="AL14" s="18">
        <f t="shared" si="22"/>
        <v>3.19</v>
      </c>
      <c r="AM14" s="18">
        <f t="shared" si="23"/>
        <v>1.3588</v>
      </c>
      <c r="AN14" s="23">
        <f t="shared" si="24"/>
        <v>4.5488</v>
      </c>
    </row>
    <row r="15" spans="1:40" x14ac:dyDescent="0.25">
      <c r="A15" t="s">
        <v>4</v>
      </c>
      <c r="B15" s="18">
        <f>'potenze per terminale'!D11</f>
        <v>17.3</v>
      </c>
      <c r="C15" s="19">
        <f>'potenze per terminale'!C11</f>
        <v>1507.6232078853047</v>
      </c>
      <c r="D15" s="18">
        <f>'potenze per terminale'!E11</f>
        <v>20</v>
      </c>
      <c r="E15" s="18">
        <v>0.01</v>
      </c>
      <c r="F15" s="18">
        <v>7.9000000000000001E-2</v>
      </c>
      <c r="G15" s="17">
        <f t="shared" si="0"/>
        <v>3.679085972261604E-5</v>
      </c>
      <c r="H15" s="20">
        <f t="shared" si="1"/>
        <v>0.46843577483638882</v>
      </c>
      <c r="I15" s="21">
        <f t="shared" si="2"/>
        <v>11424.692962343846</v>
      </c>
      <c r="J15" s="22">
        <f t="shared" si="10"/>
        <v>3.0565108958433854E-2</v>
      </c>
      <c r="K15" s="21">
        <f t="shared" si="3"/>
        <v>327.97060247709163</v>
      </c>
      <c r="L15" s="17">
        <f t="shared" si="4"/>
        <v>5673.8914228536851</v>
      </c>
      <c r="M15" s="21">
        <f>'Perdite carico concentrate'!$D$7*0.5*rho*H15^2</f>
        <v>2736.2082610401289</v>
      </c>
      <c r="N15" s="21">
        <f t="shared" si="11"/>
        <v>8410.0996838938136</v>
      </c>
      <c r="O15" s="18">
        <v>0.5</v>
      </c>
      <c r="P15" s="37">
        <f t="shared" si="12"/>
        <v>7016.8931897258299</v>
      </c>
      <c r="Q15" s="21">
        <f t="shared" si="13"/>
        <v>15426.992873619643</v>
      </c>
      <c r="R15" s="23">
        <f t="shared" si="5"/>
        <v>15426.992873619643</v>
      </c>
      <c r="S15" s="38">
        <f t="shared" si="14"/>
        <v>7016.8931897258299</v>
      </c>
      <c r="T15" s="20">
        <f t="shared" si="15"/>
        <v>0.5</v>
      </c>
      <c r="U15" s="2">
        <v>5</v>
      </c>
      <c r="V15" s="2">
        <v>0.5</v>
      </c>
      <c r="W15" s="38">
        <f t="shared" si="16"/>
        <v>7016.8931897258299</v>
      </c>
      <c r="X15" s="23">
        <f t="shared" si="17"/>
        <v>15426.992873619643</v>
      </c>
      <c r="Y15" s="17">
        <f t="shared" si="18"/>
        <v>3.679085972261604E-5</v>
      </c>
      <c r="Z15" s="17">
        <f t="shared" si="19"/>
        <v>0</v>
      </c>
      <c r="AA15" s="23">
        <f t="shared" si="6"/>
        <v>10</v>
      </c>
      <c r="AB15" s="23">
        <f t="shared" si="7"/>
        <v>50</v>
      </c>
      <c r="AC15" s="23">
        <f t="shared" si="8"/>
        <v>30</v>
      </c>
      <c r="AD15" s="20">
        <v>1.3015000000000001</v>
      </c>
      <c r="AE15" s="21">
        <v>30</v>
      </c>
      <c r="AF15" s="23">
        <f t="shared" si="9"/>
        <v>1507.6232078853047</v>
      </c>
      <c r="AG15" s="21">
        <v>73.8</v>
      </c>
      <c r="AH15" s="20">
        <f t="shared" si="20"/>
        <v>20.428498751833398</v>
      </c>
      <c r="AI15" s="18">
        <v>21</v>
      </c>
      <c r="AJ15" s="18">
        <f t="shared" si="21"/>
        <v>1.68</v>
      </c>
      <c r="AK15" s="18">
        <v>0.28999999999999998</v>
      </c>
      <c r="AL15" s="18">
        <f t="shared" si="22"/>
        <v>6.09</v>
      </c>
      <c r="AM15" s="18">
        <f t="shared" si="23"/>
        <v>1.3667</v>
      </c>
      <c r="AN15" s="23">
        <f t="shared" si="24"/>
        <v>7.4566999999999997</v>
      </c>
    </row>
    <row r="16" spans="1:40" s="18" customFormat="1" x14ac:dyDescent="0.25">
      <c r="A16" t="s">
        <v>88</v>
      </c>
      <c r="B16" s="18">
        <f>'potenze per terminale'!D12</f>
        <v>14.6</v>
      </c>
      <c r="C16" s="19">
        <f>'potenze per terminale'!C12</f>
        <v>1320.3595430107528</v>
      </c>
      <c r="D16" s="18">
        <f>'potenze per terminale'!E12</f>
        <v>20</v>
      </c>
      <c r="E16" s="18">
        <v>0.01</v>
      </c>
      <c r="F16" s="18">
        <v>7.9000000000000001E-2</v>
      </c>
      <c r="G16" s="17">
        <f t="shared" si="0"/>
        <v>3.2221023446875479E-5</v>
      </c>
      <c r="H16" s="20">
        <f t="shared" si="1"/>
        <v>0.41025081224400739</v>
      </c>
      <c r="I16" s="21">
        <f t="shared" si="2"/>
        <v>10005.618313582027</v>
      </c>
      <c r="J16" s="22">
        <f t="shared" si="10"/>
        <v>3.1595563090157743E-2</v>
      </c>
      <c r="K16" s="21">
        <f t="shared" si="3"/>
        <v>260.03622816367414</v>
      </c>
      <c r="L16" s="17">
        <f t="shared" si="4"/>
        <v>3796.5289311896422</v>
      </c>
      <c r="M16" s="21">
        <f>'Perdite carico concentrate'!$D$7*0.5*rho*H16^2</f>
        <v>2098.6882871029679</v>
      </c>
      <c r="N16" s="21">
        <f t="shared" si="11"/>
        <v>5895.2172182926097</v>
      </c>
      <c r="O16" s="18">
        <v>0.5</v>
      </c>
      <c r="P16" s="23">
        <f t="shared" si="12"/>
        <v>5381.9995205818914</v>
      </c>
      <c r="Q16" s="21">
        <f t="shared" si="13"/>
        <v>11277.2167388745</v>
      </c>
      <c r="R16" s="23">
        <f t="shared" si="5"/>
        <v>15426.992873619643</v>
      </c>
      <c r="S16" s="21">
        <f t="shared" si="14"/>
        <v>9531.7756553270337</v>
      </c>
      <c r="T16" s="20">
        <f t="shared" si="15"/>
        <v>0.37571187830045127</v>
      </c>
      <c r="U16" s="23">
        <v>4</v>
      </c>
      <c r="V16" s="23">
        <v>0.35</v>
      </c>
      <c r="W16" s="21">
        <f t="shared" si="16"/>
        <v>10983.672490983454</v>
      </c>
      <c r="X16" s="23">
        <f t="shared" si="17"/>
        <v>16878.889709276064</v>
      </c>
      <c r="Y16" s="17">
        <f t="shared" si="18"/>
        <v>3.0734876175401134E-5</v>
      </c>
      <c r="Z16" s="17">
        <f t="shared" si="19"/>
        <v>-4.6123527824143622</v>
      </c>
      <c r="AA16" s="23">
        <f t="shared" si="6"/>
        <v>10.483537744871018</v>
      </c>
      <c r="AB16" s="23">
        <f t="shared" si="7"/>
        <v>49.758231127564493</v>
      </c>
      <c r="AC16" s="23">
        <f t="shared" si="8"/>
        <v>29.758231127564493</v>
      </c>
      <c r="AD16" s="20">
        <v>1.3015000000000001</v>
      </c>
      <c r="AE16" s="21">
        <v>30</v>
      </c>
      <c r="AF16" s="23">
        <f t="shared" si="9"/>
        <v>1334.3380321282605</v>
      </c>
      <c r="AG16" s="21">
        <v>73.8</v>
      </c>
      <c r="AH16" s="20">
        <f t="shared" si="20"/>
        <v>18.080461139949328</v>
      </c>
      <c r="AI16" s="18">
        <v>18</v>
      </c>
      <c r="AJ16" s="18">
        <f t="shared" si="21"/>
        <v>1.44</v>
      </c>
      <c r="AK16" s="18">
        <v>0.28999999999999998</v>
      </c>
      <c r="AL16" s="18">
        <f t="shared" si="22"/>
        <v>5.22</v>
      </c>
      <c r="AM16" s="18">
        <f t="shared" si="23"/>
        <v>1.1534</v>
      </c>
      <c r="AN16" s="23">
        <f t="shared" si="24"/>
        <v>6.3734000000000002</v>
      </c>
    </row>
    <row r="17" spans="1:40" x14ac:dyDescent="0.25">
      <c r="A17" t="s">
        <v>89</v>
      </c>
      <c r="B17" s="18">
        <f>'potenze per terminale'!D13</f>
        <v>15.6</v>
      </c>
      <c r="C17" s="19">
        <f>'potenze per terminale'!C13</f>
        <v>1320.3595430107528</v>
      </c>
      <c r="D17" s="18">
        <f>'potenze per terminale'!E13</f>
        <v>20</v>
      </c>
      <c r="E17" s="18">
        <v>0.01</v>
      </c>
      <c r="F17" s="18">
        <v>7.9000000000000001E-2</v>
      </c>
      <c r="G17" s="17">
        <f t="shared" si="0"/>
        <v>3.2221023446875479E-5</v>
      </c>
      <c r="H17" s="20">
        <f t="shared" si="1"/>
        <v>0.41025081224400739</v>
      </c>
      <c r="I17" s="21">
        <f t="shared" si="2"/>
        <v>10005.618313582027</v>
      </c>
      <c r="J17" s="22">
        <f t="shared" si="10"/>
        <v>3.1595563090157743E-2</v>
      </c>
      <c r="K17" s="21">
        <f t="shared" si="3"/>
        <v>260.03622816367414</v>
      </c>
      <c r="L17" s="17">
        <f t="shared" si="4"/>
        <v>4056.5651593533166</v>
      </c>
      <c r="M17" s="21">
        <f>'Perdite carico concentrate'!$D$7*0.5*rho*H17^2</f>
        <v>2098.6882871029679</v>
      </c>
      <c r="N17" s="21">
        <f t="shared" si="11"/>
        <v>6155.253446456285</v>
      </c>
      <c r="O17" s="18">
        <v>0.5</v>
      </c>
      <c r="P17" s="23">
        <f t="shared" si="12"/>
        <v>5381.9995205818914</v>
      </c>
      <c r="Q17" s="21">
        <f t="shared" si="13"/>
        <v>11537.252967038177</v>
      </c>
      <c r="R17" s="23">
        <f t="shared" si="5"/>
        <v>15426.992873619643</v>
      </c>
      <c r="S17" s="21">
        <f t="shared" si="14"/>
        <v>9271.7394271633584</v>
      </c>
      <c r="T17" s="20">
        <f t="shared" si="15"/>
        <v>0.38094407470917385</v>
      </c>
      <c r="U17" s="2">
        <v>4</v>
      </c>
      <c r="V17" s="2">
        <v>0.35</v>
      </c>
      <c r="W17" s="21">
        <f t="shared" si="16"/>
        <v>10983.672490983454</v>
      </c>
      <c r="X17" s="23">
        <f t="shared" si="17"/>
        <v>17138.925937439737</v>
      </c>
      <c r="Y17" s="17">
        <f t="shared" si="18"/>
        <v>3.0489170663949538E-5</v>
      </c>
      <c r="Z17" s="17">
        <f t="shared" si="19"/>
        <v>-5.3749154982036469</v>
      </c>
      <c r="AA17" s="23">
        <f t="shared" si="6"/>
        <v>10.568022266664565</v>
      </c>
      <c r="AB17" s="23">
        <f t="shared" si="7"/>
        <v>49.715988866667715</v>
      </c>
      <c r="AC17" s="23">
        <f t="shared" si="8"/>
        <v>29.715988866667715</v>
      </c>
      <c r="AD17" s="20">
        <v>1.3015000000000001</v>
      </c>
      <c r="AE17" s="21">
        <v>30</v>
      </c>
      <c r="AF17" s="23">
        <f t="shared" si="9"/>
        <v>1336.8072535248129</v>
      </c>
      <c r="AG17" s="21">
        <v>73.8</v>
      </c>
      <c r="AH17" s="20">
        <f t="shared" si="20"/>
        <v>18.11391942445546</v>
      </c>
      <c r="AI17" s="18">
        <v>19</v>
      </c>
      <c r="AJ17" s="18">
        <f t="shared" si="21"/>
        <v>1.52</v>
      </c>
      <c r="AK17" s="18">
        <v>0.28999999999999998</v>
      </c>
      <c r="AL17" s="18">
        <f t="shared" si="22"/>
        <v>5.51</v>
      </c>
      <c r="AM17" s="18">
        <f t="shared" si="23"/>
        <v>1.2323999999999999</v>
      </c>
      <c r="AN17" s="23">
        <f t="shared" si="24"/>
        <v>6.7423999999999999</v>
      </c>
    </row>
    <row r="19" spans="1:40" x14ac:dyDescent="0.25">
      <c r="N19" s="6"/>
      <c r="P19" t="s">
        <v>92</v>
      </c>
      <c r="Q19" s="2">
        <f>MAX(Q9:Q17)</f>
        <v>15426.992873619643</v>
      </c>
      <c r="U19" s="5"/>
      <c r="AN19" s="2">
        <f>SUM(AN9:AN17)</f>
        <v>48.379499999999993</v>
      </c>
    </row>
    <row r="20" spans="1:40" x14ac:dyDescent="0.25">
      <c r="A20" s="14"/>
      <c r="Y20" s="3">
        <f>SUM(Y9:Y17)</f>
        <v>2.2556776374514008E-4</v>
      </c>
      <c r="Z20" s="3"/>
    </row>
    <row r="21" spans="1:40" x14ac:dyDescent="0.25">
      <c r="A21" s="13"/>
    </row>
    <row r="22" spans="1:40" x14ac:dyDescent="0.25">
      <c r="A22" s="14"/>
      <c r="X22" s="3"/>
    </row>
    <row r="23" spans="1:40" x14ac:dyDescent="0.25">
      <c r="A23" s="13"/>
      <c r="X23" s="3"/>
    </row>
    <row r="24" spans="1:40" x14ac:dyDescent="0.25">
      <c r="A24" s="14"/>
    </row>
    <row r="25" spans="1:40" x14ac:dyDescent="0.25">
      <c r="A25" s="10"/>
      <c r="X25" s="3"/>
    </row>
    <row r="26" spans="1:40" x14ac:dyDescent="0.25">
      <c r="A26" s="13"/>
    </row>
    <row r="27" spans="1:40" x14ac:dyDescent="0.25">
      <c r="A27" s="14"/>
    </row>
    <row r="28" spans="1:40" x14ac:dyDescent="0.25">
      <c r="A28" s="1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="130" zoomScaleNormal="130" workbookViewId="0">
      <selection activeCell="B3" sqref="B3:B19"/>
    </sheetView>
  </sheetViews>
  <sheetFormatPr defaultRowHeight="13.2" x14ac:dyDescent="0.25"/>
  <cols>
    <col min="2" max="2" width="8.88671875" customWidth="1"/>
  </cols>
  <sheetData>
    <row r="1" spans="1:3" x14ac:dyDescent="0.25">
      <c r="A1" t="s">
        <v>98</v>
      </c>
    </row>
    <row r="3" spans="1:3" x14ac:dyDescent="0.25">
      <c r="A3" t="s">
        <v>19</v>
      </c>
      <c r="C3" t="s">
        <v>13</v>
      </c>
    </row>
    <row r="4" spans="1:3" x14ac:dyDescent="0.25">
      <c r="A4" t="s">
        <v>99</v>
      </c>
      <c r="C4" t="s">
        <v>100</v>
      </c>
    </row>
    <row r="5" spans="1:3" x14ac:dyDescent="0.25">
      <c r="A5" t="s">
        <v>101</v>
      </c>
      <c r="C5" t="s">
        <v>13</v>
      </c>
    </row>
    <row r="6" spans="1:3" x14ac:dyDescent="0.25">
      <c r="A6" t="s">
        <v>103</v>
      </c>
      <c r="B6" s="3"/>
      <c r="C6" t="s">
        <v>104</v>
      </c>
    </row>
    <row r="7" spans="1:3" x14ac:dyDescent="0.25">
      <c r="A7" t="s">
        <v>81</v>
      </c>
    </row>
    <row r="8" spans="1:3" ht="15" customHeight="1" x14ac:dyDescent="0.25">
      <c r="A8" t="s">
        <v>20</v>
      </c>
      <c r="B8" s="3"/>
      <c r="C8" t="s">
        <v>30</v>
      </c>
    </row>
    <row r="9" spans="1:3" ht="15" customHeight="1" x14ac:dyDescent="0.25">
      <c r="A9" t="s">
        <v>102</v>
      </c>
      <c r="B9" s="3"/>
      <c r="C9" t="s">
        <v>15</v>
      </c>
    </row>
    <row r="10" spans="1:3" x14ac:dyDescent="0.25">
      <c r="A10" t="s">
        <v>105</v>
      </c>
    </row>
    <row r="11" spans="1:3" x14ac:dyDescent="0.25">
      <c r="A11" t="s">
        <v>106</v>
      </c>
    </row>
    <row r="12" spans="1:3" x14ac:dyDescent="0.25">
      <c r="A12" t="s">
        <v>21</v>
      </c>
      <c r="B12" s="3"/>
    </row>
    <row r="13" spans="1:3" x14ac:dyDescent="0.25">
      <c r="A13" t="s">
        <v>22</v>
      </c>
      <c r="B13" s="3"/>
    </row>
    <row r="14" spans="1:3" x14ac:dyDescent="0.25">
      <c r="A14" t="s">
        <v>116</v>
      </c>
      <c r="B14" s="3"/>
    </row>
    <row r="15" spans="1:3" x14ac:dyDescent="0.25">
      <c r="A15" t="s">
        <v>24</v>
      </c>
      <c r="B15" s="3"/>
      <c r="C15" t="s">
        <v>15</v>
      </c>
    </row>
    <row r="16" spans="1:3" x14ac:dyDescent="0.25">
      <c r="A16" t="s">
        <v>107</v>
      </c>
      <c r="C16" t="s">
        <v>15</v>
      </c>
    </row>
    <row r="17" spans="1:3" x14ac:dyDescent="0.25">
      <c r="A17" t="s">
        <v>25</v>
      </c>
      <c r="B17" s="3"/>
      <c r="C17" t="s">
        <v>15</v>
      </c>
    </row>
    <row r="18" spans="1:3" x14ac:dyDescent="0.25">
      <c r="A18" t="s">
        <v>49</v>
      </c>
      <c r="B18" s="3"/>
      <c r="C18" t="s">
        <v>15</v>
      </c>
    </row>
    <row r="19" spans="1:3" x14ac:dyDescent="0.25">
      <c r="A19" t="s">
        <v>108</v>
      </c>
      <c r="B19" s="3"/>
      <c r="C19" t="s">
        <v>15</v>
      </c>
    </row>
    <row r="22" spans="1:3" x14ac:dyDescent="0.25">
      <c r="B22" s="3"/>
    </row>
    <row r="23" spans="1:3" x14ac:dyDescent="0.25">
      <c r="B23" s="3"/>
    </row>
    <row r="25" spans="1:3" x14ac:dyDescent="0.25">
      <c r="B25" s="3"/>
    </row>
    <row r="26" spans="1:3" x14ac:dyDescent="0.25">
      <c r="B26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V17" sqref="V17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14</vt:i4>
      </vt:variant>
    </vt:vector>
  </HeadingPairs>
  <TitlesOfParts>
    <vt:vector size="21" baseType="lpstr">
      <vt:lpstr>risultati Termolog</vt:lpstr>
      <vt:lpstr>potenze per terminale</vt:lpstr>
      <vt:lpstr>Perdite carico concentrate</vt:lpstr>
      <vt:lpstr>dimensionamento</vt:lpstr>
      <vt:lpstr>collettore</vt:lpstr>
      <vt:lpstr>Foglio2</vt:lpstr>
      <vt:lpstr>Foglio1</vt:lpstr>
      <vt:lpstr>cp</vt:lpstr>
      <vt:lpstr>csi_c</vt:lpstr>
      <vt:lpstr>D</vt:lpstr>
      <vt:lpstr>Dc</vt:lpstr>
      <vt:lpstr>DP_cg</vt:lpstr>
      <vt:lpstr>DPC</vt:lpstr>
      <vt:lpstr>Dpvmax</vt:lpstr>
      <vt:lpstr>Dt</vt:lpstr>
      <vt:lpstr>Dtheta_n</vt:lpstr>
      <vt:lpstr>mu</vt:lpstr>
      <vt:lpstr>n</vt:lpstr>
      <vt:lpstr>rho</vt:lpstr>
      <vt:lpstr>t_mi</vt:lpstr>
      <vt:lpstr>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cp:lastPrinted>2023-04-03T07:05:29Z</cp:lastPrinted>
  <dcterms:created xsi:type="dcterms:W3CDTF">2017-03-20T21:37:52Z</dcterms:created>
  <dcterms:modified xsi:type="dcterms:W3CDTF">2023-04-03T07:06:17Z</dcterms:modified>
</cp:coreProperties>
</file>