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\2022-23\"/>
    </mc:Choice>
  </mc:AlternateContent>
  <bookViews>
    <workbookView xWindow="0" yWindow="0" windowWidth="23040" windowHeight="8616" activeTab="2"/>
  </bookViews>
  <sheets>
    <sheet name="Foglio1" sheetId="1" r:id="rId1"/>
    <sheet name="piano 7" sheetId="2" r:id="rId2"/>
    <sheet name="piano6" sheetId="3" r:id="rId3"/>
    <sheet name="piano5" sheetId="4" r:id="rId4"/>
    <sheet name="piano4" sheetId="5" r:id="rId5"/>
    <sheet name="piano3" sheetId="6" r:id="rId6"/>
    <sheet name="piano2" sheetId="7" r:id="rId7"/>
    <sheet name="piano1" sheetId="8" r:id="rId8"/>
    <sheet name="colonna" sheetId="9" r:id="rId9"/>
  </sheets>
  <definedNames>
    <definedName name="Kv">Foglio1!$B$9</definedName>
    <definedName name="lderAR">Foglio1!$B$15</definedName>
    <definedName name="LpianiAR">Foglio1!$B$14</definedName>
    <definedName name="mu">Foglio1!$B$17</definedName>
    <definedName name="rho">Foglio1!$B$16</definedName>
    <definedName name="sumcsi">Foglio1!$B$18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  <c r="L5" i="3" s="1"/>
  <c r="J4" i="4"/>
  <c r="L2" i="3"/>
  <c r="H11" i="4"/>
  <c r="H10" i="4"/>
  <c r="H2" i="4"/>
  <c r="B14" i="4"/>
  <c r="H10" i="3"/>
  <c r="B14" i="3"/>
  <c r="H12" i="2"/>
  <c r="H11" i="2"/>
  <c r="H10" i="2"/>
  <c r="B20" i="4"/>
  <c r="B19" i="4"/>
  <c r="B7" i="4"/>
  <c r="B5" i="4"/>
  <c r="H4" i="3"/>
  <c r="B12" i="3"/>
  <c r="B11" i="3"/>
  <c r="B9" i="3"/>
  <c r="B7" i="3"/>
  <c r="B6" i="3"/>
  <c r="B4" i="3"/>
  <c r="B5" i="3"/>
  <c r="H4" i="2"/>
  <c r="H5" i="2" s="1"/>
  <c r="H3" i="2"/>
  <c r="H2" i="2"/>
  <c r="B11" i="2"/>
  <c r="B9" i="2"/>
  <c r="B4" i="2"/>
  <c r="B5" i="2" s="1"/>
  <c r="B6" i="2" s="1"/>
  <c r="B7" i="2" s="1"/>
  <c r="B8" i="2" s="1"/>
  <c r="B10" i="2" s="1"/>
  <c r="B12" i="2" s="1"/>
  <c r="L6" i="3" l="1"/>
  <c r="L7" i="3" s="1"/>
  <c r="L8" i="3" s="1"/>
  <c r="L10" i="3" s="1"/>
  <c r="L12" i="3" s="1"/>
  <c r="L11" i="3"/>
  <c r="H6" i="2"/>
  <c r="H7" i="2" s="1"/>
  <c r="H8" i="2" s="1"/>
  <c r="B15" i="3" s="1"/>
  <c r="B8" i="3"/>
  <c r="B10" i="3" s="1"/>
  <c r="K25" i="2"/>
  <c r="B16" i="3" l="1"/>
  <c r="J2" i="3"/>
  <c r="B19" i="8"/>
  <c r="B20" i="8" s="1"/>
  <c r="H9" i="8"/>
  <c r="B9" i="8"/>
  <c r="H4" i="8"/>
  <c r="B4" i="8"/>
  <c r="D2" i="8"/>
  <c r="B5" i="8" s="1"/>
  <c r="B19" i="7"/>
  <c r="B20" i="7" s="1"/>
  <c r="H9" i="7"/>
  <c r="B9" i="7"/>
  <c r="H4" i="7"/>
  <c r="B4" i="7"/>
  <c r="D2" i="7"/>
  <c r="B5" i="7" s="1"/>
  <c r="H9" i="6"/>
  <c r="B19" i="6"/>
  <c r="B20" i="6" s="1"/>
  <c r="B9" i="6"/>
  <c r="H4" i="6"/>
  <c r="B4" i="6"/>
  <c r="D2" i="6"/>
  <c r="B5" i="6" s="1"/>
  <c r="D2" i="5"/>
  <c r="H4" i="4"/>
  <c r="D2" i="4"/>
  <c r="B9" i="4"/>
  <c r="B4" i="4"/>
  <c r="B6" i="4" s="1"/>
  <c r="B8" i="4" s="1"/>
  <c r="B10" i="4" s="1"/>
  <c r="D2" i="3"/>
  <c r="D2" i="2"/>
  <c r="B6" i="8" l="1"/>
  <c r="B7" i="8" s="1"/>
  <c r="B8" i="8" s="1"/>
  <c r="B10" i="8" s="1"/>
  <c r="B11" i="8"/>
  <c r="B11" i="7"/>
  <c r="B6" i="7"/>
  <c r="B7" i="7" s="1"/>
  <c r="B8" i="7" s="1"/>
  <c r="B10" i="7" s="1"/>
  <c r="B12" i="7" s="1"/>
  <c r="B6" i="6"/>
  <c r="B7" i="6" s="1"/>
  <c r="B8" i="6" s="1"/>
  <c r="B10" i="6" s="1"/>
  <c r="B11" i="6"/>
  <c r="B12" i="6"/>
  <c r="B11" i="4"/>
  <c r="B12" i="4" s="1"/>
  <c r="B12" i="8" l="1"/>
  <c r="D15" i="3" l="1"/>
  <c r="H2" i="3" s="1"/>
  <c r="J2" i="4" l="1"/>
  <c r="H5" i="3"/>
  <c r="H5" i="4" l="1"/>
  <c r="H6" i="3"/>
  <c r="H7" i="3" s="1"/>
  <c r="H8" i="3" s="1"/>
  <c r="H11" i="3"/>
  <c r="H6" i="4"/>
  <c r="H7" i="4" s="1"/>
  <c r="H8" i="4" s="1"/>
  <c r="H2" i="8"/>
  <c r="H5" i="8" s="1"/>
  <c r="H2" i="6"/>
  <c r="H5" i="6" s="1"/>
  <c r="H2" i="7"/>
  <c r="H5" i="7" s="1"/>
  <c r="H12" i="4" l="1"/>
  <c r="H12" i="3"/>
  <c r="H11" i="8"/>
  <c r="H6" i="8"/>
  <c r="H7" i="8" s="1"/>
  <c r="H8" i="8" s="1"/>
  <c r="H10" i="8" s="1"/>
  <c r="H12" i="8" s="1"/>
  <c r="H6" i="7"/>
  <c r="H7" i="7" s="1"/>
  <c r="H8" i="7" s="1"/>
  <c r="H10" i="7" s="1"/>
  <c r="H11" i="7"/>
  <c r="H6" i="6"/>
  <c r="H7" i="6" s="1"/>
  <c r="H8" i="6" s="1"/>
  <c r="H10" i="6" s="1"/>
  <c r="H11" i="6"/>
  <c r="B18" i="4" l="1"/>
  <c r="B21" i="4" s="1"/>
  <c r="B22" i="4" s="1"/>
  <c r="B15" i="4"/>
  <c r="H12" i="6"/>
  <c r="B14" i="6"/>
  <c r="D15" i="5"/>
  <c r="H12" i="7"/>
  <c r="D15" i="4" l="1"/>
  <c r="B16" i="4"/>
  <c r="H14" i="6"/>
  <c r="B14" i="7" s="1"/>
  <c r="B18" i="6"/>
  <c r="B21" i="6" s="1"/>
  <c r="B22" i="6" s="1"/>
  <c r="B15" i="6"/>
  <c r="H14" i="7" l="1"/>
  <c r="B14" i="8" s="1"/>
  <c r="B15" i="7"/>
  <c r="B18" i="7"/>
  <c r="B21" i="7" s="1"/>
  <c r="B22" i="7" s="1"/>
  <c r="D15" i="6"/>
  <c r="B16" i="6"/>
  <c r="B16" i="7" l="1"/>
  <c r="D15" i="7"/>
  <c r="B18" i="8"/>
  <c r="B21" i="8" s="1"/>
  <c r="B22" i="8" s="1"/>
  <c r="B15" i="8"/>
  <c r="H14" i="8"/>
  <c r="B16" i="8" l="1"/>
  <c r="D15" i="8"/>
</calcChain>
</file>

<file path=xl/sharedStrings.xml><?xml version="1.0" encoding="utf-8"?>
<sst xmlns="http://schemas.openxmlformats.org/spreadsheetml/2006/main" count="409" uniqueCount="86">
  <si>
    <t>m^3/h</t>
  </si>
  <si>
    <t>Kv</t>
  </si>
  <si>
    <t>derivazione T</t>
  </si>
  <si>
    <t>confluenza T</t>
  </si>
  <si>
    <t>restringimento sez</t>
  </si>
  <si>
    <t>allargamento sez.</t>
  </si>
  <si>
    <t>m</t>
  </si>
  <si>
    <t>L derivazioni A/R</t>
  </si>
  <si>
    <t>rho</t>
  </si>
  <si>
    <t>kg/m^3</t>
  </si>
  <si>
    <t>mu</t>
  </si>
  <si>
    <t>kg m/s</t>
  </si>
  <si>
    <t>piano</t>
  </si>
  <si>
    <t>Pa</t>
  </si>
  <si>
    <t>A</t>
  </si>
  <si>
    <t>m^2</t>
  </si>
  <si>
    <t>u</t>
  </si>
  <si>
    <t>m/s</t>
  </si>
  <si>
    <t>Re</t>
  </si>
  <si>
    <t>Fa</t>
  </si>
  <si>
    <t>Dp_d</t>
  </si>
  <si>
    <t>Dp_c</t>
  </si>
  <si>
    <t>l/h</t>
  </si>
  <si>
    <t>Pa/m</t>
  </si>
  <si>
    <t>G</t>
  </si>
  <si>
    <t>d</t>
  </si>
  <si>
    <t>Dp_sat</t>
  </si>
  <si>
    <t xml:space="preserve">r </t>
  </si>
  <si>
    <t>Dp_t</t>
  </si>
  <si>
    <t>sumcsi</t>
  </si>
  <si>
    <t>piano 7</t>
  </si>
  <si>
    <t>montante 6-7</t>
  </si>
  <si>
    <t>sum csi</t>
  </si>
  <si>
    <t>Dp6-7,tot</t>
  </si>
  <si>
    <t>Dp6</t>
  </si>
  <si>
    <t>piano 6</t>
  </si>
  <si>
    <t>m^3/s</t>
  </si>
  <si>
    <t>G_6</t>
  </si>
  <si>
    <t>Dp_6</t>
  </si>
  <si>
    <t>DG</t>
  </si>
  <si>
    <t>montante 5-6</t>
  </si>
  <si>
    <t>Dp5-6,tot</t>
  </si>
  <si>
    <t>Dp5</t>
  </si>
  <si>
    <t>Dp_5</t>
  </si>
  <si>
    <t>G_5</t>
  </si>
  <si>
    <t>DP_v5</t>
  </si>
  <si>
    <t>G_v5</t>
  </si>
  <si>
    <t>bar</t>
  </si>
  <si>
    <t>Kv_v5</t>
  </si>
  <si>
    <t>montante 4-5</t>
  </si>
  <si>
    <t>Dp4-5,tot</t>
  </si>
  <si>
    <t>Dp4</t>
  </si>
  <si>
    <t>piano 5</t>
  </si>
  <si>
    <t>piano 4</t>
  </si>
  <si>
    <t>Dp_4</t>
  </si>
  <si>
    <t>G_4</t>
  </si>
  <si>
    <t>G_v</t>
  </si>
  <si>
    <t>DP_v</t>
  </si>
  <si>
    <t>Kv_v</t>
  </si>
  <si>
    <t>montante 3-4</t>
  </si>
  <si>
    <t>Dp3</t>
  </si>
  <si>
    <t>piano 3</t>
  </si>
  <si>
    <t>Dp</t>
  </si>
  <si>
    <t>Dp2</t>
  </si>
  <si>
    <t>Dp2-3,tot</t>
  </si>
  <si>
    <t>montante 2-3</t>
  </si>
  <si>
    <t>Dp1</t>
  </si>
  <si>
    <t>montante 1-2</t>
  </si>
  <si>
    <t>montante 1-0</t>
  </si>
  <si>
    <t>V</t>
  </si>
  <si>
    <t>m^3</t>
  </si>
  <si>
    <t>L tubi ai piani A/R</t>
  </si>
  <si>
    <t>Vtot</t>
  </si>
  <si>
    <t>Pvs</t>
  </si>
  <si>
    <t>t_max</t>
  </si>
  <si>
    <t>°C</t>
  </si>
  <si>
    <t>V_v</t>
  </si>
  <si>
    <t>n</t>
  </si>
  <si>
    <t>E</t>
  </si>
  <si>
    <t>pst</t>
  </si>
  <si>
    <t>p0</t>
  </si>
  <si>
    <t>Per</t>
  </si>
  <si>
    <t>Pe</t>
  </si>
  <si>
    <t>1 derivazione e confluenza T</t>
  </si>
  <si>
    <t>deriv. Confl. All. restr.</t>
  </si>
  <si>
    <t>montante 5-6 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</si>
</sst>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1" fontId="0" fillId="0" borderId="1" xfId="0" quotePrefix="1" applyNumberFormat="1" applyBorder="1" applyAlignment="1">
      <alignment horizontal="right" vertical="center" wrapText="1"/>
    </xf>
    <xf numFmtId="16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414877</xdr:colOff>
      <xdr:row>0</xdr:row>
      <xdr:rowOff>173421</xdr:rowOff>
    </xdr:from>
    <xdr:to>
      <xdr:col>6</xdr:col>
      <xdr:colOff>423186</xdr:colOff>
      <xdr:row>17</xdr:row>
      <xdr:rowOff>144781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777" y="173421"/>
          <a:ext cx="1227509" cy="305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45" zoomScaleNormal="145" workbookViewId="0">
      <selection activeCell="B12" sqref="B12"/>
    </sheetView>
  </sheetViews>
  <sheetFormatPr defaultRowHeight="14.4" x14ac:dyDescent="0.3"/>
  <cols>
    <col min="1" max="1" width="21.77734375" customWidth="1"/>
    <col min="2" max="2" width="9.88671875" bestFit="1" customWidth="1"/>
  </cols>
  <sheetData>
    <row r="1" spans="1:3" x14ac:dyDescent="0.3">
      <c r="A1" t="s">
        <v>12</v>
      </c>
      <c r="B1" t="s">
        <v>22</v>
      </c>
    </row>
    <row r="2" spans="1:3" x14ac:dyDescent="0.3">
      <c r="A2" s="2">
        <v>7</v>
      </c>
      <c r="B2">
        <v>430</v>
      </c>
    </row>
    <row r="3" spans="1:3" x14ac:dyDescent="0.3">
      <c r="A3" s="2">
        <v>6</v>
      </c>
      <c r="B3">
        <v>360</v>
      </c>
    </row>
    <row r="4" spans="1:3" x14ac:dyDescent="0.3">
      <c r="A4" s="2">
        <v>5</v>
      </c>
      <c r="B4">
        <v>360</v>
      </c>
    </row>
    <row r="5" spans="1:3" x14ac:dyDescent="0.3">
      <c r="A5" s="2">
        <v>3</v>
      </c>
      <c r="B5">
        <v>360</v>
      </c>
    </row>
    <row r="6" spans="1:3" x14ac:dyDescent="0.3">
      <c r="A6" s="2">
        <v>2</v>
      </c>
      <c r="B6">
        <v>360</v>
      </c>
    </row>
    <row r="7" spans="1:3" x14ac:dyDescent="0.3">
      <c r="A7" s="2">
        <v>1</v>
      </c>
      <c r="B7">
        <v>430</v>
      </c>
    </row>
    <row r="9" spans="1:3" x14ac:dyDescent="0.3">
      <c r="A9" t="s">
        <v>1</v>
      </c>
      <c r="B9">
        <v>2.1</v>
      </c>
      <c r="C9" t="s">
        <v>0</v>
      </c>
    </row>
    <row r="10" spans="1:3" x14ac:dyDescent="0.3">
      <c r="A10" t="s">
        <v>2</v>
      </c>
      <c r="B10">
        <v>1</v>
      </c>
    </row>
    <row r="11" spans="1:3" x14ac:dyDescent="0.3">
      <c r="A11" t="s">
        <v>3</v>
      </c>
      <c r="B11">
        <v>1</v>
      </c>
    </row>
    <row r="12" spans="1:3" x14ac:dyDescent="0.3">
      <c r="A12" t="s">
        <v>4</v>
      </c>
      <c r="B12">
        <v>1</v>
      </c>
    </row>
    <row r="13" spans="1:3" x14ac:dyDescent="0.3">
      <c r="A13" t="s">
        <v>5</v>
      </c>
      <c r="B13">
        <v>0.5</v>
      </c>
    </row>
    <row r="14" spans="1:3" x14ac:dyDescent="0.3">
      <c r="A14" t="s">
        <v>71</v>
      </c>
      <c r="B14">
        <v>6</v>
      </c>
      <c r="C14" t="s">
        <v>6</v>
      </c>
    </row>
    <row r="15" spans="1:3" ht="12.6" customHeight="1" x14ac:dyDescent="0.3">
      <c r="A15" t="s">
        <v>7</v>
      </c>
      <c r="B15">
        <v>6</v>
      </c>
      <c r="C15" t="s">
        <v>6</v>
      </c>
    </row>
    <row r="16" spans="1:3" x14ac:dyDescent="0.3">
      <c r="A16" t="s">
        <v>8</v>
      </c>
      <c r="B16">
        <v>978</v>
      </c>
      <c r="C16" t="s">
        <v>9</v>
      </c>
    </row>
    <row r="17" spans="1:3" x14ac:dyDescent="0.3">
      <c r="A17" t="s">
        <v>10</v>
      </c>
      <c r="B17" s="1">
        <v>4.0099999999999999E-4</v>
      </c>
      <c r="C17" t="s">
        <v>11</v>
      </c>
    </row>
    <row r="18" spans="1:3" x14ac:dyDescent="0.3">
      <c r="A18" t="s">
        <v>29</v>
      </c>
      <c r="B18">
        <v>8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30" zoomScaleNormal="130" workbookViewId="0">
      <selection activeCell="H12" sqref="H12"/>
    </sheetView>
  </sheetViews>
  <sheetFormatPr defaultRowHeight="14.4" x14ac:dyDescent="0.3"/>
  <cols>
    <col min="1" max="1" width="16.6640625" customWidth="1"/>
  </cols>
  <sheetData>
    <row r="1" spans="1:9" x14ac:dyDescent="0.3">
      <c r="A1" t="s">
        <v>30</v>
      </c>
      <c r="G1" t="s">
        <v>31</v>
      </c>
    </row>
    <row r="2" spans="1:9" x14ac:dyDescent="0.3">
      <c r="A2" t="s">
        <v>24</v>
      </c>
      <c r="B2">
        <v>430</v>
      </c>
      <c r="C2" t="s">
        <v>22</v>
      </c>
      <c r="D2">
        <f>B2/1000/3600</f>
        <v>1.1944444444444444E-4</v>
      </c>
      <c r="E2" t="s">
        <v>36</v>
      </c>
      <c r="G2" t="s">
        <v>24</v>
      </c>
      <c r="H2">
        <f>D2</f>
        <v>1.1944444444444444E-4</v>
      </c>
      <c r="I2" t="s">
        <v>36</v>
      </c>
    </row>
    <row r="3" spans="1:9" x14ac:dyDescent="0.3">
      <c r="A3" t="s">
        <v>25</v>
      </c>
      <c r="B3">
        <v>0.02</v>
      </c>
      <c r="C3" t="s">
        <v>6</v>
      </c>
      <c r="G3" t="s">
        <v>25</v>
      </c>
      <c r="H3">
        <f>B3</f>
        <v>0.02</v>
      </c>
      <c r="I3" t="s">
        <v>6</v>
      </c>
    </row>
    <row r="4" spans="1:9" x14ac:dyDescent="0.3">
      <c r="A4" t="s">
        <v>14</v>
      </c>
      <c r="B4">
        <f>PI()*B3^2/4</f>
        <v>3.1415926535897931E-4</v>
      </c>
      <c r="C4" t="s">
        <v>15</v>
      </c>
      <c r="G4" t="s">
        <v>14</v>
      </c>
      <c r="H4">
        <f>B4</f>
        <v>3.1415926535897931E-4</v>
      </c>
    </row>
    <row r="5" spans="1:9" x14ac:dyDescent="0.3">
      <c r="A5" t="s">
        <v>16</v>
      </c>
      <c r="B5">
        <f>D2/B4</f>
        <v>0.38020347516397218</v>
      </c>
      <c r="C5" t="s">
        <v>17</v>
      </c>
      <c r="G5" t="s">
        <v>16</v>
      </c>
      <c r="H5">
        <f>H2/H4</f>
        <v>0.38020347516397218</v>
      </c>
    </row>
    <row r="6" spans="1:9" x14ac:dyDescent="0.3">
      <c r="A6" t="s">
        <v>18</v>
      </c>
      <c r="B6" s="1">
        <f>B5*rho*B3/mu</f>
        <v>18545.585970591761</v>
      </c>
      <c r="G6" t="s">
        <v>18</v>
      </c>
      <c r="H6" s="1">
        <f>H5*rho*H3/mu</f>
        <v>18545.585970591761</v>
      </c>
    </row>
    <row r="7" spans="1:9" x14ac:dyDescent="0.3">
      <c r="A7" t="s">
        <v>19</v>
      </c>
      <c r="B7" s="1">
        <f>0.316*B6^(-0.25)</f>
        <v>2.7078645868120838E-2</v>
      </c>
      <c r="G7" t="s">
        <v>19</v>
      </c>
      <c r="H7" s="1">
        <f>0.316*H6^(-0.25)</f>
        <v>2.7078645868120838E-2</v>
      </c>
    </row>
    <row r="8" spans="1:9" x14ac:dyDescent="0.3">
      <c r="A8" t="s">
        <v>27</v>
      </c>
      <c r="B8" s="1">
        <f>B7*0.5*rho*B5^2/B3</f>
        <v>95.705736636823602</v>
      </c>
      <c r="C8" t="s">
        <v>23</v>
      </c>
      <c r="G8" t="s">
        <v>27</v>
      </c>
      <c r="H8" s="1">
        <f>H7*0.5*rho*H5^2/H3</f>
        <v>95.705736636823602</v>
      </c>
    </row>
    <row r="9" spans="1:9" x14ac:dyDescent="0.3">
      <c r="A9" t="s">
        <v>26</v>
      </c>
      <c r="B9">
        <f>(B2/1000/Kv)^2*100000</f>
        <v>4192.7437641723354</v>
      </c>
      <c r="C9" t="s">
        <v>13</v>
      </c>
      <c r="G9" t="s">
        <v>32</v>
      </c>
      <c r="H9">
        <v>1</v>
      </c>
      <c r="I9" t="s">
        <v>83</v>
      </c>
    </row>
    <row r="10" spans="1:9" x14ac:dyDescent="0.3">
      <c r="A10" t="s">
        <v>20</v>
      </c>
      <c r="B10" s="1">
        <f>B8*lderAR</f>
        <v>574.23441982094164</v>
      </c>
      <c r="C10" t="s">
        <v>13</v>
      </c>
      <c r="G10" t="s">
        <v>20</v>
      </c>
      <c r="H10" s="1">
        <f>H8*LpianiAR/2</f>
        <v>287.11720991047082</v>
      </c>
      <c r="I10" t="s">
        <v>13</v>
      </c>
    </row>
    <row r="11" spans="1:9" x14ac:dyDescent="0.3">
      <c r="A11" t="s">
        <v>21</v>
      </c>
      <c r="B11" s="1">
        <f>sumcsi*0.5*rho*B5^2</f>
        <v>565.49791804468987</v>
      </c>
      <c r="C11" t="s">
        <v>13</v>
      </c>
      <c r="G11" t="s">
        <v>21</v>
      </c>
      <c r="H11" s="1">
        <f>H9*0.5*rho*H5^2</f>
        <v>70.687239755586234</v>
      </c>
      <c r="I11" t="s">
        <v>13</v>
      </c>
    </row>
    <row r="12" spans="1:9" x14ac:dyDescent="0.3">
      <c r="A12" t="s">
        <v>28</v>
      </c>
      <c r="B12" s="1">
        <f>SUM(B9:B11)</f>
        <v>5332.4761020379665</v>
      </c>
      <c r="C12" t="s">
        <v>13</v>
      </c>
      <c r="G12" t="s">
        <v>33</v>
      </c>
      <c r="H12" s="1">
        <f>SUM(H10:H11)</f>
        <v>357.80444966605705</v>
      </c>
      <c r="I12" t="s">
        <v>13</v>
      </c>
    </row>
    <row r="14" spans="1:9" x14ac:dyDescent="0.3">
      <c r="G14" t="s">
        <v>34</v>
      </c>
      <c r="H14" s="1"/>
      <c r="I14" t="s">
        <v>13</v>
      </c>
    </row>
    <row r="25" spans="1:11" x14ac:dyDescent="0.3">
      <c r="A25" t="s">
        <v>69</v>
      </c>
      <c r="C25" t="s">
        <v>70</v>
      </c>
      <c r="G25" t="s">
        <v>69</v>
      </c>
      <c r="I25" t="s">
        <v>70</v>
      </c>
      <c r="J25" t="s">
        <v>72</v>
      </c>
      <c r="K25">
        <f>B25+H25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115" zoomScaleNormal="115" workbookViewId="0">
      <selection activeCell="K12" sqref="K12"/>
    </sheetView>
  </sheetViews>
  <sheetFormatPr defaultRowHeight="14.4" x14ac:dyDescent="0.3"/>
  <sheetData>
    <row r="1" spans="1:12" x14ac:dyDescent="0.3">
      <c r="A1" t="s">
        <v>35</v>
      </c>
      <c r="G1" t="s">
        <v>40</v>
      </c>
      <c r="L1" t="s">
        <v>85</v>
      </c>
    </row>
    <row r="2" spans="1:12" x14ac:dyDescent="0.3">
      <c r="A2" t="s">
        <v>24</v>
      </c>
      <c r="B2">
        <v>360</v>
      </c>
      <c r="C2" t="s">
        <v>22</v>
      </c>
      <c r="D2">
        <f>B2/1000/3600</f>
        <v>9.9999999999999991E-5</v>
      </c>
      <c r="E2" t="s">
        <v>36</v>
      </c>
      <c r="G2" t="s">
        <v>24</v>
      </c>
      <c r="H2">
        <f>D15+'piano 7'!D2</f>
        <v>2.1944444444444442E-4</v>
      </c>
      <c r="I2" t="s">
        <v>36</v>
      </c>
      <c r="J2" s="1">
        <f>B15+'piano 7'!B2</f>
        <v>790</v>
      </c>
      <c r="K2" t="s">
        <v>22</v>
      </c>
      <c r="L2" s="1">
        <f>piano5!D15</f>
        <v>9.9999999999999991E-5</v>
      </c>
    </row>
    <row r="3" spans="1:12" x14ac:dyDescent="0.3">
      <c r="A3" t="s">
        <v>25</v>
      </c>
      <c r="B3">
        <v>1.6E-2</v>
      </c>
      <c r="C3" t="s">
        <v>6</v>
      </c>
      <c r="G3" t="s">
        <v>25</v>
      </c>
      <c r="H3">
        <v>2.5000000000000001E-2</v>
      </c>
      <c r="I3" t="s">
        <v>6</v>
      </c>
      <c r="L3">
        <v>1.6E-2</v>
      </c>
    </row>
    <row r="4" spans="1:12" x14ac:dyDescent="0.3">
      <c r="A4" t="s">
        <v>14</v>
      </c>
      <c r="B4">
        <f>PI()*B3^2/4</f>
        <v>2.0106192982974675E-4</v>
      </c>
      <c r="C4" t="s">
        <v>15</v>
      </c>
      <c r="G4" t="s">
        <v>14</v>
      </c>
      <c r="H4">
        <f>PI()*H3^2/4</f>
        <v>4.9087385212340522E-4</v>
      </c>
      <c r="L4">
        <f>PI()*L3^2/4</f>
        <v>2.0106192982974675E-4</v>
      </c>
    </row>
    <row r="5" spans="1:12" x14ac:dyDescent="0.3">
      <c r="A5" t="s">
        <v>16</v>
      </c>
      <c r="B5">
        <f>D2/B4</f>
        <v>0.49735919716217292</v>
      </c>
      <c r="C5" t="s">
        <v>17</v>
      </c>
      <c r="G5" t="s">
        <v>16</v>
      </c>
      <c r="H5">
        <f>H2/H4</f>
        <v>0.44704855126256815</v>
      </c>
      <c r="L5">
        <f>L2/L4</f>
        <v>0.49735919716217292</v>
      </c>
    </row>
    <row r="6" spans="1:12" x14ac:dyDescent="0.3">
      <c r="A6" t="s">
        <v>18</v>
      </c>
      <c r="B6" s="1">
        <f>B5*rho*B3/mu</f>
        <v>19408.171364572772</v>
      </c>
      <c r="G6" t="s">
        <v>18</v>
      </c>
      <c r="H6" s="1">
        <f>H5*rho*H3/mu</f>
        <v>27257.69844979998</v>
      </c>
      <c r="L6" s="1">
        <f>L5*rho*L3/mu</f>
        <v>19408.171364572772</v>
      </c>
    </row>
    <row r="7" spans="1:12" x14ac:dyDescent="0.3">
      <c r="A7" t="s">
        <v>19</v>
      </c>
      <c r="B7" s="1">
        <f>0.316*B6^(-0.25)</f>
        <v>2.677262334418273E-2</v>
      </c>
      <c r="G7" t="s">
        <v>19</v>
      </c>
      <c r="H7" s="1">
        <f>0.316*H6^(-0.25)</f>
        <v>2.4593185578471021E-2</v>
      </c>
      <c r="L7" s="1">
        <f>0.316*L6^(-0.25)</f>
        <v>2.677262334418273E-2</v>
      </c>
    </row>
    <row r="8" spans="1:12" x14ac:dyDescent="0.3">
      <c r="A8" t="s">
        <v>27</v>
      </c>
      <c r="B8" s="1">
        <f>B7*0.5*rho*B5^2/B3</f>
        <v>202.40447547464979</v>
      </c>
      <c r="C8" t="s">
        <v>23</v>
      </c>
      <c r="G8" t="s">
        <v>27</v>
      </c>
      <c r="H8" s="1">
        <f>H7*0.5*rho*H5^2/H3</f>
        <v>96.137543535749359</v>
      </c>
      <c r="L8" s="1">
        <f>L7*0.5*rho*L5^2/L3</f>
        <v>202.40447547464979</v>
      </c>
    </row>
    <row r="9" spans="1:12" x14ac:dyDescent="0.3">
      <c r="A9" t="s">
        <v>26</v>
      </c>
      <c r="B9">
        <f>(B2/1000/Kv)^2*100000</f>
        <v>2938.775510204081</v>
      </c>
      <c r="C9" t="s">
        <v>13</v>
      </c>
      <c r="G9" t="s">
        <v>32</v>
      </c>
      <c r="H9">
        <v>2</v>
      </c>
      <c r="I9" t="s">
        <v>84</v>
      </c>
      <c r="L9">
        <v>1</v>
      </c>
    </row>
    <row r="10" spans="1:12" x14ac:dyDescent="0.3">
      <c r="A10" t="s">
        <v>20</v>
      </c>
      <c r="B10" s="1">
        <f>B8*lderAR</f>
        <v>1214.4268528478988</v>
      </c>
      <c r="C10" t="s">
        <v>13</v>
      </c>
      <c r="G10" t="s">
        <v>20</v>
      </c>
      <c r="H10" s="1">
        <f>LpianiAR*piano6!H8/2</f>
        <v>288.41263060724805</v>
      </c>
      <c r="I10" t="s">
        <v>13</v>
      </c>
      <c r="L10" s="1">
        <f>LpianiAR*piano6!L8/2</f>
        <v>607.21342642394939</v>
      </c>
    </row>
    <row r="11" spans="1:12" x14ac:dyDescent="0.3">
      <c r="A11" t="s">
        <v>21</v>
      </c>
      <c r="B11" s="1">
        <f>sumcsi*0.5*rho*B5^2</f>
        <v>967.69646095904625</v>
      </c>
      <c r="C11" t="s">
        <v>13</v>
      </c>
      <c r="G11" t="s">
        <v>21</v>
      </c>
      <c r="H11">
        <f>H9*0.5*rho*H5^2</f>
        <v>195.4556542278699</v>
      </c>
      <c r="I11" t="s">
        <v>13</v>
      </c>
      <c r="L11">
        <f>L9*0.5*rho*L5^2</f>
        <v>120.96205761988078</v>
      </c>
    </row>
    <row r="12" spans="1:12" x14ac:dyDescent="0.3">
      <c r="A12" t="s">
        <v>28</v>
      </c>
      <c r="B12" s="1">
        <f>SUM(B9:B11)</f>
        <v>5120.8988240110257</v>
      </c>
      <c r="C12" t="s">
        <v>13</v>
      </c>
      <c r="G12" t="s">
        <v>41</v>
      </c>
      <c r="H12" s="1">
        <f>SUM(H10:H11)</f>
        <v>483.86828483511795</v>
      </c>
      <c r="I12" t="s">
        <v>13</v>
      </c>
      <c r="L12" s="1">
        <f>SUM(L10:L11)</f>
        <v>728.17548404383012</v>
      </c>
    </row>
    <row r="14" spans="1:12" x14ac:dyDescent="0.3">
      <c r="A14" t="s">
        <v>38</v>
      </c>
      <c r="B14" s="1">
        <f>B12</f>
        <v>5120.8988240110257</v>
      </c>
      <c r="G14" t="s">
        <v>42</v>
      </c>
      <c r="H14" s="1"/>
      <c r="I14" t="s">
        <v>13</v>
      </c>
    </row>
    <row r="15" spans="1:12" x14ac:dyDescent="0.3">
      <c r="A15" t="s">
        <v>37</v>
      </c>
      <c r="B15" s="1">
        <f>B2*(B14/B12)^0.525</f>
        <v>360</v>
      </c>
      <c r="C15" t="s">
        <v>22</v>
      </c>
      <c r="D15">
        <f>B15/1000/3600</f>
        <v>9.9999999999999991E-5</v>
      </c>
      <c r="E15" t="s">
        <v>36</v>
      </c>
    </row>
    <row r="16" spans="1:12" x14ac:dyDescent="0.3">
      <c r="A16" t="s">
        <v>39</v>
      </c>
      <c r="B16">
        <f>(B15-B2)/B2*100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K9" sqref="K9"/>
    </sheetView>
  </sheetViews>
  <sheetFormatPr defaultRowHeight="14.4" x14ac:dyDescent="0.3"/>
  <sheetData>
    <row r="1" spans="1:11" x14ac:dyDescent="0.3">
      <c r="A1" t="s">
        <v>52</v>
      </c>
      <c r="G1" t="s">
        <v>49</v>
      </c>
    </row>
    <row r="2" spans="1:11" x14ac:dyDescent="0.3">
      <c r="A2" t="s">
        <v>24</v>
      </c>
      <c r="B2">
        <v>360</v>
      </c>
      <c r="C2" t="s">
        <v>22</v>
      </c>
      <c r="D2">
        <f>B2/1000/3600</f>
        <v>9.9999999999999991E-5</v>
      </c>
      <c r="E2" t="s">
        <v>36</v>
      </c>
      <c r="G2" t="s">
        <v>24</v>
      </c>
      <c r="H2">
        <f>D2+piano6!H2</f>
        <v>3.1944444444444441E-4</v>
      </c>
      <c r="I2" t="s">
        <v>36</v>
      </c>
      <c r="J2">
        <f>H2*1000*3600</f>
        <v>1150</v>
      </c>
      <c r="K2" t="s">
        <v>22</v>
      </c>
    </row>
    <row r="3" spans="1:11" x14ac:dyDescent="0.3">
      <c r="A3" t="s">
        <v>25</v>
      </c>
      <c r="B3">
        <v>1.6E-2</v>
      </c>
      <c r="C3" t="s">
        <v>6</v>
      </c>
      <c r="G3" t="s">
        <v>25</v>
      </c>
      <c r="H3">
        <v>2.5000000000000001E-2</v>
      </c>
      <c r="I3" t="s">
        <v>6</v>
      </c>
      <c r="J3">
        <v>1.6E-2</v>
      </c>
    </row>
    <row r="4" spans="1:11" x14ac:dyDescent="0.3">
      <c r="A4" t="s">
        <v>14</v>
      </c>
      <c r="B4">
        <f>PI()*B3^2/4</f>
        <v>2.0106192982974675E-4</v>
      </c>
      <c r="C4" t="s">
        <v>15</v>
      </c>
      <c r="G4" t="s">
        <v>14</v>
      </c>
      <c r="H4">
        <f>PI()*H3^2/4</f>
        <v>4.9087385212340522E-4</v>
      </c>
      <c r="J4">
        <f>PI()*J3^2/4</f>
        <v>2.0106192982974675E-4</v>
      </c>
    </row>
    <row r="5" spans="1:11" x14ac:dyDescent="0.3">
      <c r="A5" t="s">
        <v>16</v>
      </c>
      <c r="B5">
        <f>D2/B4</f>
        <v>0.49735919716217292</v>
      </c>
      <c r="C5" t="s">
        <v>17</v>
      </c>
      <c r="G5" t="s">
        <v>16</v>
      </c>
      <c r="H5">
        <f>H2/H4</f>
        <v>0.65076687842019421</v>
      </c>
    </row>
    <row r="6" spans="1:11" x14ac:dyDescent="0.3">
      <c r="A6" t="s">
        <v>18</v>
      </c>
      <c r="B6" s="1">
        <f>rho*B5*B3/mu</f>
        <v>19408.171364572772</v>
      </c>
      <c r="G6" t="s">
        <v>18</v>
      </c>
      <c r="H6" s="1">
        <f>rho*H5*H3/mu</f>
        <v>39678.928123126556</v>
      </c>
    </row>
    <row r="7" spans="1:11" x14ac:dyDescent="0.3">
      <c r="A7" t="s">
        <v>19</v>
      </c>
      <c r="B7" s="1">
        <f>0.316*B6^(-0.25)</f>
        <v>2.677262334418273E-2</v>
      </c>
      <c r="G7" t="s">
        <v>19</v>
      </c>
      <c r="H7" s="1">
        <f>0.07*H6^(-0.13)*H3^(-0.14)</f>
        <v>2.9619222057048099E-2</v>
      </c>
    </row>
    <row r="8" spans="1:11" x14ac:dyDescent="0.3">
      <c r="A8" t="s">
        <v>27</v>
      </c>
      <c r="B8" s="1">
        <f>B7*0.5*B5^2*rho/B3</f>
        <v>202.40447547464979</v>
      </c>
      <c r="C8" t="s">
        <v>23</v>
      </c>
      <c r="G8" t="s">
        <v>27</v>
      </c>
      <c r="H8" s="1">
        <f>H7*0.5*H5^2*rho/H3</f>
        <v>245.35413401393939</v>
      </c>
    </row>
    <row r="9" spans="1:11" x14ac:dyDescent="0.3">
      <c r="A9" t="s">
        <v>26</v>
      </c>
      <c r="B9">
        <f>(B2/1000/Kv)^2*100000</f>
        <v>2938.775510204081</v>
      </c>
      <c r="C9" t="s">
        <v>13</v>
      </c>
      <c r="G9" t="s">
        <v>32</v>
      </c>
      <c r="H9">
        <v>1</v>
      </c>
    </row>
    <row r="10" spans="1:11" x14ac:dyDescent="0.3">
      <c r="A10" t="s">
        <v>20</v>
      </c>
      <c r="B10" s="1">
        <f>B8*Foglio1!$B$15</f>
        <v>1214.4268528478988</v>
      </c>
      <c r="C10" t="s">
        <v>13</v>
      </c>
      <c r="G10" t="s">
        <v>20</v>
      </c>
      <c r="H10" s="1">
        <f>H8*LpianiAR/2</f>
        <v>736.06240204181813</v>
      </c>
      <c r="I10" t="s">
        <v>13</v>
      </c>
    </row>
    <row r="11" spans="1:11" x14ac:dyDescent="0.3">
      <c r="A11" t="s">
        <v>21</v>
      </c>
      <c r="B11" s="1">
        <f>sumcsi*0.5*rho*B5^2</f>
        <v>967.69646095904625</v>
      </c>
      <c r="C11" t="s">
        <v>13</v>
      </c>
      <c r="G11" t="s">
        <v>21</v>
      </c>
      <c r="H11">
        <f>0.5*rho*H5^2*H9</f>
        <v>207.09029219384553</v>
      </c>
      <c r="I11" t="s">
        <v>13</v>
      </c>
    </row>
    <row r="12" spans="1:11" x14ac:dyDescent="0.3">
      <c r="A12" t="s">
        <v>28</v>
      </c>
      <c r="B12" s="1">
        <f>B9+B10+B11</f>
        <v>5120.8988240110257</v>
      </c>
      <c r="C12" t="s">
        <v>13</v>
      </c>
      <c r="G12" t="s">
        <v>50</v>
      </c>
      <c r="H12" s="1">
        <f>H10+H11</f>
        <v>943.1526942356636</v>
      </c>
      <c r="I12" t="s">
        <v>13</v>
      </c>
    </row>
    <row r="14" spans="1:11" x14ac:dyDescent="0.3">
      <c r="A14" t="s">
        <v>43</v>
      </c>
      <c r="B14" s="1">
        <f>B12</f>
        <v>5120.8988240110257</v>
      </c>
      <c r="G14" t="s">
        <v>51</v>
      </c>
      <c r="H14" s="1"/>
      <c r="I14" t="s">
        <v>13</v>
      </c>
    </row>
    <row r="15" spans="1:11" x14ac:dyDescent="0.3">
      <c r="A15" t="s">
        <v>44</v>
      </c>
      <c r="B15" s="1">
        <f>B2*(B14/B12)^0.525</f>
        <v>360</v>
      </c>
      <c r="C15" t="s">
        <v>22</v>
      </c>
      <c r="D15">
        <f>B15/1000/3600</f>
        <v>9.9999999999999991E-5</v>
      </c>
      <c r="E15" t="s">
        <v>36</v>
      </c>
    </row>
    <row r="16" spans="1:11" x14ac:dyDescent="0.3">
      <c r="A16" t="s">
        <v>39</v>
      </c>
      <c r="B16">
        <f>(B15-B2)/B2*100</f>
        <v>0</v>
      </c>
    </row>
    <row r="18" spans="1:3" x14ac:dyDescent="0.3">
      <c r="A18" t="s">
        <v>45</v>
      </c>
      <c r="B18" s="1">
        <f>B14-B12</f>
        <v>0</v>
      </c>
      <c r="C18" t="s">
        <v>13</v>
      </c>
    </row>
    <row r="19" spans="1:3" x14ac:dyDescent="0.3">
      <c r="A19" t="s">
        <v>46</v>
      </c>
      <c r="B19">
        <f>B2</f>
        <v>360</v>
      </c>
      <c r="C19" t="s">
        <v>22</v>
      </c>
    </row>
    <row r="20" spans="1:3" x14ac:dyDescent="0.3">
      <c r="A20" t="s">
        <v>46</v>
      </c>
      <c r="B20">
        <f>B19/1000</f>
        <v>0.36</v>
      </c>
      <c r="C20" t="s">
        <v>0</v>
      </c>
    </row>
    <row r="21" spans="1:3" x14ac:dyDescent="0.3">
      <c r="A21" t="s">
        <v>45</v>
      </c>
      <c r="B21" s="1">
        <f>B18/100000</f>
        <v>0</v>
      </c>
      <c r="C21" t="s">
        <v>47</v>
      </c>
    </row>
    <row r="22" spans="1:3" x14ac:dyDescent="0.3">
      <c r="A22" t="s">
        <v>48</v>
      </c>
      <c r="B22" s="1" t="e">
        <f>B20/SQRT(B21)</f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J20" sqref="J20"/>
    </sheetView>
  </sheetViews>
  <sheetFormatPr defaultRowHeight="14.4" x14ac:dyDescent="0.3"/>
  <sheetData>
    <row r="1" spans="1:9" x14ac:dyDescent="0.3">
      <c r="A1" t="s">
        <v>53</v>
      </c>
      <c r="G1" t="s">
        <v>59</v>
      </c>
    </row>
    <row r="2" spans="1:9" x14ac:dyDescent="0.3">
      <c r="A2" t="s">
        <v>24</v>
      </c>
      <c r="C2" t="s">
        <v>22</v>
      </c>
      <c r="D2">
        <f>B2/1000/3600</f>
        <v>0</v>
      </c>
      <c r="E2" t="s">
        <v>36</v>
      </c>
      <c r="G2" t="s">
        <v>24</v>
      </c>
      <c r="I2" t="s">
        <v>36</v>
      </c>
    </row>
    <row r="3" spans="1:9" x14ac:dyDescent="0.3">
      <c r="A3" t="s">
        <v>25</v>
      </c>
      <c r="C3" t="s">
        <v>6</v>
      </c>
      <c r="G3" t="s">
        <v>25</v>
      </c>
      <c r="I3" t="s">
        <v>6</v>
      </c>
    </row>
    <row r="4" spans="1:9" x14ac:dyDescent="0.3">
      <c r="A4" t="s">
        <v>14</v>
      </c>
      <c r="C4" t="s">
        <v>15</v>
      </c>
      <c r="G4" t="s">
        <v>14</v>
      </c>
    </row>
    <row r="5" spans="1:9" x14ac:dyDescent="0.3">
      <c r="A5" t="s">
        <v>16</v>
      </c>
      <c r="C5" t="s">
        <v>17</v>
      </c>
      <c r="G5" t="s">
        <v>16</v>
      </c>
    </row>
    <row r="6" spans="1:9" x14ac:dyDescent="0.3">
      <c r="A6" t="s">
        <v>18</v>
      </c>
      <c r="B6" s="1"/>
      <c r="G6" t="s">
        <v>18</v>
      </c>
      <c r="H6" s="1"/>
    </row>
    <row r="7" spans="1:9" x14ac:dyDescent="0.3">
      <c r="A7" t="s">
        <v>19</v>
      </c>
      <c r="B7" s="1"/>
      <c r="G7" t="s">
        <v>19</v>
      </c>
      <c r="H7" s="1"/>
    </row>
    <row r="8" spans="1:9" x14ac:dyDescent="0.3">
      <c r="A8" t="s">
        <v>27</v>
      </c>
      <c r="B8" s="1"/>
      <c r="C8" t="s">
        <v>23</v>
      </c>
      <c r="G8" t="s">
        <v>27</v>
      </c>
      <c r="H8" s="1"/>
    </row>
    <row r="9" spans="1:9" x14ac:dyDescent="0.3">
      <c r="A9" t="s">
        <v>26</v>
      </c>
      <c r="C9" t="s">
        <v>13</v>
      </c>
      <c r="G9" t="s">
        <v>32</v>
      </c>
    </row>
    <row r="10" spans="1:9" x14ac:dyDescent="0.3">
      <c r="A10" t="s">
        <v>20</v>
      </c>
      <c r="B10" s="1"/>
      <c r="C10" t="s">
        <v>13</v>
      </c>
      <c r="G10" t="s">
        <v>20</v>
      </c>
      <c r="H10" s="1"/>
      <c r="I10" t="s">
        <v>13</v>
      </c>
    </row>
    <row r="11" spans="1:9" x14ac:dyDescent="0.3">
      <c r="A11" t="s">
        <v>21</v>
      </c>
      <c r="B11" s="1"/>
      <c r="C11" t="s">
        <v>13</v>
      </c>
      <c r="G11" t="s">
        <v>21</v>
      </c>
      <c r="I11" t="s">
        <v>13</v>
      </c>
    </row>
    <row r="12" spans="1:9" x14ac:dyDescent="0.3">
      <c r="A12" t="s">
        <v>28</v>
      </c>
      <c r="B12" s="1"/>
      <c r="C12" t="s">
        <v>13</v>
      </c>
      <c r="G12" t="s">
        <v>50</v>
      </c>
      <c r="H12" s="1"/>
      <c r="I12" t="s">
        <v>13</v>
      </c>
    </row>
    <row r="14" spans="1:9" x14ac:dyDescent="0.3">
      <c r="A14" t="s">
        <v>54</v>
      </c>
      <c r="B14" s="1"/>
      <c r="G14" t="s">
        <v>60</v>
      </c>
      <c r="H14" s="1"/>
      <c r="I14" t="s">
        <v>13</v>
      </c>
    </row>
    <row r="15" spans="1:9" x14ac:dyDescent="0.3">
      <c r="A15" t="s">
        <v>55</v>
      </c>
      <c r="B15" s="1"/>
      <c r="C15" t="s">
        <v>22</v>
      </c>
      <c r="D15">
        <f>B15/1000/3600</f>
        <v>0</v>
      </c>
      <c r="E15" t="s">
        <v>36</v>
      </c>
    </row>
    <row r="16" spans="1:9" x14ac:dyDescent="0.3">
      <c r="A16" t="s">
        <v>39</v>
      </c>
    </row>
    <row r="18" spans="1:3" x14ac:dyDescent="0.3">
      <c r="A18" t="s">
        <v>57</v>
      </c>
      <c r="B18" s="1"/>
      <c r="C18" t="s">
        <v>13</v>
      </c>
    </row>
    <row r="19" spans="1:3" x14ac:dyDescent="0.3">
      <c r="A19" t="s">
        <v>56</v>
      </c>
      <c r="C19" t="s">
        <v>22</v>
      </c>
    </row>
    <row r="20" spans="1:3" x14ac:dyDescent="0.3">
      <c r="A20" t="s">
        <v>56</v>
      </c>
      <c r="C20" t="s">
        <v>0</v>
      </c>
    </row>
    <row r="21" spans="1:3" x14ac:dyDescent="0.3">
      <c r="A21" t="s">
        <v>57</v>
      </c>
      <c r="B21" s="1"/>
      <c r="C21" t="s">
        <v>47</v>
      </c>
    </row>
    <row r="22" spans="1:3" x14ac:dyDescent="0.3">
      <c r="A22" t="s">
        <v>58</v>
      </c>
      <c r="B2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5" sqref="A25:K25"/>
    </sheetView>
  </sheetViews>
  <sheetFormatPr defaultRowHeight="14.4" x14ac:dyDescent="0.3"/>
  <sheetData>
    <row r="1" spans="1:9" x14ac:dyDescent="0.3">
      <c r="A1" t="s">
        <v>61</v>
      </c>
      <c r="G1" t="s">
        <v>65</v>
      </c>
      <c r="H1" s="3"/>
    </row>
    <row r="2" spans="1:9" x14ac:dyDescent="0.3">
      <c r="A2" t="s">
        <v>24</v>
      </c>
      <c r="B2">
        <v>360</v>
      </c>
      <c r="C2" t="s">
        <v>22</v>
      </c>
      <c r="D2">
        <f>B2/1000/3600</f>
        <v>9.9999999999999991E-5</v>
      </c>
      <c r="E2" t="s">
        <v>36</v>
      </c>
      <c r="G2" t="s">
        <v>24</v>
      </c>
      <c r="H2">
        <f>piano4!H2+piano3!D2</f>
        <v>9.9999999999999991E-5</v>
      </c>
      <c r="I2" t="s">
        <v>36</v>
      </c>
    </row>
    <row r="3" spans="1:9" x14ac:dyDescent="0.3">
      <c r="A3" t="s">
        <v>25</v>
      </c>
      <c r="B3">
        <v>1.66E-2</v>
      </c>
      <c r="C3" t="s">
        <v>6</v>
      </c>
      <c r="G3" t="s">
        <v>25</v>
      </c>
      <c r="H3">
        <v>3.6600000000000001E-2</v>
      </c>
      <c r="I3" t="s">
        <v>6</v>
      </c>
    </row>
    <row r="4" spans="1:9" x14ac:dyDescent="0.3">
      <c r="A4" t="s">
        <v>14</v>
      </c>
      <c r="B4">
        <f>PI()*B3^2/4</f>
        <v>2.1642431790580086E-4</v>
      </c>
      <c r="C4" t="s">
        <v>15</v>
      </c>
      <c r="G4" t="s">
        <v>14</v>
      </c>
      <c r="H4">
        <f>PI()*H3^2/4</f>
        <v>1.0520879637606858E-3</v>
      </c>
    </row>
    <row r="5" spans="1:9" x14ac:dyDescent="0.3">
      <c r="A5" t="s">
        <v>16</v>
      </c>
      <c r="B5">
        <f>D2/B4</f>
        <v>0.46205528550412345</v>
      </c>
      <c r="C5" t="s">
        <v>17</v>
      </c>
      <c r="G5" t="s">
        <v>16</v>
      </c>
      <c r="H5">
        <f>H2/H4</f>
        <v>9.5049086620618908E-2</v>
      </c>
    </row>
    <row r="6" spans="1:9" x14ac:dyDescent="0.3">
      <c r="A6" t="s">
        <v>18</v>
      </c>
      <c r="B6" s="1">
        <f>rho*B5*B3/mu</f>
        <v>18706.67119476894</v>
      </c>
      <c r="G6" t="s">
        <v>18</v>
      </c>
      <c r="H6" s="1">
        <f>rho*H5*H3/mu</f>
        <v>8484.4464981738893</v>
      </c>
    </row>
    <row r="7" spans="1:9" x14ac:dyDescent="0.3">
      <c r="A7" t="s">
        <v>19</v>
      </c>
      <c r="B7" s="1">
        <f>0.07*B6^(-0.13)*B3^(-0.14)</f>
        <v>3.4587833606839299E-2</v>
      </c>
      <c r="G7" t="s">
        <v>19</v>
      </c>
      <c r="H7" s="1">
        <f>0.07*H6^(-0.13)*H3^(-0.14)</f>
        <v>3.4315444675737897E-2</v>
      </c>
    </row>
    <row r="8" spans="1:9" x14ac:dyDescent="0.3">
      <c r="A8" t="s">
        <v>27</v>
      </c>
      <c r="B8" s="1">
        <f>B7*0.5*B5^2*rho/B3</f>
        <v>217.52642242123116</v>
      </c>
      <c r="C8" t="s">
        <v>23</v>
      </c>
      <c r="G8" t="s">
        <v>27</v>
      </c>
      <c r="H8" s="1">
        <f>H7*0.5*H5^2*rho/H3</f>
        <v>4.1420305759379294</v>
      </c>
    </row>
    <row r="9" spans="1:9" x14ac:dyDescent="0.3">
      <c r="A9" t="s">
        <v>26</v>
      </c>
      <c r="B9">
        <f>(B2/1000/Kv)^2*100000</f>
        <v>2938.775510204081</v>
      </c>
      <c r="C9" t="s">
        <v>13</v>
      </c>
      <c r="G9" t="s">
        <v>32</v>
      </c>
      <c r="H9">
        <f>Foglio1!B10+Foglio1!B11+Foglio1!B12+Foglio1!B13</f>
        <v>3.5</v>
      </c>
    </row>
    <row r="10" spans="1:9" x14ac:dyDescent="0.3">
      <c r="A10" t="s">
        <v>20</v>
      </c>
      <c r="B10" s="1">
        <f>B8*Foglio1!$B$15</f>
        <v>1305.158534527387</v>
      </c>
      <c r="C10" t="s">
        <v>13</v>
      </c>
      <c r="G10" t="s">
        <v>20</v>
      </c>
      <c r="H10" s="1">
        <f>H8*Foglio1!B15</f>
        <v>24.852183455627575</v>
      </c>
      <c r="I10" t="s">
        <v>13</v>
      </c>
    </row>
    <row r="11" spans="1:9" x14ac:dyDescent="0.3">
      <c r="A11" t="s">
        <v>21</v>
      </c>
      <c r="B11" s="1">
        <f>sumcsi*0.5*rho*B5^2</f>
        <v>835.19277980530603</v>
      </c>
      <c r="C11" t="s">
        <v>13</v>
      </c>
      <c r="G11" t="s">
        <v>21</v>
      </c>
      <c r="H11">
        <f>0.5*rho*H5^2*H9</f>
        <v>15.462253856578918</v>
      </c>
      <c r="I11" t="s">
        <v>13</v>
      </c>
    </row>
    <row r="12" spans="1:9" x14ac:dyDescent="0.3">
      <c r="A12" t="s">
        <v>28</v>
      </c>
      <c r="B12" s="1">
        <f>B9+B10+B11</f>
        <v>5079.1268245367737</v>
      </c>
      <c r="C12" t="s">
        <v>13</v>
      </c>
      <c r="G12" t="s">
        <v>64</v>
      </c>
      <c r="H12" s="1">
        <f>H10+H11</f>
        <v>40.314437312206493</v>
      </c>
      <c r="I12" t="s">
        <v>13</v>
      </c>
    </row>
    <row r="14" spans="1:9" x14ac:dyDescent="0.3">
      <c r="A14" t="s">
        <v>62</v>
      </c>
      <c r="B14" s="1">
        <f>piano4!H14</f>
        <v>0</v>
      </c>
      <c r="G14" t="s">
        <v>63</v>
      </c>
      <c r="H14" s="1">
        <f>B14+H12</f>
        <v>40.314437312206493</v>
      </c>
      <c r="I14" t="s">
        <v>13</v>
      </c>
    </row>
    <row r="15" spans="1:9" x14ac:dyDescent="0.3">
      <c r="A15" t="s">
        <v>24</v>
      </c>
      <c r="B15" s="1">
        <f>B2*(B14/B12)^0.525</f>
        <v>0</v>
      </c>
      <c r="C15" t="s">
        <v>22</v>
      </c>
      <c r="D15">
        <f>B15/1000/3600</f>
        <v>0</v>
      </c>
      <c r="E15" t="s">
        <v>36</v>
      </c>
    </row>
    <row r="16" spans="1:9" x14ac:dyDescent="0.3">
      <c r="A16" t="s">
        <v>39</v>
      </c>
      <c r="B16">
        <f>(B15-B2)/B2*100</f>
        <v>-100</v>
      </c>
    </row>
    <row r="18" spans="1:3" x14ac:dyDescent="0.3">
      <c r="A18" t="s">
        <v>57</v>
      </c>
      <c r="B18" s="1">
        <f>B14-B12</f>
        <v>-5079.1268245367737</v>
      </c>
      <c r="C18" t="s">
        <v>13</v>
      </c>
    </row>
    <row r="19" spans="1:3" x14ac:dyDescent="0.3">
      <c r="A19" t="s">
        <v>56</v>
      </c>
      <c r="B19">
        <f>B2</f>
        <v>360</v>
      </c>
      <c r="C19" t="s">
        <v>22</v>
      </c>
    </row>
    <row r="20" spans="1:3" x14ac:dyDescent="0.3">
      <c r="A20" t="s">
        <v>56</v>
      </c>
      <c r="B20">
        <f>B19/1000</f>
        <v>0.36</v>
      </c>
      <c r="C20" t="s">
        <v>0</v>
      </c>
    </row>
    <row r="21" spans="1:3" x14ac:dyDescent="0.3">
      <c r="A21" t="s">
        <v>57</v>
      </c>
      <c r="B21" s="1">
        <f>B18/100000</f>
        <v>-5.0791268245367741E-2</v>
      </c>
      <c r="C21" t="s">
        <v>47</v>
      </c>
    </row>
    <row r="22" spans="1:3" x14ac:dyDescent="0.3">
      <c r="A22" t="s">
        <v>58</v>
      </c>
      <c r="B22" s="1" t="e">
        <f>B20/SQRT(B21)</f>
        <v>#NUM!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5" sqref="A25:K25"/>
    </sheetView>
  </sheetViews>
  <sheetFormatPr defaultRowHeight="14.4" x14ac:dyDescent="0.3"/>
  <sheetData>
    <row r="1" spans="1:9" x14ac:dyDescent="0.3">
      <c r="G1" t="s">
        <v>67</v>
      </c>
      <c r="H1" s="3"/>
    </row>
    <row r="2" spans="1:9" x14ac:dyDescent="0.3">
      <c r="A2" t="s">
        <v>24</v>
      </c>
      <c r="B2">
        <v>360</v>
      </c>
      <c r="C2" t="s">
        <v>22</v>
      </c>
      <c r="D2">
        <f>B2/1000/3600</f>
        <v>9.9999999999999991E-5</v>
      </c>
      <c r="E2" t="s">
        <v>36</v>
      </c>
      <c r="G2" t="s">
        <v>24</v>
      </c>
      <c r="H2">
        <f>piano4!H2+piano3!D2</f>
        <v>9.9999999999999991E-5</v>
      </c>
      <c r="I2" t="s">
        <v>36</v>
      </c>
    </row>
    <row r="3" spans="1:9" x14ac:dyDescent="0.3">
      <c r="A3" t="s">
        <v>25</v>
      </c>
      <c r="B3">
        <v>1.66E-2</v>
      </c>
      <c r="C3" t="s">
        <v>6</v>
      </c>
      <c r="G3" t="s">
        <v>25</v>
      </c>
      <c r="H3">
        <v>3.6600000000000001E-2</v>
      </c>
      <c r="I3" t="s">
        <v>6</v>
      </c>
    </row>
    <row r="4" spans="1:9" x14ac:dyDescent="0.3">
      <c r="A4" t="s">
        <v>14</v>
      </c>
      <c r="B4">
        <f>PI()*B3^2/4</f>
        <v>2.1642431790580086E-4</v>
      </c>
      <c r="C4" t="s">
        <v>15</v>
      </c>
      <c r="G4" t="s">
        <v>14</v>
      </c>
      <c r="H4">
        <f>PI()*H3^2/4</f>
        <v>1.0520879637606858E-3</v>
      </c>
    </row>
    <row r="5" spans="1:9" x14ac:dyDescent="0.3">
      <c r="A5" t="s">
        <v>16</v>
      </c>
      <c r="B5">
        <f>D2/B4</f>
        <v>0.46205528550412345</v>
      </c>
      <c r="C5" t="s">
        <v>17</v>
      </c>
      <c r="G5" t="s">
        <v>16</v>
      </c>
      <c r="H5">
        <f>H2/H4</f>
        <v>9.5049086620618908E-2</v>
      </c>
    </row>
    <row r="6" spans="1:9" x14ac:dyDescent="0.3">
      <c r="A6" t="s">
        <v>18</v>
      </c>
      <c r="B6" s="1">
        <f>rho*B5*B3/mu</f>
        <v>18706.67119476894</v>
      </c>
      <c r="G6" t="s">
        <v>18</v>
      </c>
      <c r="H6" s="1">
        <f>rho*H5*H3/mu</f>
        <v>8484.4464981738893</v>
      </c>
    </row>
    <row r="7" spans="1:9" x14ac:dyDescent="0.3">
      <c r="A7" t="s">
        <v>19</v>
      </c>
      <c r="B7" s="1">
        <f>0.07*B6^(-0.13)*B3^(-0.14)</f>
        <v>3.4587833606839299E-2</v>
      </c>
      <c r="G7" t="s">
        <v>19</v>
      </c>
      <c r="H7" s="1">
        <f>0.07*H6^(-0.13)*H3^(-0.14)</f>
        <v>3.4315444675737897E-2</v>
      </c>
    </row>
    <row r="8" spans="1:9" x14ac:dyDescent="0.3">
      <c r="A8" t="s">
        <v>27</v>
      </c>
      <c r="B8" s="1">
        <f>B7*0.5*B5^2*rho/B3</f>
        <v>217.52642242123116</v>
      </c>
      <c r="C8" t="s">
        <v>23</v>
      </c>
      <c r="G8" t="s">
        <v>27</v>
      </c>
      <c r="H8" s="1">
        <f>H7*0.5*H5^2*rho/H3</f>
        <v>4.1420305759379294</v>
      </c>
    </row>
    <row r="9" spans="1:9" x14ac:dyDescent="0.3">
      <c r="A9" t="s">
        <v>26</v>
      </c>
      <c r="B9">
        <f>(B2/1000/Kv)^2*100000</f>
        <v>2938.775510204081</v>
      </c>
      <c r="C9" t="s">
        <v>13</v>
      </c>
      <c r="G9" t="s">
        <v>32</v>
      </c>
      <c r="H9">
        <f>Foglio1!B10+Foglio1!B11+Foglio1!B12+Foglio1!B13</f>
        <v>3.5</v>
      </c>
    </row>
    <row r="10" spans="1:9" x14ac:dyDescent="0.3">
      <c r="A10" t="s">
        <v>20</v>
      </c>
      <c r="B10" s="1">
        <f>B8*Foglio1!$B$15</f>
        <v>1305.158534527387</v>
      </c>
      <c r="C10" t="s">
        <v>13</v>
      </c>
      <c r="G10" t="s">
        <v>20</v>
      </c>
      <c r="H10" s="1">
        <f>H8*Foglio1!B15</f>
        <v>24.852183455627575</v>
      </c>
      <c r="I10" t="s">
        <v>13</v>
      </c>
    </row>
    <row r="11" spans="1:9" x14ac:dyDescent="0.3">
      <c r="A11" t="s">
        <v>21</v>
      </c>
      <c r="B11" s="1">
        <f>sumcsi*0.5*rho*B5^2</f>
        <v>835.19277980530603</v>
      </c>
      <c r="C11" t="s">
        <v>13</v>
      </c>
      <c r="G11" t="s">
        <v>21</v>
      </c>
      <c r="H11">
        <f>0.5*rho*H5^2*H9</f>
        <v>15.462253856578918</v>
      </c>
      <c r="I11" t="s">
        <v>13</v>
      </c>
    </row>
    <row r="12" spans="1:9" x14ac:dyDescent="0.3">
      <c r="A12" t="s">
        <v>28</v>
      </c>
      <c r="B12" s="1">
        <f>B9+B10+B11</f>
        <v>5079.1268245367737</v>
      </c>
      <c r="C12" t="s">
        <v>13</v>
      </c>
      <c r="G12" t="s">
        <v>64</v>
      </c>
      <c r="H12" s="1">
        <f>H10+H11</f>
        <v>40.314437312206493</v>
      </c>
      <c r="I12" t="s">
        <v>13</v>
      </c>
    </row>
    <row r="14" spans="1:9" x14ac:dyDescent="0.3">
      <c r="A14" t="s">
        <v>62</v>
      </c>
      <c r="B14" s="1">
        <f>piano3!H14</f>
        <v>40.314437312206493</v>
      </c>
      <c r="G14" t="s">
        <v>66</v>
      </c>
      <c r="H14" s="1">
        <f>B14+H12</f>
        <v>80.628874624412987</v>
      </c>
      <c r="I14" t="s">
        <v>13</v>
      </c>
    </row>
    <row r="15" spans="1:9" x14ac:dyDescent="0.3">
      <c r="A15" t="s">
        <v>24</v>
      </c>
      <c r="B15" s="1">
        <f>B2*(B14/B12)^0.525</f>
        <v>28.420391885378347</v>
      </c>
      <c r="C15" t="s">
        <v>22</v>
      </c>
      <c r="D15">
        <f>B15/1000/3600</f>
        <v>7.894553301493985E-6</v>
      </c>
      <c r="E15" t="s">
        <v>36</v>
      </c>
    </row>
    <row r="16" spans="1:9" x14ac:dyDescent="0.3">
      <c r="A16" t="s">
        <v>39</v>
      </c>
      <c r="B16">
        <f>(B15-B2)/B2*100</f>
        <v>-92.105446698506015</v>
      </c>
    </row>
    <row r="18" spans="1:3" x14ac:dyDescent="0.3">
      <c r="A18" t="s">
        <v>57</v>
      </c>
      <c r="B18" s="1">
        <f>B14-B12</f>
        <v>-5038.8123872245669</v>
      </c>
      <c r="C18" t="s">
        <v>13</v>
      </c>
    </row>
    <row r="19" spans="1:3" x14ac:dyDescent="0.3">
      <c r="A19" t="s">
        <v>56</v>
      </c>
      <c r="B19">
        <f>B2</f>
        <v>360</v>
      </c>
      <c r="C19" t="s">
        <v>22</v>
      </c>
    </row>
    <row r="20" spans="1:3" x14ac:dyDescent="0.3">
      <c r="A20" t="s">
        <v>56</v>
      </c>
      <c r="B20">
        <f>B19/1000</f>
        <v>0.36</v>
      </c>
      <c r="C20" t="s">
        <v>0</v>
      </c>
    </row>
    <row r="21" spans="1:3" x14ac:dyDescent="0.3">
      <c r="A21" t="s">
        <v>57</v>
      </c>
      <c r="B21" s="1">
        <f>B18/100000</f>
        <v>-5.0388123872245671E-2</v>
      </c>
      <c r="C21" t="s">
        <v>47</v>
      </c>
    </row>
    <row r="22" spans="1:3" x14ac:dyDescent="0.3">
      <c r="A22" t="s">
        <v>58</v>
      </c>
      <c r="B22" s="1" t="e">
        <f>B20/SQRT(B21)</f>
        <v>#NUM!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5" sqref="A25:K25"/>
    </sheetView>
  </sheetViews>
  <sheetFormatPr defaultRowHeight="14.4" x14ac:dyDescent="0.3"/>
  <sheetData>
    <row r="1" spans="1:9" x14ac:dyDescent="0.3">
      <c r="G1" t="s">
        <v>68</v>
      </c>
      <c r="H1" s="3"/>
    </row>
    <row r="2" spans="1:9" x14ac:dyDescent="0.3">
      <c r="A2" t="s">
        <v>24</v>
      </c>
      <c r="B2">
        <v>430</v>
      </c>
      <c r="C2" t="s">
        <v>22</v>
      </c>
      <c r="D2">
        <f>B2/1000/3600</f>
        <v>1.1944444444444444E-4</v>
      </c>
      <c r="E2" t="s">
        <v>36</v>
      </c>
      <c r="G2" t="s">
        <v>24</v>
      </c>
      <c r="H2">
        <f>piano4!H2+piano3!D2</f>
        <v>9.9999999999999991E-5</v>
      </c>
      <c r="I2" t="s">
        <v>36</v>
      </c>
    </row>
    <row r="3" spans="1:9" x14ac:dyDescent="0.3">
      <c r="A3" t="s">
        <v>25</v>
      </c>
      <c r="B3">
        <v>1.66E-2</v>
      </c>
      <c r="C3" t="s">
        <v>6</v>
      </c>
      <c r="G3" t="s">
        <v>25</v>
      </c>
      <c r="H3">
        <v>3.6600000000000001E-2</v>
      </c>
      <c r="I3" t="s">
        <v>6</v>
      </c>
    </row>
    <row r="4" spans="1:9" x14ac:dyDescent="0.3">
      <c r="A4" t="s">
        <v>14</v>
      </c>
      <c r="B4">
        <f>PI()*B3^2/4</f>
        <v>2.1642431790580086E-4</v>
      </c>
      <c r="C4" t="s">
        <v>15</v>
      </c>
      <c r="G4" t="s">
        <v>14</v>
      </c>
      <c r="H4">
        <f>PI()*H3^2/4</f>
        <v>1.0520879637606858E-3</v>
      </c>
    </row>
    <row r="5" spans="1:9" x14ac:dyDescent="0.3">
      <c r="A5" t="s">
        <v>16</v>
      </c>
      <c r="B5">
        <f>D2/B4</f>
        <v>0.55189936879659196</v>
      </c>
      <c r="C5" t="s">
        <v>17</v>
      </c>
      <c r="G5" t="s">
        <v>16</v>
      </c>
      <c r="H5">
        <f>H2/H4</f>
        <v>9.5049086620618908E-2</v>
      </c>
    </row>
    <row r="6" spans="1:9" x14ac:dyDescent="0.3">
      <c r="A6" t="s">
        <v>18</v>
      </c>
      <c r="B6" s="1">
        <f>rho*B5*B3/mu</f>
        <v>22344.079482640678</v>
      </c>
      <c r="G6" t="s">
        <v>18</v>
      </c>
      <c r="H6" s="1">
        <f>rho*H5*H3/mu</f>
        <v>8484.4464981738893</v>
      </c>
    </row>
    <row r="7" spans="1:9" x14ac:dyDescent="0.3">
      <c r="A7" t="s">
        <v>19</v>
      </c>
      <c r="B7" s="1">
        <f>0.07*B6^(-0.13)*B3^(-0.14)</f>
        <v>3.3798061113117804E-2</v>
      </c>
      <c r="G7" t="s">
        <v>19</v>
      </c>
      <c r="H7" s="1">
        <f>0.07*H6^(-0.13)*H3^(-0.14)</f>
        <v>3.4315444675737897E-2</v>
      </c>
    </row>
    <row r="8" spans="1:9" x14ac:dyDescent="0.3">
      <c r="A8" t="s">
        <v>27</v>
      </c>
      <c r="B8" s="1">
        <f>B7*0.5*B5^2*rho/B3</f>
        <v>303.25806023638359</v>
      </c>
      <c r="C8" t="s">
        <v>23</v>
      </c>
      <c r="G8" t="s">
        <v>27</v>
      </c>
      <c r="H8" s="1">
        <f>H7*0.5*H5^2*rho/H3</f>
        <v>4.1420305759379294</v>
      </c>
    </row>
    <row r="9" spans="1:9" x14ac:dyDescent="0.3">
      <c r="A9" t="s">
        <v>26</v>
      </c>
      <c r="B9">
        <f>(B2/1000/Kv)^2*100000</f>
        <v>4192.7437641723354</v>
      </c>
      <c r="C9" t="s">
        <v>13</v>
      </c>
      <c r="G9" t="s">
        <v>32</v>
      </c>
      <c r="H9">
        <f>Foglio1!B10+Foglio1!B11+Foglio1!B12+Foglio1!B13</f>
        <v>3.5</v>
      </c>
    </row>
    <row r="10" spans="1:9" x14ac:dyDescent="0.3">
      <c r="A10" t="s">
        <v>20</v>
      </c>
      <c r="B10" s="1">
        <f>B8*Foglio1!$B$15</f>
        <v>1819.5483614183015</v>
      </c>
      <c r="C10" t="s">
        <v>13</v>
      </c>
      <c r="G10" t="s">
        <v>20</v>
      </c>
      <c r="H10" s="1">
        <f>H8*Foglio1!B15</f>
        <v>24.852183455627575</v>
      </c>
      <c r="I10" t="s">
        <v>13</v>
      </c>
    </row>
    <row r="11" spans="1:9" x14ac:dyDescent="0.3">
      <c r="A11" t="s">
        <v>21</v>
      </c>
      <c r="B11" s="1">
        <f>sumcsi*0.5*rho*B5^2</f>
        <v>1191.5674767438359</v>
      </c>
      <c r="C11" t="s">
        <v>13</v>
      </c>
      <c r="G11" t="s">
        <v>21</v>
      </c>
      <c r="H11">
        <f>0.5*rho*H5^2*H9</f>
        <v>15.462253856578918</v>
      </c>
      <c r="I11" t="s">
        <v>13</v>
      </c>
    </row>
    <row r="12" spans="1:9" x14ac:dyDescent="0.3">
      <c r="A12" t="s">
        <v>28</v>
      </c>
      <c r="B12" s="1">
        <f>B9+B10+B11</f>
        <v>7203.8596023344726</v>
      </c>
      <c r="C12" t="s">
        <v>13</v>
      </c>
      <c r="G12" t="s">
        <v>64</v>
      </c>
      <c r="H12" s="1">
        <f>H10+H11</f>
        <v>40.314437312206493</v>
      </c>
      <c r="I12" t="s">
        <v>13</v>
      </c>
    </row>
    <row r="14" spans="1:9" x14ac:dyDescent="0.3">
      <c r="A14" t="s">
        <v>62</v>
      </c>
      <c r="B14" s="1">
        <f>piano2!H14</f>
        <v>80.628874624412987</v>
      </c>
      <c r="G14" t="s">
        <v>66</v>
      </c>
      <c r="H14" s="1">
        <f>B14+H12</f>
        <v>120.94331193661948</v>
      </c>
      <c r="I14" t="s">
        <v>13</v>
      </c>
    </row>
    <row r="15" spans="1:9" x14ac:dyDescent="0.3">
      <c r="A15" t="s">
        <v>24</v>
      </c>
      <c r="B15" s="1">
        <f>B2*(B14/B12)^0.525</f>
        <v>40.658773016384025</v>
      </c>
      <c r="C15" t="s">
        <v>22</v>
      </c>
      <c r="D15">
        <f>B15/1000/3600</f>
        <v>1.1294103615662231E-5</v>
      </c>
      <c r="E15" t="s">
        <v>36</v>
      </c>
    </row>
    <row r="16" spans="1:9" x14ac:dyDescent="0.3">
      <c r="A16" t="s">
        <v>39</v>
      </c>
      <c r="B16">
        <f>(B15-B2)/B2*100</f>
        <v>-90.544471391538593</v>
      </c>
    </row>
    <row r="18" spans="1:3" x14ac:dyDescent="0.3">
      <c r="A18" t="s">
        <v>57</v>
      </c>
      <c r="B18" s="1">
        <f>B14-B12</f>
        <v>-7123.2307277100599</v>
      </c>
      <c r="C18" t="s">
        <v>13</v>
      </c>
    </row>
    <row r="19" spans="1:3" x14ac:dyDescent="0.3">
      <c r="A19" t="s">
        <v>56</v>
      </c>
      <c r="B19">
        <f>B2</f>
        <v>430</v>
      </c>
      <c r="C19" t="s">
        <v>22</v>
      </c>
    </row>
    <row r="20" spans="1:3" x14ac:dyDescent="0.3">
      <c r="A20" t="s">
        <v>56</v>
      </c>
      <c r="B20">
        <f>B19/1000</f>
        <v>0.43</v>
      </c>
      <c r="C20" t="s">
        <v>0</v>
      </c>
    </row>
    <row r="21" spans="1:3" x14ac:dyDescent="0.3">
      <c r="A21" t="s">
        <v>57</v>
      </c>
      <c r="B21" s="1">
        <f>B18/100000</f>
        <v>-7.1232307277100601E-2</v>
      </c>
      <c r="C21" t="s">
        <v>47</v>
      </c>
    </row>
    <row r="22" spans="1:3" x14ac:dyDescent="0.3">
      <c r="A22" t="s">
        <v>58</v>
      </c>
      <c r="B22" s="1" t="e">
        <f>B20/SQRT(B21)</f>
        <v>#NUM!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J19" sqref="J19"/>
    </sheetView>
  </sheetViews>
  <sheetFormatPr defaultRowHeight="14.4" x14ac:dyDescent="0.3"/>
  <sheetData>
    <row r="1" spans="1:3" x14ac:dyDescent="0.3">
      <c r="A1" t="s">
        <v>69</v>
      </c>
      <c r="C1" t="s">
        <v>70</v>
      </c>
    </row>
    <row r="2" spans="1:3" x14ac:dyDescent="0.3">
      <c r="A2" t="s">
        <v>73</v>
      </c>
      <c r="C2" t="s">
        <v>47</v>
      </c>
    </row>
    <row r="3" spans="1:3" x14ac:dyDescent="0.3">
      <c r="A3" t="s">
        <v>74</v>
      </c>
      <c r="C3" t="s">
        <v>75</v>
      </c>
    </row>
    <row r="4" spans="1:3" x14ac:dyDescent="0.3">
      <c r="A4" t="s">
        <v>76</v>
      </c>
      <c r="C4" t="s">
        <v>70</v>
      </c>
    </row>
    <row r="5" spans="1:3" x14ac:dyDescent="0.3">
      <c r="A5" t="s">
        <v>77</v>
      </c>
    </row>
    <row r="6" spans="1:3" x14ac:dyDescent="0.3">
      <c r="A6" t="s">
        <v>78</v>
      </c>
      <c r="C6" t="s">
        <v>70</v>
      </c>
    </row>
    <row r="7" spans="1:3" x14ac:dyDescent="0.3">
      <c r="A7" t="s">
        <v>79</v>
      </c>
      <c r="C7" t="s">
        <v>47</v>
      </c>
    </row>
    <row r="8" spans="1:3" x14ac:dyDescent="0.3">
      <c r="A8" t="s">
        <v>80</v>
      </c>
      <c r="C8" t="s">
        <v>47</v>
      </c>
    </row>
    <row r="9" spans="1:3" x14ac:dyDescent="0.3">
      <c r="A9" t="s">
        <v>81</v>
      </c>
      <c r="C9" t="s">
        <v>47</v>
      </c>
    </row>
    <row r="10" spans="1:3" x14ac:dyDescent="0.3">
      <c r="A10" t="s">
        <v>13</v>
      </c>
      <c r="C10" t="s">
        <v>47</v>
      </c>
    </row>
    <row r="11" spans="1:3" x14ac:dyDescent="0.3">
      <c r="A11" t="s">
        <v>82</v>
      </c>
    </row>
    <row r="12" spans="1:3" x14ac:dyDescent="0.3">
      <c r="A12" t="s">
        <v>76</v>
      </c>
      <c r="C1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Foglio1</vt:lpstr>
      <vt:lpstr>piano 7</vt:lpstr>
      <vt:lpstr>piano6</vt:lpstr>
      <vt:lpstr>piano5</vt:lpstr>
      <vt:lpstr>piano4</vt:lpstr>
      <vt:lpstr>piano3</vt:lpstr>
      <vt:lpstr>piano2</vt:lpstr>
      <vt:lpstr>piano1</vt:lpstr>
      <vt:lpstr>colonna</vt:lpstr>
      <vt:lpstr>Kv</vt:lpstr>
      <vt:lpstr>lderAR</vt:lpstr>
      <vt:lpstr>LpianiAR</vt:lpstr>
      <vt:lpstr>mu</vt:lpstr>
      <vt:lpstr>rho</vt:lpstr>
      <vt:lpstr>sumcsi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2019-03-25T22:38:24Z</dcterms:created>
  <dcterms:modified xsi:type="dcterms:W3CDTF">2023-03-22T12:52:16Z</dcterms:modified>
</cp:coreProperties>
</file>