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federicamarini/Desktop/Lavoro/Università desk/Programmazione e controllo/2023/Caso Mozart/"/>
    </mc:Choice>
  </mc:AlternateContent>
  <xr:revisionPtr revIDLastSave="0" documentId="13_ncr:1_{CF6071AA-68DD-6B4F-8850-9C7D05A22FF6}" xr6:coauthVersionLast="47" xr6:coauthVersionMax="47" xr10:uidLastSave="{00000000-0000-0000-0000-000000000000}"/>
  <bookViews>
    <workbookView xWindow="0" yWindow="500" windowWidth="35840" windowHeight="19860" tabRatio="704" activeTab="3" xr2:uid="{00000000-000D-0000-FFFF-FFFF00000000}"/>
  </bookViews>
  <sheets>
    <sheet name="Tab 0" sheetId="85" r:id="rId1"/>
    <sheet name="Tab 1" sheetId="86" r:id="rId2"/>
    <sheet name="Tab 2" sheetId="87" r:id="rId3"/>
    <sheet name="Tab 3" sheetId="51" r:id="rId4"/>
    <sheet name="QUANTITÀ" sheetId="52" r:id="rId5"/>
    <sheet name="PREZZI" sheetId="77" r:id="rId6"/>
    <sheet name="MOLLE" sheetId="53" r:id="rId7"/>
    <sheet name="POLIUR" sheetId="54" r:id="rId8"/>
    <sheet name="Tab. 4" sheetId="8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87" l="1"/>
  <c r="Q15" i="87"/>
  <c r="S15" i="87"/>
  <c r="S6" i="87"/>
  <c r="S14" i="87"/>
  <c r="Q14" i="87"/>
  <c r="E26" i="85"/>
  <c r="C6" i="77"/>
  <c r="C53" i="53" s="1"/>
  <c r="D6" i="77"/>
  <c r="D53" i="53" s="1"/>
  <c r="N5" i="52"/>
  <c r="R14" i="87"/>
  <c r="R7" i="87"/>
  <c r="R6" i="87"/>
  <c r="Q7" i="87"/>
  <c r="Q6" i="87"/>
  <c r="P7" i="87"/>
  <c r="P6" i="87"/>
  <c r="J7" i="87"/>
  <c r="J15" i="87" s="1"/>
  <c r="B14" i="77" s="1"/>
  <c r="J6" i="87"/>
  <c r="J14" i="87" s="1"/>
  <c r="K7" i="77" s="1"/>
  <c r="G7" i="87"/>
  <c r="G15" i="87" s="1"/>
  <c r="J13" i="77" s="1"/>
  <c r="G6" i="87"/>
  <c r="G14" i="87" s="1"/>
  <c r="F6" i="77" s="1"/>
  <c r="F53" i="53" s="1"/>
  <c r="D7" i="87"/>
  <c r="D15" i="87" s="1"/>
  <c r="E12" i="77" s="1"/>
  <c r="D6" i="87"/>
  <c r="D14" i="87" s="1"/>
  <c r="C5" i="77" s="1"/>
  <c r="I19" i="86"/>
  <c r="N19" i="86" s="1"/>
  <c r="I20" i="86"/>
  <c r="N20" i="86" s="1"/>
  <c r="H20" i="86"/>
  <c r="M20" i="86" s="1"/>
  <c r="H21" i="86"/>
  <c r="M21" i="86" s="1"/>
  <c r="H19" i="86"/>
  <c r="M19" i="86" s="1"/>
  <c r="I14" i="86"/>
  <c r="N14" i="86" s="1"/>
  <c r="C40" i="85"/>
  <c r="D40" i="85"/>
  <c r="B40" i="85"/>
  <c r="D19" i="86"/>
  <c r="E19" i="86"/>
  <c r="D20" i="86"/>
  <c r="E20" i="86"/>
  <c r="D21" i="86"/>
  <c r="E21" i="86"/>
  <c r="I21" i="86" s="1"/>
  <c r="C20" i="86"/>
  <c r="G20" i="86" s="1"/>
  <c r="L20" i="86" s="1"/>
  <c r="C21" i="86"/>
  <c r="G21" i="86" s="1"/>
  <c r="L21" i="86" s="1"/>
  <c r="C19" i="86"/>
  <c r="G19" i="86" s="1"/>
  <c r="L19" i="86" s="1"/>
  <c r="E14" i="86"/>
  <c r="C14" i="86"/>
  <c r="C12" i="86"/>
  <c r="C8" i="86"/>
  <c r="G8" i="86" s="1"/>
  <c r="L8" i="86" s="1"/>
  <c r="E25" i="85"/>
  <c r="C20" i="85"/>
  <c r="C22" i="85" s="1"/>
  <c r="D8" i="86" s="1"/>
  <c r="B24" i="85"/>
  <c r="B20" i="85" s="1"/>
  <c r="B21" i="85" s="1"/>
  <c r="B30" i="85"/>
  <c r="C55" i="85"/>
  <c r="D55" i="85"/>
  <c r="B55" i="85"/>
  <c r="D20" i="85"/>
  <c r="E7" i="86" s="1"/>
  <c r="I7" i="86" s="1"/>
  <c r="N7" i="86" s="1"/>
  <c r="D22" i="85"/>
  <c r="E8" i="86" s="1"/>
  <c r="I8" i="86" s="1"/>
  <c r="N8" i="86" s="1"/>
  <c r="B38" i="85"/>
  <c r="E43" i="85"/>
  <c r="C24" i="85"/>
  <c r="C43" i="85" s="1"/>
  <c r="E38" i="85"/>
  <c r="E44" i="85" s="1"/>
  <c r="F12" i="86"/>
  <c r="E13" i="77" l="1"/>
  <c r="D13" i="77"/>
  <c r="C13" i="77"/>
  <c r="J21" i="86"/>
  <c r="N21" i="86"/>
  <c r="I11" i="86"/>
  <c r="M5" i="77"/>
  <c r="L5" i="77"/>
  <c r="K5" i="77"/>
  <c r="L12" i="77"/>
  <c r="J5" i="77"/>
  <c r="K12" i="77"/>
  <c r="M13" i="77"/>
  <c r="K6" i="77"/>
  <c r="K53" i="53" s="1"/>
  <c r="L13" i="77"/>
  <c r="I13" i="77"/>
  <c r="H13" i="77"/>
  <c r="H6" i="77"/>
  <c r="H53" i="53" s="1"/>
  <c r="G13" i="77"/>
  <c r="M12" i="77"/>
  <c r="I5" i="77"/>
  <c r="J12" i="77"/>
  <c r="B5" i="77"/>
  <c r="H5" i="77"/>
  <c r="D12" i="77"/>
  <c r="B6" i="77"/>
  <c r="B53" i="53" s="1"/>
  <c r="G5" i="77"/>
  <c r="C12" i="77"/>
  <c r="M6" i="77"/>
  <c r="M53" i="53" s="1"/>
  <c r="F5" i="77"/>
  <c r="L6" i="77"/>
  <c r="L53" i="53" s="1"/>
  <c r="J6" i="77"/>
  <c r="J53" i="53" s="1"/>
  <c r="I6" i="77"/>
  <c r="I53" i="53" s="1"/>
  <c r="C28" i="85"/>
  <c r="C30" i="85" s="1"/>
  <c r="E6" i="77"/>
  <c r="E53" i="53" s="1"/>
  <c r="F13" i="77"/>
  <c r="J7" i="77"/>
  <c r="L14" i="77"/>
  <c r="G7" i="77"/>
  <c r="J14" i="77"/>
  <c r="M14" i="77"/>
  <c r="H7" i="77"/>
  <c r="K14" i="77"/>
  <c r="F14" i="77"/>
  <c r="H14" i="77"/>
  <c r="E14" i="77"/>
  <c r="I14" i="77"/>
  <c r="D7" i="77"/>
  <c r="C7" i="77"/>
  <c r="F7" i="77"/>
  <c r="E7" i="77"/>
  <c r="D14" i="77"/>
  <c r="E5" i="77"/>
  <c r="C14" i="77"/>
  <c r="I12" i="77"/>
  <c r="G14" i="77"/>
  <c r="B7" i="77"/>
  <c r="D5" i="77"/>
  <c r="H12" i="77"/>
  <c r="I7" i="77"/>
  <c r="M7" i="77"/>
  <c r="G12" i="77"/>
  <c r="L7" i="77"/>
  <c r="G6" i="77"/>
  <c r="G53" i="53" s="1"/>
  <c r="B12" i="77"/>
  <c r="K13" i="77"/>
  <c r="F12" i="77"/>
  <c r="B13" i="77"/>
  <c r="C11" i="86"/>
  <c r="E8" i="87" s="1"/>
  <c r="E7" i="87" s="1"/>
  <c r="C7" i="87" s="1"/>
  <c r="D11" i="86"/>
  <c r="H8" i="87" s="1"/>
  <c r="H6" i="87" s="1"/>
  <c r="F6" i="87" s="1"/>
  <c r="E16" i="86"/>
  <c r="C7" i="86"/>
  <c r="G7" i="86" s="1"/>
  <c r="L7" i="86" s="1"/>
  <c r="D7" i="86"/>
  <c r="H7" i="86" s="1"/>
  <c r="G22" i="86"/>
  <c r="I22" i="86"/>
  <c r="G9" i="86"/>
  <c r="H22" i="86"/>
  <c r="E22" i="86"/>
  <c r="D22" i="86"/>
  <c r="C22" i="86"/>
  <c r="F21" i="86"/>
  <c r="F20" i="86"/>
  <c r="I16" i="86"/>
  <c r="J19" i="86"/>
  <c r="I9" i="86"/>
  <c r="J20" i="86"/>
  <c r="O20" i="86" s="1"/>
  <c r="F19" i="86"/>
  <c r="E9" i="86"/>
  <c r="C16" i="86"/>
  <c r="G16" i="86" s="1"/>
  <c r="F8" i="86"/>
  <c r="D24" i="85"/>
  <c r="E11" i="86" s="1"/>
  <c r="G20" i="85"/>
  <c r="G21" i="85" s="1"/>
  <c r="D26" i="85"/>
  <c r="E12" i="86" s="1"/>
  <c r="B43" i="85"/>
  <c r="B29" i="85"/>
  <c r="B44" i="85"/>
  <c r="C44" i="85"/>
  <c r="C26" i="85"/>
  <c r="D12" i="86" s="1"/>
  <c r="H12" i="86" s="1"/>
  <c r="M12" i="86" s="1"/>
  <c r="H7" i="87" l="1"/>
  <c r="F7" i="87" s="1"/>
  <c r="D24" i="86"/>
  <c r="H8" i="86"/>
  <c r="M7" i="86"/>
  <c r="M22" i="86"/>
  <c r="I24" i="86"/>
  <c r="N24" i="86" s="1"/>
  <c r="N22" i="86"/>
  <c r="L22" i="86"/>
  <c r="O19" i="86"/>
  <c r="O21" i="86"/>
  <c r="D14" i="86"/>
  <c r="D16" i="86" s="1"/>
  <c r="C24" i="86"/>
  <c r="E15" i="86"/>
  <c r="N15" i="86" s="1"/>
  <c r="K8" i="87"/>
  <c r="N8" i="87"/>
  <c r="C15" i="86"/>
  <c r="G15" i="86" s="1"/>
  <c r="L15" i="86" s="1"/>
  <c r="C29" i="85"/>
  <c r="G14" i="86"/>
  <c r="L14" i="86" s="1"/>
  <c r="L16" i="86"/>
  <c r="E6" i="87"/>
  <c r="N9" i="86"/>
  <c r="N16" i="86"/>
  <c r="N11" i="86"/>
  <c r="I12" i="86"/>
  <c r="N12" i="86" s="1"/>
  <c r="K16" i="87"/>
  <c r="E24" i="86"/>
  <c r="H11" i="86"/>
  <c r="H14" i="86" s="1"/>
  <c r="J8" i="86"/>
  <c r="O8" i="86" s="1"/>
  <c r="F11" i="86"/>
  <c r="F7" i="86"/>
  <c r="F9" i="86" s="1"/>
  <c r="F22" i="86"/>
  <c r="J7" i="86"/>
  <c r="D9" i="86"/>
  <c r="C9" i="86"/>
  <c r="L9" i="86" s="1"/>
  <c r="J22" i="86"/>
  <c r="O22" i="86" s="1"/>
  <c r="D25" i="85"/>
  <c r="D29" i="85"/>
  <c r="D43" i="85"/>
  <c r="D44" i="85"/>
  <c r="F14" i="86" l="1"/>
  <c r="F16" i="86" s="1"/>
  <c r="D15" i="86"/>
  <c r="F24" i="86"/>
  <c r="H15" i="86"/>
  <c r="H9" i="86"/>
  <c r="M9" i="86" s="1"/>
  <c r="M8" i="86"/>
  <c r="F15" i="86"/>
  <c r="H16" i="86"/>
  <c r="M16" i="86" s="1"/>
  <c r="M14" i="86"/>
  <c r="M15" i="86"/>
  <c r="C6" i="87"/>
  <c r="H16" i="87"/>
  <c r="M11" i="86"/>
  <c r="G11" i="86"/>
  <c r="K6" i="87"/>
  <c r="I6" i="87" s="1"/>
  <c r="K7" i="87"/>
  <c r="J9" i="86"/>
  <c r="O9" i="86" s="1"/>
  <c r="O7" i="86"/>
  <c r="K15" i="87"/>
  <c r="I15" i="87" s="1"/>
  <c r="K14" i="87"/>
  <c r="I14" i="87" s="1"/>
  <c r="H24" i="86"/>
  <c r="M24" i="86" s="1"/>
  <c r="J14" i="86"/>
  <c r="M17" i="52" l="1"/>
  <c r="L17" i="52"/>
  <c r="B17" i="52"/>
  <c r="B79" i="54" s="1"/>
  <c r="G17" i="52"/>
  <c r="J17" i="52"/>
  <c r="K17" i="52"/>
  <c r="K79" i="54" s="1"/>
  <c r="D17" i="52"/>
  <c r="D79" i="54" s="1"/>
  <c r="C17" i="52"/>
  <c r="E17" i="52"/>
  <c r="K17" i="51" s="1"/>
  <c r="H17" i="52"/>
  <c r="B41" i="51" s="1"/>
  <c r="F17" i="52"/>
  <c r="N17" i="51" s="1"/>
  <c r="I17" i="52"/>
  <c r="E41" i="51" s="1"/>
  <c r="J16" i="86"/>
  <c r="O16" i="86" s="1"/>
  <c r="O14" i="86"/>
  <c r="B10" i="52"/>
  <c r="B77" i="53" s="1"/>
  <c r="D10" i="52"/>
  <c r="H11" i="51" s="1"/>
  <c r="M10" i="52"/>
  <c r="H10" i="52"/>
  <c r="F10" i="52"/>
  <c r="C10" i="52"/>
  <c r="G10" i="52"/>
  <c r="Q11" i="51" s="1"/>
  <c r="I10" i="52"/>
  <c r="E35" i="51" s="1"/>
  <c r="K10" i="52"/>
  <c r="K35" i="51" s="1"/>
  <c r="E10" i="52"/>
  <c r="E77" i="53" s="1"/>
  <c r="L10" i="52"/>
  <c r="N35" i="51" s="1"/>
  <c r="J10" i="52"/>
  <c r="H35" i="51" s="1"/>
  <c r="H14" i="87"/>
  <c r="F14" i="87" s="1"/>
  <c r="H15" i="87"/>
  <c r="F15" i="87" s="1"/>
  <c r="I7" i="87"/>
  <c r="L7" i="87" s="1"/>
  <c r="N7" i="87"/>
  <c r="S7" i="87" s="1"/>
  <c r="G12" i="86"/>
  <c r="L12" i="86" s="1"/>
  <c r="L11" i="86"/>
  <c r="E16" i="87"/>
  <c r="J11" i="86"/>
  <c r="N6" i="87"/>
  <c r="L6" i="87"/>
  <c r="M6" i="87" s="1"/>
  <c r="G24" i="86"/>
  <c r="L24" i="86" s="1"/>
  <c r="J80" i="54"/>
  <c r="H80" i="54"/>
  <c r="E80" i="54"/>
  <c r="I17" i="51"/>
  <c r="F17" i="51"/>
  <c r="I40" i="51"/>
  <c r="C40" i="51"/>
  <c r="O39" i="51"/>
  <c r="L39" i="51"/>
  <c r="I30" i="54"/>
  <c r="F30" i="54"/>
  <c r="D30" i="54"/>
  <c r="C30" i="54"/>
  <c r="D30" i="53"/>
  <c r="E30" i="53"/>
  <c r="F30" i="53"/>
  <c r="K30" i="53"/>
  <c r="L30" i="53"/>
  <c r="F10" i="51"/>
  <c r="E78" i="53"/>
  <c r="C35" i="51"/>
  <c r="I78" i="53"/>
  <c r="O35" i="51"/>
  <c r="M78" i="53"/>
  <c r="C11" i="51"/>
  <c r="C9" i="51"/>
  <c r="C77" i="53"/>
  <c r="B30" i="53"/>
  <c r="B78" i="53"/>
  <c r="C30" i="53"/>
  <c r="C78" i="53"/>
  <c r="F77" i="53"/>
  <c r="G30" i="53"/>
  <c r="G77" i="53"/>
  <c r="G78" i="53"/>
  <c r="H30" i="53"/>
  <c r="H77" i="53"/>
  <c r="H78" i="53"/>
  <c r="I30" i="53"/>
  <c r="I77" i="53"/>
  <c r="M30" i="53"/>
  <c r="M77" i="53"/>
  <c r="C80" i="54"/>
  <c r="D80" i="54"/>
  <c r="E30" i="54"/>
  <c r="F55" i="54"/>
  <c r="G79" i="54"/>
  <c r="H30" i="54"/>
  <c r="H79" i="54"/>
  <c r="I55" i="54"/>
  <c r="I79" i="54"/>
  <c r="I80" i="54"/>
  <c r="J30" i="54"/>
  <c r="J79" i="54"/>
  <c r="K30" i="54"/>
  <c r="K55" i="54"/>
  <c r="L79" i="54"/>
  <c r="L80" i="54"/>
  <c r="M30" i="54"/>
  <c r="M55" i="54"/>
  <c r="M79" i="54"/>
  <c r="M80" i="54"/>
  <c r="L15" i="51"/>
  <c r="R15" i="51"/>
  <c r="C39" i="51"/>
  <c r="F39" i="51"/>
  <c r="I39" i="51"/>
  <c r="L16" i="51"/>
  <c r="O16" i="51"/>
  <c r="R16" i="51"/>
  <c r="F40" i="51"/>
  <c r="L40" i="51"/>
  <c r="O40" i="51"/>
  <c r="R40" i="51"/>
  <c r="B17" i="51"/>
  <c r="C17" i="51"/>
  <c r="E17" i="51"/>
  <c r="H17" i="51"/>
  <c r="Q17" i="51"/>
  <c r="F41" i="51"/>
  <c r="H41" i="51"/>
  <c r="I41" i="51"/>
  <c r="K41" i="51"/>
  <c r="L41" i="51"/>
  <c r="N41" i="51"/>
  <c r="O41" i="51"/>
  <c r="Q41" i="51"/>
  <c r="R41" i="51"/>
  <c r="F9" i="51"/>
  <c r="I9" i="51"/>
  <c r="L9" i="51"/>
  <c r="O9" i="51"/>
  <c r="R9" i="51"/>
  <c r="C33" i="51"/>
  <c r="F33" i="51"/>
  <c r="L33" i="51"/>
  <c r="O33" i="51"/>
  <c r="R33" i="51"/>
  <c r="C10" i="51"/>
  <c r="C34" i="51"/>
  <c r="F34" i="51"/>
  <c r="I34" i="51"/>
  <c r="L34" i="51"/>
  <c r="O34" i="51"/>
  <c r="R34" i="51"/>
  <c r="E11" i="51"/>
  <c r="F11" i="51"/>
  <c r="I11" i="51"/>
  <c r="K11" i="51"/>
  <c r="L11" i="51"/>
  <c r="N11" i="51"/>
  <c r="O11" i="51"/>
  <c r="R11" i="51"/>
  <c r="B35" i="51"/>
  <c r="Q35" i="51"/>
  <c r="R35" i="51"/>
  <c r="H47" i="51" l="1"/>
  <c r="Q23" i="51"/>
  <c r="N17" i="52"/>
  <c r="L77" i="53"/>
  <c r="C79" i="54"/>
  <c r="K77" i="53"/>
  <c r="B11" i="51"/>
  <c r="D11" i="51" s="1"/>
  <c r="D23" i="51" s="1"/>
  <c r="F16" i="52"/>
  <c r="C16" i="52"/>
  <c r="D16" i="52"/>
  <c r="J16" i="52"/>
  <c r="H16" i="52"/>
  <c r="B16" i="52"/>
  <c r="I16" i="52"/>
  <c r="L16" i="52"/>
  <c r="K16" i="52"/>
  <c r="M16" i="52"/>
  <c r="G16" i="52"/>
  <c r="E16" i="52"/>
  <c r="N10" i="52"/>
  <c r="D77" i="53"/>
  <c r="J77" i="53"/>
  <c r="E23" i="51"/>
  <c r="M7" i="87"/>
  <c r="B47" i="51"/>
  <c r="M9" i="52"/>
  <c r="G9" i="52"/>
  <c r="H9" i="52"/>
  <c r="B9" i="52"/>
  <c r="I9" i="52"/>
  <c r="F9" i="52"/>
  <c r="L9" i="52"/>
  <c r="E9" i="52"/>
  <c r="J9" i="52"/>
  <c r="D9" i="52"/>
  <c r="K9" i="52"/>
  <c r="C9" i="52"/>
  <c r="F79" i="54"/>
  <c r="E79" i="54"/>
  <c r="E81" i="54" s="1"/>
  <c r="J12" i="86"/>
  <c r="O12" i="86" s="1"/>
  <c r="O11" i="86"/>
  <c r="J24" i="86"/>
  <c r="O24" i="86" s="1"/>
  <c r="J15" i="86"/>
  <c r="O15" i="86" s="1"/>
  <c r="E14" i="87"/>
  <c r="N16" i="87"/>
  <c r="E15" i="87"/>
  <c r="K23" i="51"/>
  <c r="N23" i="51"/>
  <c r="H23" i="51"/>
  <c r="N47" i="51"/>
  <c r="Q47" i="51"/>
  <c r="K47" i="51"/>
  <c r="E47" i="51"/>
  <c r="I10" i="51"/>
  <c r="G80" i="54"/>
  <c r="G81" i="54" s="1"/>
  <c r="G55" i="54"/>
  <c r="I16" i="51"/>
  <c r="E55" i="54"/>
  <c r="D55" i="54"/>
  <c r="F16" i="51"/>
  <c r="C41" i="51"/>
  <c r="D41" i="51" s="1"/>
  <c r="C16" i="51"/>
  <c r="I15" i="51"/>
  <c r="R17" i="51"/>
  <c r="F15" i="51"/>
  <c r="H55" i="54"/>
  <c r="B30" i="54"/>
  <c r="O17" i="51"/>
  <c r="P17" i="51" s="1"/>
  <c r="C15" i="51"/>
  <c r="F35" i="51"/>
  <c r="G35" i="51" s="1"/>
  <c r="G47" i="51" s="1"/>
  <c r="F78" i="53"/>
  <c r="F79" i="53" s="1"/>
  <c r="K80" i="54"/>
  <c r="K81" i="54" s="1"/>
  <c r="D78" i="53"/>
  <c r="D79" i="53" s="1"/>
  <c r="C55" i="54"/>
  <c r="C81" i="54"/>
  <c r="J55" i="54"/>
  <c r="O15" i="51"/>
  <c r="L55" i="54"/>
  <c r="G30" i="54"/>
  <c r="B80" i="54"/>
  <c r="L17" i="51"/>
  <c r="M17" i="51" s="1"/>
  <c r="R39" i="51"/>
  <c r="B55" i="54"/>
  <c r="L30" i="54"/>
  <c r="F80" i="54"/>
  <c r="O10" i="51"/>
  <c r="L10" i="51"/>
  <c r="I33" i="51"/>
  <c r="J30" i="53"/>
  <c r="L78" i="53"/>
  <c r="L79" i="53" s="1"/>
  <c r="M8" i="88" s="1"/>
  <c r="M12" i="88" s="1"/>
  <c r="K78" i="53"/>
  <c r="K79" i="53" s="1"/>
  <c r="L35" i="51"/>
  <c r="M35" i="51" s="1"/>
  <c r="M47" i="51" s="1"/>
  <c r="R10" i="51"/>
  <c r="I35" i="51"/>
  <c r="J35" i="51" s="1"/>
  <c r="J47" i="51" s="1"/>
  <c r="I47" i="51" s="1"/>
  <c r="J78" i="53"/>
  <c r="M41" i="51"/>
  <c r="J81" i="54"/>
  <c r="D17" i="51"/>
  <c r="C79" i="53"/>
  <c r="B79" i="53"/>
  <c r="P41" i="51"/>
  <c r="S11" i="51"/>
  <c r="S23" i="51" s="1"/>
  <c r="R23" i="51" s="1"/>
  <c r="M81" i="54"/>
  <c r="H79" i="53"/>
  <c r="M79" i="53"/>
  <c r="I79" i="53"/>
  <c r="D81" i="54"/>
  <c r="D35" i="51"/>
  <c r="D47" i="51" s="1"/>
  <c r="C47" i="51" s="1"/>
  <c r="H81" i="54"/>
  <c r="G41" i="51"/>
  <c r="S41" i="51"/>
  <c r="M11" i="51"/>
  <c r="M23" i="51" s="1"/>
  <c r="L81" i="54"/>
  <c r="G11" i="51"/>
  <c r="J41" i="51"/>
  <c r="S17" i="51"/>
  <c r="G79" i="53"/>
  <c r="N77" i="53"/>
  <c r="E79" i="53"/>
  <c r="P11" i="51"/>
  <c r="I81" i="54"/>
  <c r="J17" i="51"/>
  <c r="T17" i="51"/>
  <c r="T11" i="51"/>
  <c r="S35" i="51"/>
  <c r="T41" i="51"/>
  <c r="J11" i="51"/>
  <c r="T35" i="51"/>
  <c r="P35" i="51"/>
  <c r="G17" i="51"/>
  <c r="I8" i="88" l="1"/>
  <c r="H8" i="88"/>
  <c r="H12" i="88" s="1"/>
  <c r="N79" i="54"/>
  <c r="B23" i="51"/>
  <c r="D8" i="88"/>
  <c r="D12" i="88" s="1"/>
  <c r="E8" i="88"/>
  <c r="E12" i="88" s="1"/>
  <c r="P47" i="51"/>
  <c r="S47" i="51"/>
  <c r="R47" i="51" s="1"/>
  <c r="C52" i="53"/>
  <c r="C54" i="53" s="1"/>
  <c r="E10" i="51"/>
  <c r="E54" i="54"/>
  <c r="E56" i="54" s="1"/>
  <c r="F7" i="88" s="1"/>
  <c r="F11" i="88" s="1"/>
  <c r="K16" i="51"/>
  <c r="M16" i="51" s="1"/>
  <c r="M54" i="54"/>
  <c r="M56" i="54" s="1"/>
  <c r="Q40" i="51"/>
  <c r="S40" i="51" s="1"/>
  <c r="K54" i="54"/>
  <c r="K56" i="54" s="1"/>
  <c r="K40" i="51"/>
  <c r="M40" i="51" s="1"/>
  <c r="F52" i="53"/>
  <c r="F54" i="53" s="1"/>
  <c r="N10" i="51"/>
  <c r="D52" i="53"/>
  <c r="D54" i="53" s="1"/>
  <c r="H10" i="51"/>
  <c r="H22" i="51" s="1"/>
  <c r="K52" i="53"/>
  <c r="K54" i="53" s="1"/>
  <c r="K34" i="51"/>
  <c r="J79" i="53"/>
  <c r="K8" i="88" s="1"/>
  <c r="E52" i="53"/>
  <c r="E54" i="53" s="1"/>
  <c r="K10" i="51"/>
  <c r="M10" i="51" s="1"/>
  <c r="M22" i="51" s="1"/>
  <c r="J52" i="53"/>
  <c r="J54" i="53" s="1"/>
  <c r="H34" i="51"/>
  <c r="Q16" i="51"/>
  <c r="S16" i="51" s="1"/>
  <c r="G54" i="54"/>
  <c r="G56" i="54" s="1"/>
  <c r="H7" i="88" s="1"/>
  <c r="H11" i="88" s="1"/>
  <c r="L52" i="53"/>
  <c r="L54" i="53" s="1"/>
  <c r="N34" i="51"/>
  <c r="C15" i="87"/>
  <c r="N15" i="87"/>
  <c r="E40" i="51"/>
  <c r="G40" i="51" s="1"/>
  <c r="I54" i="54"/>
  <c r="I56" i="54" s="1"/>
  <c r="B52" i="53"/>
  <c r="N9" i="52"/>
  <c r="B10" i="51"/>
  <c r="C14" i="87"/>
  <c r="N14" i="87"/>
  <c r="B40" i="51"/>
  <c r="H54" i="54"/>
  <c r="H56" i="54" s="1"/>
  <c r="F81" i="54"/>
  <c r="G8" i="88" s="1"/>
  <c r="G12" i="88" s="1"/>
  <c r="G52" i="53"/>
  <c r="G54" i="53" s="1"/>
  <c r="Q10" i="51"/>
  <c r="M52" i="53"/>
  <c r="M54" i="53" s="1"/>
  <c r="Q34" i="51"/>
  <c r="G23" i="51"/>
  <c r="F23" i="51" s="1"/>
  <c r="F54" i="54"/>
  <c r="F56" i="54" s="1"/>
  <c r="N16" i="51"/>
  <c r="P16" i="51" s="1"/>
  <c r="L54" i="54"/>
  <c r="L56" i="54" s="1"/>
  <c r="N40" i="51"/>
  <c r="P40" i="51" s="1"/>
  <c r="I52" i="53"/>
  <c r="I54" i="53" s="1"/>
  <c r="E34" i="51"/>
  <c r="N16" i="52"/>
  <c r="B16" i="51"/>
  <c r="B54" i="54"/>
  <c r="B56" i="54" s="1"/>
  <c r="H52" i="53"/>
  <c r="H54" i="53" s="1"/>
  <c r="B34" i="51"/>
  <c r="J54" i="54"/>
  <c r="J56" i="54" s="1"/>
  <c r="H40" i="51"/>
  <c r="J40" i="51" s="1"/>
  <c r="D16" i="51"/>
  <c r="D54" i="54"/>
  <c r="D56" i="54" s="1"/>
  <c r="H16" i="51"/>
  <c r="J16" i="51" s="1"/>
  <c r="C54" i="54"/>
  <c r="C56" i="54" s="1"/>
  <c r="E16" i="51"/>
  <c r="G16" i="51"/>
  <c r="L47" i="51"/>
  <c r="L23" i="51"/>
  <c r="F47" i="51"/>
  <c r="O47" i="51"/>
  <c r="K12" i="88"/>
  <c r="L8" i="88"/>
  <c r="L12" i="88" s="1"/>
  <c r="J23" i="51"/>
  <c r="I23" i="51" s="1"/>
  <c r="P23" i="51"/>
  <c r="O23" i="51" s="1"/>
  <c r="F8" i="88"/>
  <c r="F12" i="88" s="1"/>
  <c r="J8" i="88"/>
  <c r="I12" i="88"/>
  <c r="N8" i="88"/>
  <c r="N12" i="88" s="1"/>
  <c r="B81" i="54"/>
  <c r="C8" i="88" s="1"/>
  <c r="V41" i="51"/>
  <c r="U41" i="51" s="1"/>
  <c r="X41" i="51"/>
  <c r="T23" i="51"/>
  <c r="X35" i="51"/>
  <c r="V35" i="51"/>
  <c r="U35" i="51" s="1"/>
  <c r="T47" i="51"/>
  <c r="V11" i="51"/>
  <c r="U11" i="51" s="1"/>
  <c r="V17" i="51"/>
  <c r="U17" i="51" s="1"/>
  <c r="M7" i="88" l="1"/>
  <c r="M11" i="88" s="1"/>
  <c r="D7" i="88"/>
  <c r="D11" i="88" s="1"/>
  <c r="E7" i="88"/>
  <c r="E11" i="88" s="1"/>
  <c r="N22" i="51"/>
  <c r="I7" i="88"/>
  <c r="I11" i="88" s="1"/>
  <c r="K22" i="51"/>
  <c r="L22" i="51" s="1"/>
  <c r="V16" i="51"/>
  <c r="K46" i="51"/>
  <c r="M34" i="51"/>
  <c r="M46" i="51" s="1"/>
  <c r="L14" i="87"/>
  <c r="M14" i="87" s="1"/>
  <c r="G8" i="52"/>
  <c r="I8" i="52"/>
  <c r="J8" i="52"/>
  <c r="C8" i="52"/>
  <c r="L8" i="52"/>
  <c r="E8" i="52"/>
  <c r="B8" i="52"/>
  <c r="M8" i="52"/>
  <c r="K8" i="52"/>
  <c r="D8" i="52"/>
  <c r="H8" i="52"/>
  <c r="F8" i="52"/>
  <c r="B46" i="51"/>
  <c r="T34" i="51"/>
  <c r="D34" i="51"/>
  <c r="E46" i="51"/>
  <c r="G34" i="51"/>
  <c r="G46" i="51" s="1"/>
  <c r="F46" i="51" s="1"/>
  <c r="D40" i="51"/>
  <c r="V40" i="51" s="1"/>
  <c r="Z40" i="51" s="1"/>
  <c r="T40" i="51"/>
  <c r="M15" i="87"/>
  <c r="N7" i="88"/>
  <c r="N11" i="88" s="1"/>
  <c r="B22" i="51"/>
  <c r="T10" i="51"/>
  <c r="D10" i="51"/>
  <c r="P10" i="51"/>
  <c r="P22" i="51" s="1"/>
  <c r="O22" i="51" s="1"/>
  <c r="S34" i="51"/>
  <c r="S46" i="51" s="1"/>
  <c r="Q46" i="51"/>
  <c r="R46" i="51" s="1"/>
  <c r="B15" i="52"/>
  <c r="C15" i="52"/>
  <c r="K15" i="52"/>
  <c r="D15" i="52"/>
  <c r="L15" i="87"/>
  <c r="E15" i="52"/>
  <c r="G15" i="52"/>
  <c r="L15" i="52"/>
  <c r="F15" i="52"/>
  <c r="M15" i="52"/>
  <c r="H15" i="52"/>
  <c r="I15" i="52"/>
  <c r="J15" i="52"/>
  <c r="L7" i="88"/>
  <c r="L11" i="88" s="1"/>
  <c r="N54" i="54"/>
  <c r="J10" i="51"/>
  <c r="J22" i="51" s="1"/>
  <c r="I22" i="51" s="1"/>
  <c r="B54" i="53"/>
  <c r="N54" i="53" s="1"/>
  <c r="N52" i="53"/>
  <c r="G7" i="88"/>
  <c r="G11" i="88" s="1"/>
  <c r="P34" i="51"/>
  <c r="P46" i="51" s="1"/>
  <c r="N46" i="51"/>
  <c r="G10" i="51"/>
  <c r="G22" i="51" s="1"/>
  <c r="E22" i="51"/>
  <c r="F22" i="51" s="1"/>
  <c r="H46" i="51"/>
  <c r="J34" i="51"/>
  <c r="J46" i="51" s="1"/>
  <c r="J7" i="88"/>
  <c r="J11" i="88" s="1"/>
  <c r="T16" i="51"/>
  <c r="N79" i="53"/>
  <c r="N78" i="53" s="1"/>
  <c r="Q22" i="51"/>
  <c r="S10" i="51"/>
  <c r="S22" i="51" s="1"/>
  <c r="R22" i="51" s="1"/>
  <c r="C12" i="88"/>
  <c r="O8" i="88"/>
  <c r="J12" i="88"/>
  <c r="N56" i="54"/>
  <c r="N55" i="54" s="1"/>
  <c r="K7" i="88"/>
  <c r="N81" i="54"/>
  <c r="N80" i="54" s="1"/>
  <c r="X47" i="51"/>
  <c r="V47" i="51"/>
  <c r="U47" i="51" s="1"/>
  <c r="Z41" i="51"/>
  <c r="Y41" i="51" s="1"/>
  <c r="C23" i="51"/>
  <c r="V23" i="51"/>
  <c r="U23" i="51" s="1"/>
  <c r="Z35" i="51"/>
  <c r="Y35" i="51" s="1"/>
  <c r="X40" i="51" l="1"/>
  <c r="Y40" i="51" s="1"/>
  <c r="X34" i="51"/>
  <c r="O12" i="88"/>
  <c r="K33" i="51"/>
  <c r="K29" i="53"/>
  <c r="K11" i="52"/>
  <c r="E29" i="53"/>
  <c r="K9" i="51"/>
  <c r="E11" i="52"/>
  <c r="J29" i="54"/>
  <c r="J18" i="52"/>
  <c r="H39" i="51"/>
  <c r="D22" i="51"/>
  <c r="V10" i="51"/>
  <c r="I18" i="52"/>
  <c r="E39" i="51"/>
  <c r="I29" i="54"/>
  <c r="B39" i="51"/>
  <c r="H18" i="52"/>
  <c r="H29" i="54"/>
  <c r="C11" i="52"/>
  <c r="E9" i="51"/>
  <c r="C29" i="53"/>
  <c r="T22" i="51"/>
  <c r="X46" i="51" s="1"/>
  <c r="G29" i="54"/>
  <c r="Q15" i="51"/>
  <c r="G18" i="52"/>
  <c r="E18" i="52"/>
  <c r="E29" i="54"/>
  <c r="K15" i="51"/>
  <c r="O46" i="51"/>
  <c r="F18" i="52"/>
  <c r="F29" i="54"/>
  <c r="N15" i="51"/>
  <c r="U40" i="51"/>
  <c r="D18" i="52"/>
  <c r="D29" i="54"/>
  <c r="H15" i="51"/>
  <c r="C18" i="52"/>
  <c r="C29" i="54"/>
  <c r="E15" i="51"/>
  <c r="L46" i="51"/>
  <c r="Q39" i="51"/>
  <c r="M18" i="52"/>
  <c r="M29" i="54"/>
  <c r="L29" i="54"/>
  <c r="L18" i="52"/>
  <c r="N39" i="51"/>
  <c r="I29" i="53"/>
  <c r="I11" i="52"/>
  <c r="E33" i="51"/>
  <c r="H9" i="51"/>
  <c r="D29" i="53"/>
  <c r="D11" i="52"/>
  <c r="B29" i="53"/>
  <c r="N8" i="52"/>
  <c r="N11" i="52" s="1"/>
  <c r="B11" i="52"/>
  <c r="B9" i="51"/>
  <c r="N33" i="51"/>
  <c r="L29" i="53"/>
  <c r="L11" i="52"/>
  <c r="D46" i="51"/>
  <c r="V34" i="51"/>
  <c r="U34" i="51" s="1"/>
  <c r="B29" i="54"/>
  <c r="B18" i="52"/>
  <c r="N15" i="52"/>
  <c r="N18" i="52" s="1"/>
  <c r="B15" i="51"/>
  <c r="F11" i="52"/>
  <c r="F29" i="53"/>
  <c r="N9" i="51"/>
  <c r="C7" i="88"/>
  <c r="C11" i="88" s="1"/>
  <c r="M29" i="53"/>
  <c r="Q33" i="51"/>
  <c r="M11" i="52"/>
  <c r="I46" i="51"/>
  <c r="H33" i="51"/>
  <c r="J29" i="53"/>
  <c r="J11" i="52"/>
  <c r="Q9" i="51"/>
  <c r="G29" i="53"/>
  <c r="G11" i="52"/>
  <c r="K39" i="51"/>
  <c r="K29" i="54"/>
  <c r="K18" i="52"/>
  <c r="N53" i="53"/>
  <c r="T46" i="51"/>
  <c r="H29" i="53"/>
  <c r="B33" i="51"/>
  <c r="H11" i="52"/>
  <c r="U16" i="51"/>
  <c r="K11" i="88"/>
  <c r="O7" i="88"/>
  <c r="Z47" i="51"/>
  <c r="Y47" i="51" s="1"/>
  <c r="K31" i="54" l="1"/>
  <c r="K6" i="54" s="1"/>
  <c r="K4" i="54"/>
  <c r="I4" i="54"/>
  <c r="I31" i="54"/>
  <c r="I6" i="54" s="1"/>
  <c r="I5" i="54" s="1"/>
  <c r="G4" i="53"/>
  <c r="G31" i="53"/>
  <c r="G39" i="51"/>
  <c r="G42" i="51" s="1"/>
  <c r="E42" i="51"/>
  <c r="E4" i="54"/>
  <c r="E31" i="54"/>
  <c r="E6" i="54" s="1"/>
  <c r="E5" i="54" s="1"/>
  <c r="T15" i="51"/>
  <c r="B18" i="51"/>
  <c r="D15" i="51"/>
  <c r="M39" i="51"/>
  <c r="M42" i="51" s="1"/>
  <c r="K42" i="51"/>
  <c r="I4" i="53"/>
  <c r="I31" i="53"/>
  <c r="N29" i="54"/>
  <c r="B4" i="54"/>
  <c r="B31" i="54"/>
  <c r="S9" i="51"/>
  <c r="Q12" i="51"/>
  <c r="Q21" i="51"/>
  <c r="Q24" i="51" s="1"/>
  <c r="C46" i="51"/>
  <c r="V46" i="51"/>
  <c r="U46" i="51" s="1"/>
  <c r="N45" i="51"/>
  <c r="N48" i="51" s="1"/>
  <c r="N36" i="51"/>
  <c r="P33" i="51"/>
  <c r="K12" i="51"/>
  <c r="K21" i="51"/>
  <c r="K24" i="51" s="1"/>
  <c r="M9" i="51"/>
  <c r="E45" i="51"/>
  <c r="E48" i="51" s="1"/>
  <c r="G33" i="51"/>
  <c r="E36" i="51"/>
  <c r="K18" i="51"/>
  <c r="M15" i="51"/>
  <c r="M18" i="51" s="1"/>
  <c r="L18" i="51" s="1"/>
  <c r="H45" i="51"/>
  <c r="H48" i="51" s="1"/>
  <c r="H36" i="51"/>
  <c r="J33" i="51"/>
  <c r="B36" i="51"/>
  <c r="T33" i="51"/>
  <c r="T36" i="51" s="1"/>
  <c r="D33" i="51"/>
  <c r="B45" i="51"/>
  <c r="B4" i="53"/>
  <c r="B31" i="53"/>
  <c r="N29" i="53"/>
  <c r="C4" i="53"/>
  <c r="C31" i="53"/>
  <c r="E4" i="53"/>
  <c r="E31" i="53"/>
  <c r="T39" i="51"/>
  <c r="T42" i="51" s="1"/>
  <c r="D39" i="51"/>
  <c r="B42" i="51"/>
  <c r="V22" i="51"/>
  <c r="C22" i="51"/>
  <c r="B21" i="51"/>
  <c r="D9" i="51"/>
  <c r="B12" i="51"/>
  <c r="T9" i="51"/>
  <c r="Q18" i="51"/>
  <c r="S15" i="51"/>
  <c r="S18" i="51" s="1"/>
  <c r="R18" i="51" s="1"/>
  <c r="S33" i="51"/>
  <c r="Q45" i="51"/>
  <c r="Q48" i="51" s="1"/>
  <c r="Q36" i="51"/>
  <c r="G4" i="54"/>
  <c r="G31" i="54"/>
  <c r="G6" i="54" s="1"/>
  <c r="G5" i="54" s="1"/>
  <c r="H18" i="51"/>
  <c r="J15" i="51"/>
  <c r="J18" i="51" s="1"/>
  <c r="I18" i="51" s="1"/>
  <c r="E21" i="51"/>
  <c r="E24" i="51" s="1"/>
  <c r="E12" i="51"/>
  <c r="G9" i="51"/>
  <c r="N18" i="51"/>
  <c r="P15" i="51"/>
  <c r="P18" i="51" s="1"/>
  <c r="P39" i="51"/>
  <c r="P42" i="51" s="1"/>
  <c r="N42" i="51"/>
  <c r="U10" i="51"/>
  <c r="Z34" i="51"/>
  <c r="Y34" i="51" s="1"/>
  <c r="M4" i="54"/>
  <c r="M31" i="54"/>
  <c r="M6" i="54" s="1"/>
  <c r="M5" i="54" s="1"/>
  <c r="L31" i="53"/>
  <c r="L4" i="53"/>
  <c r="M4" i="53"/>
  <c r="M31" i="53"/>
  <c r="C31" i="54"/>
  <c r="C6" i="54" s="1"/>
  <c r="C4" i="54"/>
  <c r="H4" i="53"/>
  <c r="H31" i="53"/>
  <c r="F4" i="53"/>
  <c r="F31" i="53"/>
  <c r="D4" i="53"/>
  <c r="D31" i="53"/>
  <c r="D31" i="54"/>
  <c r="D6" i="54" s="1"/>
  <c r="D4" i="54"/>
  <c r="K4" i="53"/>
  <c r="K31" i="53"/>
  <c r="F4" i="54"/>
  <c r="F31" i="54"/>
  <c r="F6" i="54" s="1"/>
  <c r="L4" i="54"/>
  <c r="L31" i="54"/>
  <c r="L6" i="54" s="1"/>
  <c r="L5" i="54" s="1"/>
  <c r="J4" i="53"/>
  <c r="J31" i="53"/>
  <c r="H42" i="51"/>
  <c r="J39" i="51"/>
  <c r="J42" i="51" s="1"/>
  <c r="I42" i="51" s="1"/>
  <c r="Q42" i="51"/>
  <c r="S39" i="51"/>
  <c r="S42" i="51" s="1"/>
  <c r="R42" i="51" s="1"/>
  <c r="J4" i="54"/>
  <c r="J31" i="54"/>
  <c r="J6" i="54" s="1"/>
  <c r="J5" i="54" s="1"/>
  <c r="G15" i="51"/>
  <c r="G18" i="51" s="1"/>
  <c r="E18" i="51"/>
  <c r="N21" i="51"/>
  <c r="N24" i="51" s="1"/>
  <c r="P9" i="51"/>
  <c r="N12" i="51"/>
  <c r="H21" i="51"/>
  <c r="H24" i="51" s="1"/>
  <c r="J9" i="51"/>
  <c r="H12" i="51"/>
  <c r="H31" i="54"/>
  <c r="H6" i="54" s="1"/>
  <c r="H4" i="54"/>
  <c r="K45" i="51"/>
  <c r="K48" i="51" s="1"/>
  <c r="K36" i="51"/>
  <c r="M33" i="51"/>
  <c r="O11" i="88"/>
  <c r="O18" i="51" l="1"/>
  <c r="F42" i="51"/>
  <c r="F5" i="54"/>
  <c r="D18" i="51"/>
  <c r="C18" i="51" s="1"/>
  <c r="V15" i="51"/>
  <c r="L42" i="51"/>
  <c r="E6" i="88"/>
  <c r="D6" i="53"/>
  <c r="D5" i="53" s="1"/>
  <c r="X39" i="51"/>
  <c r="X42" i="51" s="1"/>
  <c r="T18" i="51"/>
  <c r="S45" i="51"/>
  <c r="S36" i="51"/>
  <c r="R36" i="51" s="1"/>
  <c r="B6" i="53"/>
  <c r="N31" i="53"/>
  <c r="N30" i="53" s="1"/>
  <c r="C6" i="88"/>
  <c r="O42" i="51"/>
  <c r="D36" i="51"/>
  <c r="C36" i="51" s="1"/>
  <c r="D45" i="51"/>
  <c r="V33" i="51"/>
  <c r="M45" i="51"/>
  <c r="M36" i="51"/>
  <c r="L36" i="51" s="1"/>
  <c r="K6" i="53"/>
  <c r="K5" i="53" s="1"/>
  <c r="L6" i="88"/>
  <c r="P45" i="51"/>
  <c r="P36" i="51"/>
  <c r="O36" i="51" s="1"/>
  <c r="G6" i="53"/>
  <c r="G5" i="53" s="1"/>
  <c r="H6" i="88"/>
  <c r="P21" i="51"/>
  <c r="P12" i="51"/>
  <c r="O12" i="51" s="1"/>
  <c r="S12" i="51"/>
  <c r="R12" i="51" s="1"/>
  <c r="S21" i="51"/>
  <c r="B24" i="51"/>
  <c r="T21" i="51"/>
  <c r="G21" i="51"/>
  <c r="G12" i="51"/>
  <c r="F12" i="51" s="1"/>
  <c r="M6" i="53"/>
  <c r="M5" i="53" s="1"/>
  <c r="N6" i="88"/>
  <c r="V39" i="51"/>
  <c r="D42" i="51"/>
  <c r="C42" i="51" s="1"/>
  <c r="N31" i="54"/>
  <c r="N30" i="54" s="1"/>
  <c r="B6" i="54"/>
  <c r="D6" i="88"/>
  <c r="C6" i="53"/>
  <c r="C5" i="53" s="1"/>
  <c r="F18" i="51"/>
  <c r="D21" i="51"/>
  <c r="D12" i="51"/>
  <c r="C12" i="51" s="1"/>
  <c r="V9" i="51"/>
  <c r="H6" i="53"/>
  <c r="H5" i="53" s="1"/>
  <c r="I6" i="88"/>
  <c r="U22" i="51"/>
  <c r="Z46" i="51"/>
  <c r="Y46" i="51" s="1"/>
  <c r="J21" i="51"/>
  <c r="J12" i="51"/>
  <c r="I12" i="51" s="1"/>
  <c r="N4" i="54"/>
  <c r="M21" i="51"/>
  <c r="M12" i="51"/>
  <c r="L12" i="51" s="1"/>
  <c r="D5" i="54"/>
  <c r="T12" i="51"/>
  <c r="X33" i="51"/>
  <c r="X36" i="51" s="1"/>
  <c r="B48" i="51"/>
  <c r="T45" i="51"/>
  <c r="T48" i="51" s="1"/>
  <c r="F6" i="53"/>
  <c r="F5" i="53" s="1"/>
  <c r="G6" i="88"/>
  <c r="J36" i="51"/>
  <c r="I36" i="51" s="1"/>
  <c r="J45" i="51"/>
  <c r="H5" i="54"/>
  <c r="E6" i="53"/>
  <c r="E5" i="53" s="1"/>
  <c r="F6" i="88"/>
  <c r="N4" i="53"/>
  <c r="J6" i="53"/>
  <c r="J5" i="53" s="1"/>
  <c r="K6" i="88"/>
  <c r="C5" i="54"/>
  <c r="L6" i="53"/>
  <c r="L5" i="53" s="1"/>
  <c r="M6" i="88"/>
  <c r="G36" i="51"/>
  <c r="F36" i="51" s="1"/>
  <c r="G45" i="51"/>
  <c r="I6" i="53"/>
  <c r="I5" i="53" s="1"/>
  <c r="J6" i="88"/>
  <c r="K5" i="54"/>
  <c r="V21" i="51" l="1"/>
  <c r="D24" i="51"/>
  <c r="C24" i="51" s="1"/>
  <c r="C21" i="51"/>
  <c r="D10" i="88"/>
  <c r="D13" i="88" s="1"/>
  <c r="D9" i="88"/>
  <c r="J10" i="88"/>
  <c r="J13" i="88" s="1"/>
  <c r="J9" i="88"/>
  <c r="G48" i="51"/>
  <c r="F48" i="51" s="1"/>
  <c r="F45" i="51"/>
  <c r="H10" i="88"/>
  <c r="H13" i="88" s="1"/>
  <c r="H9" i="88"/>
  <c r="C48" i="51"/>
  <c r="M10" i="88"/>
  <c r="M13" i="88" s="1"/>
  <c r="M9" i="88"/>
  <c r="R21" i="51"/>
  <c r="S24" i="51"/>
  <c r="R24" i="51" s="1"/>
  <c r="E9" i="88"/>
  <c r="E10" i="88"/>
  <c r="E13" i="88" s="1"/>
  <c r="G10" i="88"/>
  <c r="G13" i="88" s="1"/>
  <c r="G9" i="88"/>
  <c r="B5" i="54"/>
  <c r="N6" i="54"/>
  <c r="K10" i="88"/>
  <c r="K13" i="88" s="1"/>
  <c r="K9" i="88"/>
  <c r="L10" i="88"/>
  <c r="L13" i="88" s="1"/>
  <c r="L9" i="88"/>
  <c r="M24" i="51"/>
  <c r="L24" i="51" s="1"/>
  <c r="L21" i="51"/>
  <c r="U39" i="51"/>
  <c r="V42" i="51"/>
  <c r="U42" i="51" s="1"/>
  <c r="L45" i="51"/>
  <c r="M48" i="51"/>
  <c r="L48" i="51" s="1"/>
  <c r="C10" i="88"/>
  <c r="C9" i="88"/>
  <c r="O6" i="88"/>
  <c r="O9" i="88" s="1"/>
  <c r="N6" i="53"/>
  <c r="B5" i="53"/>
  <c r="F10" i="88"/>
  <c r="F13" i="88" s="1"/>
  <c r="F9" i="88"/>
  <c r="J24" i="51"/>
  <c r="I24" i="51" s="1"/>
  <c r="I21" i="51"/>
  <c r="I10" i="88"/>
  <c r="I13" i="88" s="1"/>
  <c r="I9" i="88"/>
  <c r="G24" i="51"/>
  <c r="F24" i="51" s="1"/>
  <c r="F21" i="51"/>
  <c r="U33" i="51"/>
  <c r="V36" i="51"/>
  <c r="U36" i="51" s="1"/>
  <c r="U15" i="51"/>
  <c r="Z39" i="51"/>
  <c r="V18" i="51"/>
  <c r="U18" i="51" s="1"/>
  <c r="U9" i="51"/>
  <c r="V12" i="51"/>
  <c r="U12" i="51" s="1"/>
  <c r="Z33" i="51"/>
  <c r="O21" i="51"/>
  <c r="P24" i="51"/>
  <c r="O24" i="51" s="1"/>
  <c r="S48" i="51"/>
  <c r="R48" i="51" s="1"/>
  <c r="R45" i="51"/>
  <c r="O45" i="51"/>
  <c r="P48" i="51"/>
  <c r="O48" i="51" s="1"/>
  <c r="N9" i="88"/>
  <c r="N10" i="88"/>
  <c r="N13" i="88" s="1"/>
  <c r="I45" i="51"/>
  <c r="J48" i="51"/>
  <c r="I48" i="51" s="1"/>
  <c r="T24" i="51"/>
  <c r="X45" i="51"/>
  <c r="X48" i="51" s="1"/>
  <c r="D48" i="51"/>
  <c r="C45" i="51"/>
  <c r="V45" i="51"/>
  <c r="N5" i="53" l="1"/>
  <c r="N5" i="54"/>
  <c r="Y33" i="51"/>
  <c r="Z36" i="51"/>
  <c r="Y36" i="51" s="1"/>
  <c r="U45" i="51"/>
  <c r="V48" i="51"/>
  <c r="U48" i="51" s="1"/>
  <c r="Y39" i="51"/>
  <c r="Z42" i="51"/>
  <c r="Y42" i="51" s="1"/>
  <c r="O10" i="88"/>
  <c r="O13" i="88" s="1"/>
  <c r="C13" i="88"/>
  <c r="U21" i="51"/>
  <c r="V24" i="51"/>
  <c r="U24" i="51" s="1"/>
  <c r="Z45" i="51"/>
  <c r="P6" i="53" l="1"/>
  <c r="Y45" i="51"/>
  <c r="Z48" i="51"/>
  <c r="P6" i="54"/>
  <c r="Y48" i="51" l="1"/>
  <c r="Z50" i="51"/>
</calcChain>
</file>

<file path=xl/sharedStrings.xml><?xml version="1.0" encoding="utf-8"?>
<sst xmlns="http://schemas.openxmlformats.org/spreadsheetml/2006/main" count="466" uniqueCount="115">
  <si>
    <t>qtà</t>
  </si>
  <si>
    <t>valore</t>
  </si>
  <si>
    <t>Totale I° sem</t>
  </si>
  <si>
    <t>Totale</t>
  </si>
  <si>
    <t>p</t>
  </si>
  <si>
    <t>TOT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</si>
  <si>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</si>
  <si>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</si>
  <si>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</si>
  <si>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</si>
  <si>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</si>
  <si>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</si>
  <si>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</si>
  <si>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</si>
  <si>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</si>
  <si>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</si>
  <si>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</si>
  <si>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</si>
  <si>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LUGLIO</t>
  </si>
  <si>
    <t>AGOSTO</t>
  </si>
  <si>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</si>
  <si>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</si>
  <si>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</si>
  <si>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</si>
  <si>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</si>
  <si>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</si>
  <si>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</si>
  <si>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</si>
  <si>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</si>
  <si>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</si>
  <si>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Quantità</t>
  </si>
  <si>
    <t>Prezzo unitario</t>
  </si>
  <si>
    <t>Fatturato</t>
  </si>
  <si>
    <t xml:space="preserve">Prezzi di listino medi unitari </t>
  </si>
  <si>
    <t>Canale</t>
  </si>
  <si>
    <t>Valore mercato di riferimento</t>
  </si>
  <si>
    <t>Punti vendita</t>
  </si>
  <si>
    <t>Quota di mercato</t>
  </si>
  <si>
    <t>Fatturato Mozart</t>
  </si>
  <si>
    <t>Punti vendita serviti</t>
  </si>
  <si>
    <t>Fatturato per punto vendita</t>
  </si>
  <si>
    <t>Penetrazione punti vendita</t>
  </si>
  <si>
    <t>Fatturato per agente</t>
  </si>
  <si>
    <t>Materassi in schiuma poliuretanica (B)</t>
  </si>
  <si>
    <t>Materassi a molle (A)</t>
  </si>
  <si>
    <t>Analisi del mercato di riferimento</t>
  </si>
  <si>
    <t>1- Evoluzione per canale</t>
  </si>
  <si>
    <t>anno (N+1)</t>
  </si>
  <si>
    <t>anno (N+2)</t>
  </si>
  <si>
    <t>anno (N+3)</t>
  </si>
  <si>
    <t>tradizionale</t>
  </si>
  <si>
    <t>televendite</t>
  </si>
  <si>
    <t>gdo</t>
  </si>
  <si>
    <t>2- Dati commerciali anno (N)</t>
  </si>
  <si>
    <t>Preconsuntivo (N)</t>
  </si>
  <si>
    <t>Distribuzione fatt. per canale</t>
  </si>
  <si>
    <t>Condizioni  di regolamento medie di mercato (in gg)</t>
  </si>
  <si>
    <t>Mix di vendita:</t>
  </si>
  <si>
    <t>Fatturato per prodotto:</t>
  </si>
  <si>
    <t>Agenti:</t>
  </si>
  <si>
    <t>nord</t>
  </si>
  <si>
    <t>centro</t>
  </si>
  <si>
    <t>sud e isole</t>
  </si>
  <si>
    <t>totale</t>
  </si>
  <si>
    <t>Premio trimestrale clientela</t>
  </si>
  <si>
    <t>Provvigione agenti</t>
  </si>
  <si>
    <t>altro</t>
  </si>
  <si>
    <t>Budget vendite totali (N+1)</t>
  </si>
  <si>
    <t>Prezzo medio</t>
  </si>
  <si>
    <t>Prezzo medio mix</t>
  </si>
  <si>
    <t>Scostamenti (N+1)/(N) %</t>
  </si>
  <si>
    <t>trad.</t>
  </si>
  <si>
    <t>tel.</t>
  </si>
  <si>
    <t>Molle</t>
  </si>
  <si>
    <t>Poliuretano</t>
  </si>
  <si>
    <t>Q</t>
  </si>
  <si>
    <t>Canale tradizionale</t>
  </si>
  <si>
    <t>Canale televendite</t>
  </si>
  <si>
    <t>Canale GDO</t>
  </si>
  <si>
    <t>MIX prodotto/canale</t>
  </si>
  <si>
    <t>Budget (N+1)</t>
  </si>
  <si>
    <t>Tabella A.3 - Budget vendite per prodotto/canale</t>
  </si>
  <si>
    <t>televendita</t>
  </si>
  <si>
    <t>Tradizionale</t>
  </si>
  <si>
    <t>Televendite</t>
  </si>
  <si>
    <t>GDO</t>
  </si>
  <si>
    <t>CHECK</t>
  </si>
  <si>
    <t>POLIURETANO - TUTTI I CANALI</t>
  </si>
  <si>
    <t>POLIURETANO - TRADIZIONALE</t>
  </si>
  <si>
    <t>POLIURETANO - TELEVENDITE</t>
  </si>
  <si>
    <t>POLIURETANO - GDO</t>
  </si>
  <si>
    <t>MOLLE - TUTTI I CANALI</t>
  </si>
  <si>
    <t>MOLLE - TELEVENDITE</t>
  </si>
  <si>
    <t>MOLLE - GDO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</si>
  <si>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</si>
  <si>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</si>
  <si>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</si>
  <si>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</si>
  <si>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</si>
  <si>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</si>
  <si>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</si>
  <si>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</si>
  <si>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</si>
  <si>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</si>
  <si>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</si>
  <si>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</si>
  <si>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Budget N+1</t>
  </si>
  <si>
    <t>Premi alla clientela</t>
  </si>
  <si>
    <t>Tabella 0 - Dati necessari per sviluppo successivo</t>
  </si>
  <si>
    <t>Tabella 1 - Sviluppo del preconsuntivo e del budget delle vendite complessivo</t>
  </si>
  <si>
    <t>Tabella 2 - Budget vendite per prodotto/canale</t>
  </si>
  <si>
    <t>Tabella 3 - Budget vendite per prodotto/canale mensilizzate</t>
  </si>
  <si>
    <t>Tabella 4 - Budget premi a cliente per canale mensilizzati</t>
  </si>
  <si>
    <t>Totale II° sem</t>
  </si>
  <si>
    <t>MOLLE- TRADIZIONALE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</si>
</sst>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  <numFmt numFmtId="168" formatCode="_-&quot;€&quot;\ * #,##0_-;\-&quot;€&quot;\ * #,##0_-;_-&quot;€&quot;\ * &quot;-&quot;??_-;_-@_-"/>
  </numFmts>
  <fonts count="12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PT Sans Narrow"/>
      <family val="2"/>
      <charset val="204"/>
    </font>
    <font>
      <b/>
      <sz val="12"/>
      <name val="PT Sans Narrow"/>
      <family val="2"/>
      <charset val="204"/>
    </font>
    <font>
      <i/>
      <sz val="12"/>
      <name val="PT Sans Narrow"/>
      <family val="2"/>
      <charset val="204"/>
    </font>
    <font>
      <b/>
      <i/>
      <sz val="12"/>
      <name val="PT Sans Narrow"/>
      <family val="2"/>
      <charset val="204"/>
    </font>
    <font>
      <sz val="12"/>
      <color indexed="10"/>
      <name val="PT Sans Narrow"/>
      <family val="2"/>
      <charset val="204"/>
    </font>
    <font>
      <b/>
      <sz val="16"/>
      <color theme="4"/>
      <name val="PT Sans Narrow"/>
      <family val="2"/>
      <charset val="204"/>
    </font>
    <font>
      <b/>
      <sz val="12"/>
      <color theme="4" tint="-0.249977111117893"/>
      <name val="PT Sans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4D7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290">
    <xf numFmtId="0" fontId="0" fillId="0" borderId="0" xfId="0"/>
    <xf numFmtId="0" fontId="5" fillId="0" borderId="0" xfId="0" applyFont="1"/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3" fontId="6" fillId="0" borderId="0" xfId="2" applyNumberFormat="1" applyFont="1" applyFill="1" applyBorder="1" applyAlignment="1"/>
    <xf numFmtId="0" fontId="6" fillId="0" borderId="11" xfId="0" applyFont="1" applyBorder="1" applyAlignment="1">
      <alignment horizontal="left"/>
    </xf>
    <xf numFmtId="3" fontId="6" fillId="0" borderId="11" xfId="0" applyNumberFormat="1" applyFont="1" applyBorder="1"/>
    <xf numFmtId="0" fontId="6" fillId="0" borderId="12" xfId="0" applyFont="1" applyBorder="1" applyAlignment="1">
      <alignment horizontal="left"/>
    </xf>
    <xf numFmtId="3" fontId="5" fillId="0" borderId="12" xfId="0" applyNumberFormat="1" applyFont="1" applyBorder="1"/>
    <xf numFmtId="0" fontId="6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2" borderId="2" xfId="0" applyFont="1" applyFill="1" applyBorder="1"/>
    <xf numFmtId="0" fontId="5" fillId="2" borderId="0" xfId="0" applyFont="1" applyFill="1"/>
    <xf numFmtId="0" fontId="5" fillId="2" borderId="16" xfId="0" applyFont="1" applyFill="1" applyBorder="1"/>
    <xf numFmtId="165" fontId="5" fillId="0" borderId="2" xfId="2" applyNumberFormat="1" applyFont="1" applyBorder="1"/>
    <xf numFmtId="165" fontId="5" fillId="0" borderId="0" xfId="2" applyNumberFormat="1" applyFont="1" applyBorder="1"/>
    <xf numFmtId="165" fontId="5" fillId="0" borderId="7" xfId="2" applyNumberFormat="1" applyFont="1" applyBorder="1"/>
    <xf numFmtId="165" fontId="5" fillId="2" borderId="2" xfId="0" applyNumberFormat="1" applyFont="1" applyFill="1" applyBorder="1"/>
    <xf numFmtId="165" fontId="5" fillId="0" borderId="0" xfId="0" applyNumberFormat="1" applyFont="1"/>
    <xf numFmtId="0" fontId="6" fillId="0" borderId="8" xfId="0" applyFont="1" applyBorder="1" applyAlignment="1">
      <alignment horizontal="left"/>
    </xf>
    <xf numFmtId="165" fontId="6" fillId="2" borderId="8" xfId="2" applyNumberFormat="1" applyFont="1" applyFill="1" applyBorder="1"/>
    <xf numFmtId="165" fontId="6" fillId="2" borderId="13" xfId="2" applyNumberFormat="1" applyFont="1" applyFill="1" applyBorder="1"/>
    <xf numFmtId="165" fontId="6" fillId="2" borderId="15" xfId="2" applyNumberFormat="1" applyFont="1" applyFill="1" applyBorder="1"/>
    <xf numFmtId="165" fontId="6" fillId="0" borderId="0" xfId="2" applyNumberFormat="1" applyFont="1" applyFill="1" applyBorder="1"/>
    <xf numFmtId="165" fontId="5" fillId="0" borderId="2" xfId="0" applyNumberFormat="1" applyFont="1" applyBorder="1"/>
    <xf numFmtId="9" fontId="5" fillId="0" borderId="0" xfId="4" applyFont="1"/>
    <xf numFmtId="43" fontId="5" fillId="0" borderId="0" xfId="0" applyNumberFormat="1" applyFont="1"/>
    <xf numFmtId="0" fontId="6" fillId="0" borderId="0" xfId="0" applyFont="1" applyAlignment="1">
      <alignment horizontal="left"/>
    </xf>
    <xf numFmtId="165" fontId="6" fillId="0" borderId="0" xfId="2" applyNumberFormat="1" applyFont="1" applyBorder="1"/>
    <xf numFmtId="0" fontId="5" fillId="2" borderId="2" xfId="0" applyFont="1" applyFill="1" applyBorder="1" applyAlignment="1">
      <alignment horizontal="center"/>
    </xf>
    <xf numFmtId="43" fontId="5" fillId="0" borderId="0" xfId="2" applyFont="1"/>
    <xf numFmtId="0" fontId="6" fillId="3" borderId="10" xfId="0" applyFont="1" applyFill="1" applyBorder="1" applyAlignment="1">
      <alignment horizontal="center"/>
    </xf>
    <xf numFmtId="3" fontId="5" fillId="0" borderId="0" xfId="0" applyNumberFormat="1" applyFont="1"/>
    <xf numFmtId="3" fontId="5" fillId="3" borderId="0" xfId="0" applyNumberFormat="1" applyFont="1" applyFill="1"/>
    <xf numFmtId="168" fontId="6" fillId="0" borderId="0" xfId="5" applyNumberFormat="1" applyFont="1"/>
    <xf numFmtId="168" fontId="6" fillId="3" borderId="0" xfId="5" applyNumberFormat="1" applyFont="1" applyFill="1"/>
    <xf numFmtId="10" fontId="9" fillId="0" borderId="0" xfId="4" applyNumberFormat="1" applyFont="1" applyAlignment="1">
      <alignment horizontal="center"/>
    </xf>
    <xf numFmtId="0" fontId="10" fillId="0" borderId="0" xfId="0" applyFont="1"/>
    <xf numFmtId="164" fontId="5" fillId="0" borderId="0" xfId="5" applyFont="1" applyFill="1" applyBorder="1" applyAlignment="1"/>
    <xf numFmtId="164" fontId="5" fillId="0" borderId="13" xfId="5" applyFont="1" applyFill="1" applyBorder="1" applyAlignment="1"/>
    <xf numFmtId="164" fontId="5" fillId="0" borderId="0" xfId="5" applyFont="1" applyBorder="1"/>
    <xf numFmtId="164" fontId="8" fillId="2" borderId="13" xfId="5" applyFont="1" applyFill="1" applyBorder="1"/>
    <xf numFmtId="164" fontId="7" fillId="0" borderId="0" xfId="5" applyFont="1" applyBorder="1"/>
    <xf numFmtId="168" fontId="5" fillId="0" borderId="6" xfId="5" applyNumberFormat="1" applyFont="1" applyBorder="1"/>
    <xf numFmtId="168" fontId="6" fillId="2" borderId="14" xfId="5" applyNumberFormat="1" applyFont="1" applyFill="1" applyBorder="1"/>
    <xf numFmtId="164" fontId="7" fillId="2" borderId="0" xfId="5" applyFont="1" applyFill="1" applyBorder="1"/>
    <xf numFmtId="164" fontId="6" fillId="2" borderId="13" xfId="5" applyFont="1" applyFill="1" applyBorder="1"/>
    <xf numFmtId="164" fontId="5" fillId="2" borderId="0" xfId="5" applyFont="1" applyFill="1" applyBorder="1"/>
    <xf numFmtId="168" fontId="5" fillId="2" borderId="16" xfId="5" applyNumberFormat="1" applyFont="1" applyFill="1" applyBorder="1"/>
    <xf numFmtId="168" fontId="6" fillId="2" borderId="17" xfId="5" applyNumberFormat="1" applyFont="1" applyFill="1" applyBorder="1"/>
    <xf numFmtId="164" fontId="5" fillId="0" borderId="0" xfId="5" applyFont="1"/>
    <xf numFmtId="164" fontId="5" fillId="3" borderId="0" xfId="5" applyFont="1" applyFill="1"/>
    <xf numFmtId="0" fontId="5" fillId="0" borderId="32" xfId="0" applyFont="1" applyBorder="1"/>
    <xf numFmtId="0" fontId="5" fillId="0" borderId="32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21" xfId="0" applyFont="1" applyBorder="1"/>
    <xf numFmtId="168" fontId="5" fillId="0" borderId="0" xfId="5" applyNumberFormat="1" applyFont="1" applyBorder="1"/>
    <xf numFmtId="168" fontId="5" fillId="5" borderId="0" xfId="0" applyNumberFormat="1" applyFont="1" applyFill="1"/>
    <xf numFmtId="0" fontId="5" fillId="0" borderId="2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40" xfId="0" applyFont="1" applyBorder="1"/>
    <xf numFmtId="0" fontId="5" fillId="0" borderId="7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168" fontId="5" fillId="0" borderId="19" xfId="5" applyNumberFormat="1" applyFont="1" applyBorder="1" applyAlignment="1">
      <alignment vertical="center"/>
    </xf>
    <xf numFmtId="9" fontId="5" fillId="4" borderId="19" xfId="0" applyNumberFormat="1" applyFont="1" applyFill="1" applyBorder="1" applyAlignment="1">
      <alignment vertical="center"/>
    </xf>
    <xf numFmtId="9" fontId="5" fillId="4" borderId="19" xfId="0" applyNumberFormat="1" applyFont="1" applyFill="1" applyBorder="1" applyAlignment="1">
      <alignment horizontal="center" vertical="center"/>
    </xf>
    <xf numFmtId="168" fontId="5" fillId="0" borderId="19" xfId="0" applyNumberFormat="1" applyFont="1" applyBorder="1" applyAlignment="1">
      <alignment vertical="center"/>
    </xf>
    <xf numFmtId="168" fontId="5" fillId="4" borderId="19" xfId="0" applyNumberFormat="1" applyFont="1" applyFill="1" applyBorder="1" applyAlignment="1">
      <alignment vertical="center"/>
    </xf>
    <xf numFmtId="9" fontId="5" fillId="0" borderId="19" xfId="0" applyNumberFormat="1" applyFont="1" applyBorder="1" applyAlignment="1">
      <alignment horizontal="center" vertical="center"/>
    </xf>
    <xf numFmtId="168" fontId="5" fillId="4" borderId="19" xfId="5" applyNumberFormat="1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9" fontId="5" fillId="0" borderId="0" xfId="4" applyFont="1" applyAlignment="1">
      <alignment horizontal="center" vertical="center"/>
    </xf>
    <xf numFmtId="9" fontId="5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4" borderId="30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4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9" fontId="5" fillId="4" borderId="45" xfId="0" applyNumberFormat="1" applyFont="1" applyFill="1" applyBorder="1" applyAlignment="1">
      <alignment horizontal="center" vertical="center"/>
    </xf>
    <xf numFmtId="168" fontId="5" fillId="0" borderId="48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5" fontId="5" fillId="0" borderId="19" xfId="2" applyNumberFormat="1" applyFont="1" applyFill="1" applyBorder="1" applyAlignment="1">
      <alignment horizontal="center" vertical="center"/>
    </xf>
    <xf numFmtId="9" fontId="5" fillId="0" borderId="19" xfId="4" applyFont="1" applyBorder="1" applyAlignment="1">
      <alignment horizontal="center" vertical="center"/>
    </xf>
    <xf numFmtId="168" fontId="5" fillId="0" borderId="19" xfId="5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165" fontId="5" fillId="4" borderId="19" xfId="2" applyNumberFormat="1" applyFont="1" applyFill="1" applyBorder="1" applyAlignment="1">
      <alignment vertical="center"/>
    </xf>
    <xf numFmtId="165" fontId="5" fillId="4" borderId="19" xfId="2" applyNumberFormat="1" applyFont="1" applyFill="1" applyBorder="1" applyAlignment="1">
      <alignment horizontal="center" vertical="center"/>
    </xf>
    <xf numFmtId="164" fontId="5" fillId="0" borderId="19" xfId="5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165" fontId="5" fillId="0" borderId="19" xfId="2" applyNumberFormat="1" applyFont="1" applyBorder="1" applyAlignment="1">
      <alignment vertical="center"/>
    </xf>
    <xf numFmtId="165" fontId="5" fillId="0" borderId="19" xfId="2" applyNumberFormat="1" applyFont="1" applyBorder="1" applyAlignment="1">
      <alignment horizontal="center" vertical="center"/>
    </xf>
    <xf numFmtId="9" fontId="5" fillId="4" borderId="19" xfId="4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8" fontId="5" fillId="4" borderId="19" xfId="5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Border="1" applyAlignment="1">
      <alignment vertical="center"/>
    </xf>
    <xf numFmtId="0" fontId="5" fillId="6" borderId="50" xfId="0" applyFont="1" applyFill="1" applyBorder="1" applyAlignment="1">
      <alignment vertical="center"/>
    </xf>
    <xf numFmtId="168" fontId="5" fillId="0" borderId="52" xfId="0" applyNumberFormat="1" applyFont="1" applyBorder="1" applyAlignment="1">
      <alignment vertical="center"/>
    </xf>
    <xf numFmtId="168" fontId="5" fillId="6" borderId="20" xfId="0" applyNumberFormat="1" applyFont="1" applyFill="1" applyBorder="1" applyAlignment="1">
      <alignment vertical="center"/>
    </xf>
    <xf numFmtId="165" fontId="5" fillId="0" borderId="52" xfId="2" applyNumberFormat="1" applyFont="1" applyFill="1" applyBorder="1" applyAlignment="1">
      <alignment horizontal="center" vertical="center"/>
    </xf>
    <xf numFmtId="165" fontId="5" fillId="6" borderId="20" xfId="2" applyNumberFormat="1" applyFont="1" applyFill="1" applyBorder="1" applyAlignment="1">
      <alignment horizontal="center" vertical="center"/>
    </xf>
    <xf numFmtId="168" fontId="5" fillId="0" borderId="52" xfId="5" applyNumberFormat="1" applyFont="1" applyBorder="1" applyAlignment="1">
      <alignment vertical="center"/>
    </xf>
    <xf numFmtId="168" fontId="5" fillId="6" borderId="20" xfId="5" applyNumberFormat="1" applyFont="1" applyFill="1" applyBorder="1" applyAlignment="1">
      <alignment vertical="center"/>
    </xf>
    <xf numFmtId="9" fontId="5" fillId="0" borderId="52" xfId="4" applyFont="1" applyBorder="1" applyAlignment="1">
      <alignment horizontal="center" vertical="center"/>
    </xf>
    <xf numFmtId="9" fontId="5" fillId="6" borderId="20" xfId="4" applyFont="1" applyFill="1" applyBorder="1" applyAlignment="1">
      <alignment horizontal="center" vertical="center"/>
    </xf>
    <xf numFmtId="168" fontId="5" fillId="0" borderId="52" xfId="5" applyNumberFormat="1" applyFont="1" applyBorder="1" applyAlignment="1">
      <alignment horizontal="center" vertical="center"/>
    </xf>
    <xf numFmtId="168" fontId="5" fillId="6" borderId="20" xfId="5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168" fontId="6" fillId="0" borderId="53" xfId="0" applyNumberFormat="1" applyFont="1" applyBorder="1" applyAlignment="1">
      <alignment vertical="center"/>
    </xf>
    <xf numFmtId="168" fontId="6" fillId="0" borderId="54" xfId="0" applyNumberFormat="1" applyFont="1" applyBorder="1" applyAlignment="1">
      <alignment vertical="center"/>
    </xf>
    <xf numFmtId="168" fontId="6" fillId="6" borderId="55" xfId="0" applyNumberFormat="1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168" fontId="6" fillId="0" borderId="56" xfId="0" applyNumberFormat="1" applyFont="1" applyBorder="1" applyAlignment="1">
      <alignment vertical="center"/>
    </xf>
    <xf numFmtId="168" fontId="6" fillId="0" borderId="44" xfId="0" applyNumberFormat="1" applyFont="1" applyBorder="1" applyAlignment="1">
      <alignment vertical="center"/>
    </xf>
    <xf numFmtId="168" fontId="6" fillId="6" borderId="57" xfId="0" applyNumberFormat="1" applyFont="1" applyFill="1" applyBorder="1" applyAlignment="1">
      <alignment vertical="center"/>
    </xf>
    <xf numFmtId="0" fontId="5" fillId="7" borderId="50" xfId="0" applyFont="1" applyFill="1" applyBorder="1" applyAlignment="1">
      <alignment vertical="center"/>
    </xf>
    <xf numFmtId="168" fontId="5" fillId="7" borderId="20" xfId="0" applyNumberFormat="1" applyFont="1" applyFill="1" applyBorder="1" applyAlignment="1">
      <alignment vertical="center"/>
    </xf>
    <xf numFmtId="165" fontId="5" fillId="7" borderId="20" xfId="2" applyNumberFormat="1" applyFont="1" applyFill="1" applyBorder="1" applyAlignment="1">
      <alignment horizontal="center" vertical="center"/>
    </xf>
    <xf numFmtId="168" fontId="5" fillId="7" borderId="20" xfId="5" applyNumberFormat="1" applyFont="1" applyFill="1" applyBorder="1" applyAlignment="1">
      <alignment vertical="center"/>
    </xf>
    <xf numFmtId="168" fontId="6" fillId="7" borderId="57" xfId="0" applyNumberFormat="1" applyFont="1" applyFill="1" applyBorder="1" applyAlignment="1">
      <alignment vertical="center"/>
    </xf>
    <xf numFmtId="9" fontId="5" fillId="7" borderId="20" xfId="4" applyFont="1" applyFill="1" applyBorder="1" applyAlignment="1">
      <alignment horizontal="center" vertical="center"/>
    </xf>
    <xf numFmtId="168" fontId="5" fillId="7" borderId="20" xfId="5" applyNumberFormat="1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vertical="center"/>
    </xf>
    <xf numFmtId="0" fontId="6" fillId="7" borderId="20" xfId="0" applyFont="1" applyFill="1" applyBorder="1" applyAlignment="1">
      <alignment vertical="center"/>
    </xf>
    <xf numFmtId="168" fontId="6" fillId="7" borderId="55" xfId="0" applyNumberFormat="1" applyFont="1" applyFill="1" applyBorder="1" applyAlignment="1">
      <alignment vertical="center"/>
    </xf>
    <xf numFmtId="165" fontId="5" fillId="4" borderId="52" xfId="2" applyNumberFormat="1" applyFont="1" applyFill="1" applyBorder="1" applyAlignment="1">
      <alignment horizontal="center" vertical="center"/>
    </xf>
    <xf numFmtId="164" fontId="5" fillId="4" borderId="19" xfId="5" applyFont="1" applyFill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9" fontId="6" fillId="6" borderId="20" xfId="0" applyNumberFormat="1" applyFont="1" applyFill="1" applyBorder="1" applyAlignment="1">
      <alignment horizontal="center" vertical="center"/>
    </xf>
    <xf numFmtId="9" fontId="6" fillId="4" borderId="19" xfId="0" applyNumberFormat="1" applyFont="1" applyFill="1" applyBorder="1" applyAlignment="1">
      <alignment horizontal="center" vertical="center"/>
    </xf>
    <xf numFmtId="9" fontId="6" fillId="7" borderId="20" xfId="0" applyNumberFormat="1" applyFont="1" applyFill="1" applyBorder="1" applyAlignment="1">
      <alignment horizontal="center" vertical="center"/>
    </xf>
    <xf numFmtId="9" fontId="6" fillId="0" borderId="52" xfId="4" applyFont="1" applyBorder="1" applyAlignment="1">
      <alignment horizontal="center" vertical="center"/>
    </xf>
    <xf numFmtId="9" fontId="6" fillId="0" borderId="19" xfId="4" applyFont="1" applyBorder="1" applyAlignment="1">
      <alignment horizontal="center" vertical="center"/>
    </xf>
    <xf numFmtId="9" fontId="6" fillId="6" borderId="20" xfId="4" applyFont="1" applyFill="1" applyBorder="1" applyAlignment="1">
      <alignment horizontal="center" vertical="center"/>
    </xf>
    <xf numFmtId="9" fontId="6" fillId="4" borderId="52" xfId="4" applyFont="1" applyFill="1" applyBorder="1" applyAlignment="1">
      <alignment horizontal="center" vertical="center"/>
    </xf>
    <xf numFmtId="9" fontId="6" fillId="7" borderId="20" xfId="4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vertical="center"/>
    </xf>
    <xf numFmtId="10" fontId="5" fillId="0" borderId="19" xfId="4" applyNumberFormat="1" applyFont="1" applyFill="1" applyBorder="1" applyAlignment="1">
      <alignment horizontal="center" vertical="center"/>
    </xf>
    <xf numFmtId="10" fontId="5" fillId="7" borderId="20" xfId="4" applyNumberFormat="1" applyFont="1" applyFill="1" applyBorder="1" applyAlignment="1">
      <alignment horizontal="center" vertical="center"/>
    </xf>
    <xf numFmtId="10" fontId="5" fillId="0" borderId="52" xfId="4" applyNumberFormat="1" applyFont="1" applyFill="1" applyBorder="1" applyAlignment="1">
      <alignment horizontal="center" vertical="center"/>
    </xf>
    <xf numFmtId="10" fontId="5" fillId="0" borderId="19" xfId="4" applyNumberFormat="1" applyFont="1" applyBorder="1" applyAlignment="1">
      <alignment horizontal="center" vertical="center"/>
    </xf>
    <xf numFmtId="10" fontId="6" fillId="0" borderId="52" xfId="4" applyNumberFormat="1" applyFont="1" applyFill="1" applyBorder="1" applyAlignment="1">
      <alignment horizontal="center" vertical="center"/>
    </xf>
    <xf numFmtId="10" fontId="6" fillId="0" borderId="19" xfId="4" applyNumberFormat="1" applyFont="1" applyBorder="1" applyAlignment="1">
      <alignment horizontal="center" vertical="center"/>
    </xf>
    <xf numFmtId="10" fontId="6" fillId="7" borderId="20" xfId="4" applyNumberFormat="1" applyFont="1" applyFill="1" applyBorder="1" applyAlignment="1">
      <alignment horizontal="center" vertical="center"/>
    </xf>
    <xf numFmtId="10" fontId="6" fillId="0" borderId="53" xfId="4" applyNumberFormat="1" applyFont="1" applyBorder="1" applyAlignment="1">
      <alignment vertical="center"/>
    </xf>
    <xf numFmtId="10" fontId="6" fillId="0" borderId="54" xfId="4" applyNumberFormat="1" applyFont="1" applyBorder="1" applyAlignment="1">
      <alignment vertical="center"/>
    </xf>
    <xf numFmtId="10" fontId="6" fillId="7" borderId="55" xfId="4" applyNumberFormat="1" applyFont="1" applyFill="1" applyBorder="1" applyAlignment="1">
      <alignment vertical="center"/>
    </xf>
    <xf numFmtId="0" fontId="5" fillId="0" borderId="4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65" fontId="5" fillId="0" borderId="3" xfId="2" applyNumberFormat="1" applyFont="1" applyBorder="1"/>
    <xf numFmtId="168" fontId="5" fillId="0" borderId="5" xfId="5" applyNumberFormat="1" applyFont="1" applyBorder="1"/>
    <xf numFmtId="168" fontId="5" fillId="0" borderId="4" xfId="5" applyNumberFormat="1" applyFont="1" applyBorder="1"/>
    <xf numFmtId="0" fontId="5" fillId="0" borderId="31" xfId="0" applyFont="1" applyBorder="1" applyAlignment="1">
      <alignment horizontal="center"/>
    </xf>
    <xf numFmtId="0" fontId="5" fillId="0" borderId="51" xfId="0" applyFont="1" applyBorder="1"/>
    <xf numFmtId="168" fontId="5" fillId="0" borderId="9" xfId="5" applyNumberFormat="1" applyFont="1" applyBorder="1"/>
    <xf numFmtId="168" fontId="5" fillId="0" borderId="41" xfId="5" applyNumberFormat="1" applyFont="1" applyBorder="1"/>
    <xf numFmtId="0" fontId="6" fillId="0" borderId="59" xfId="0" applyFont="1" applyBorder="1"/>
    <xf numFmtId="0" fontId="6" fillId="0" borderId="15" xfId="0" applyFont="1" applyBorder="1"/>
    <xf numFmtId="0" fontId="6" fillId="0" borderId="13" xfId="0" applyFont="1" applyBorder="1"/>
    <xf numFmtId="168" fontId="6" fillId="0" borderId="14" xfId="5" applyNumberFormat="1" applyFont="1" applyBorder="1"/>
    <xf numFmtId="168" fontId="6" fillId="0" borderId="17" xfId="5" applyNumberFormat="1" applyFont="1" applyBorder="1"/>
    <xf numFmtId="0" fontId="5" fillId="0" borderId="26" xfId="0" applyFont="1" applyBorder="1" applyAlignment="1">
      <alignment horizontal="center"/>
    </xf>
    <xf numFmtId="9" fontId="5" fillId="0" borderId="41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5" fillId="4" borderId="6" xfId="0" applyNumberFormat="1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9" fontId="5" fillId="0" borderId="21" xfId="0" applyNumberFormat="1" applyFont="1" applyBorder="1" applyAlignment="1">
      <alignment horizontal="center"/>
    </xf>
    <xf numFmtId="9" fontId="5" fillId="4" borderId="2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3" fontId="5" fillId="0" borderId="0" xfId="2" applyNumberFormat="1" applyFont="1" applyFill="1" applyBorder="1" applyAlignment="1"/>
    <xf numFmtId="0" fontId="6" fillId="0" borderId="33" xfId="0" applyFont="1" applyBorder="1" applyAlignment="1">
      <alignment horizontal="left"/>
    </xf>
    <xf numFmtId="0" fontId="6" fillId="0" borderId="4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5" fillId="0" borderId="4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4" fontId="5" fillId="0" borderId="41" xfId="5" applyFont="1" applyFill="1" applyBorder="1" applyAlignment="1"/>
    <xf numFmtId="164" fontId="5" fillId="0" borderId="17" xfId="5" applyFont="1" applyFill="1" applyBorder="1" applyAlignment="1"/>
    <xf numFmtId="0" fontId="6" fillId="3" borderId="34" xfId="0" applyFont="1" applyFill="1" applyBorder="1" applyAlignment="1">
      <alignment horizontal="center"/>
    </xf>
    <xf numFmtId="3" fontId="5" fillId="3" borderId="41" xfId="0" applyNumberFormat="1" applyFont="1" applyFill="1" applyBorder="1"/>
    <xf numFmtId="164" fontId="5" fillId="3" borderId="41" xfId="5" applyFont="1" applyFill="1" applyBorder="1"/>
    <xf numFmtId="168" fontId="6" fillId="0" borderId="13" xfId="5" applyNumberFormat="1" applyFont="1" applyBorder="1"/>
    <xf numFmtId="168" fontId="6" fillId="3" borderId="17" xfId="5" applyNumberFormat="1" applyFont="1" applyFill="1" applyBorder="1"/>
    <xf numFmtId="168" fontId="5" fillId="0" borderId="7" xfId="5" applyNumberFormat="1" applyFont="1" applyBorder="1"/>
    <xf numFmtId="168" fontId="5" fillId="0" borderId="3" xfId="5" applyNumberFormat="1" applyFont="1" applyBorder="1"/>
    <xf numFmtId="168" fontId="5" fillId="0" borderId="45" xfId="5" applyNumberFormat="1" applyFont="1" applyBorder="1"/>
    <xf numFmtId="168" fontId="5" fillId="0" borderId="30" xfId="5" applyNumberFormat="1" applyFont="1" applyBorder="1"/>
    <xf numFmtId="0" fontId="5" fillId="0" borderId="29" xfId="0" applyFont="1" applyBorder="1"/>
    <xf numFmtId="0" fontId="5" fillId="7" borderId="50" xfId="0" applyFont="1" applyFill="1" applyBorder="1" applyAlignment="1">
      <alignment horizontal="center"/>
    </xf>
    <xf numFmtId="0" fontId="5" fillId="0" borderId="49" xfId="0" applyFont="1" applyBorder="1"/>
    <xf numFmtId="168" fontId="6" fillId="7" borderId="50" xfId="5" applyNumberFormat="1" applyFont="1" applyFill="1" applyBorder="1"/>
    <xf numFmtId="168" fontId="6" fillId="7" borderId="20" xfId="5" applyNumberFormat="1" applyFont="1" applyFill="1" applyBorder="1"/>
    <xf numFmtId="168" fontId="6" fillId="7" borderId="38" xfId="5" applyNumberFormat="1" applyFont="1" applyFill="1" applyBorder="1"/>
    <xf numFmtId="0" fontId="6" fillId="0" borderId="53" xfId="0" applyFont="1" applyBorder="1"/>
    <xf numFmtId="168" fontId="6" fillId="0" borderId="15" xfId="5" applyNumberFormat="1" applyFont="1" applyBorder="1"/>
    <xf numFmtId="168" fontId="6" fillId="7" borderId="37" xfId="5" applyNumberFormat="1" applyFont="1" applyFill="1" applyBorder="1"/>
    <xf numFmtId="10" fontId="5" fillId="0" borderId="0" xfId="4" applyNumberFormat="1" applyFont="1"/>
    <xf numFmtId="10" fontId="6" fillId="0" borderId="59" xfId="4" applyNumberFormat="1" applyFont="1" applyFill="1" applyBorder="1" applyAlignment="1">
      <alignment horizontal="center" vertical="center"/>
    </xf>
    <xf numFmtId="10" fontId="6" fillId="0" borderId="62" xfId="4" applyNumberFormat="1" applyFont="1" applyBorder="1" applyAlignment="1">
      <alignment horizontal="center" vertical="center"/>
    </xf>
    <xf numFmtId="10" fontId="6" fillId="7" borderId="37" xfId="4" applyNumberFormat="1" applyFont="1" applyFill="1" applyBorder="1" applyAlignment="1">
      <alignment horizontal="center" vertical="center"/>
    </xf>
    <xf numFmtId="168" fontId="5" fillId="0" borderId="59" xfId="5" applyNumberFormat="1" applyFont="1" applyBorder="1" applyAlignment="1">
      <alignment vertical="center"/>
    </xf>
    <xf numFmtId="168" fontId="5" fillId="0" borderId="62" xfId="5" applyNumberFormat="1" applyFont="1" applyBorder="1" applyAlignment="1">
      <alignment vertical="center"/>
    </xf>
    <xf numFmtId="168" fontId="5" fillId="7" borderId="37" xfId="5" applyNumberFormat="1" applyFont="1" applyFill="1" applyBorder="1" applyAlignment="1">
      <alignment vertical="center"/>
    </xf>
    <xf numFmtId="9" fontId="5" fillId="0" borderId="19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/>
    </xf>
    <xf numFmtId="0" fontId="6" fillId="7" borderId="43" xfId="0" applyFont="1" applyFill="1" applyBorder="1" applyAlignment="1">
      <alignment horizontal="center"/>
    </xf>
    <xf numFmtId="0" fontId="6" fillId="7" borderId="34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0" fontId="6" fillId="6" borderId="43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6" fillId="7" borderId="58" xfId="0" applyFont="1" applyFill="1" applyBorder="1" applyAlignment="1">
      <alignment horizontal="center"/>
    </xf>
    <xf numFmtId="0" fontId="6" fillId="6" borderId="5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</cellXfs>
  <cellStyles count="8">
    <cellStyle name="Euro" xfId="1" xr:uid="{00000000-0005-0000-0000-000000000000}"/>
    <cellStyle name="Migliaia" xfId="2" builtinId="3"/>
    <cellStyle name="Migliaia (0)_01.2001" xfId="3" xr:uid="{00000000-0005-0000-0000-000001000000}"/>
    <cellStyle name="Normale" xfId="0" builtinId="0"/>
    <cellStyle name="Normale 5" xfId="7" xr:uid="{939FCEDB-6FBD-9D44-9B50-4D5B8889D210}"/>
    <cellStyle name="Percentuale" xfId="4" builtinId="5"/>
    <cellStyle name="Valuta" xfId="5" builtinId="4"/>
    <cellStyle name="Valuta (0)_01.2001" xfId="6" xr:uid="{00000000-0005-0000-0000-000005000000}"/>
  </cellStyles>
  <dxfs count="0"/>
  <tableStyles count="0" defaultTableStyle="TableStyleMedium9" defaultPivotStyle="PivotStyleLight16"/>
  <colors>
    <mruColors>
      <color rgb="FFFFF4D7"/>
      <color rgb="FF26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molla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QUANTITÀ!$A$8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QUANTITÀ!$B$8:$M$8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0-D147-9576-83675012660F}"/>
            </c:ext>
          </c:extLst>
        </c:ser>
        <c:ser>
          <c:idx val="1"/>
          <c:order val="1"/>
          <c:tx>
            <c:strRef>
              <c:f>QUANTITÀ!$A$9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QUANTITÀ!$B$9:$M$9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0-D147-9576-83675012660F}"/>
            </c:ext>
          </c:extLst>
        </c:ser>
        <c:ser>
          <c:idx val="2"/>
          <c:order val="2"/>
          <c:tx>
            <c:strRef>
              <c:f>QUANTITÀ!$A$10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QUANTITÀ!$B$10:$M$10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20-D147-9576-83675012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TRADIZIONALE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129450479352E-2"/>
          <c:y val="0.18644038865885801"/>
          <c:w val="0.87772910168170903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POLIUR!$B$29:$M$29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76184"/>
        <c:axId val="112137592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POLIUR!$B$30:$M$30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706920"/>
        <c:axId val="677770712"/>
      </c:lineChart>
      <c:catAx>
        <c:axId val="678276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137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13759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76184"/>
        <c:crosses val="autoZero"/>
        <c:crossBetween val="between"/>
      </c:valAx>
      <c:catAx>
        <c:axId val="677706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770712"/>
        <c:crosses val="autoZero"/>
        <c:auto val="0"/>
        <c:lblAlgn val="ctr"/>
        <c:lblOffset val="100"/>
        <c:noMultiLvlLbl val="0"/>
      </c:catAx>
      <c:valAx>
        <c:axId val="677770712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70692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912596250292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03803670438303E-2"/>
          <c:y val="0.23305048582357199"/>
          <c:w val="0.87518188751985404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POLIUR!$B$54:$M$54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62920"/>
        <c:axId val="111995048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POLIUR!$B$55:$M$55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533208"/>
        <c:axId val="112108776"/>
      </c:lineChart>
      <c:catAx>
        <c:axId val="678262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5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50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62920"/>
        <c:crosses val="autoZero"/>
        <c:crossBetween val="between"/>
      </c:valAx>
      <c:catAx>
        <c:axId val="677533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2108776"/>
        <c:crosses val="autoZero"/>
        <c:auto val="0"/>
        <c:lblAlgn val="ctr"/>
        <c:lblOffset val="100"/>
        <c:noMultiLvlLbl val="0"/>
      </c:catAx>
      <c:valAx>
        <c:axId val="1121087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3320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7358691136254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662199020779E-2"/>
          <c:y val="0.23305048582357199"/>
          <c:w val="0.86211947128821398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POLIUR!$B$79:$M$79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646808"/>
        <c:axId val="11199882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POLIUR!$B$80:$M$80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3352"/>
        <c:axId val="112082328"/>
      </c:lineChart>
      <c:catAx>
        <c:axId val="677646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8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882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646808"/>
        <c:crosses val="autoZero"/>
        <c:crossBetween val="between"/>
      </c:valAx>
      <c:catAx>
        <c:axId val="112013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2082328"/>
        <c:crosses val="autoZero"/>
        <c:auto val="0"/>
        <c:lblAlgn val="ctr"/>
        <c:lblOffset val="100"/>
        <c:noMultiLvlLbl val="0"/>
      </c:catAx>
      <c:valAx>
        <c:axId val="112082328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01335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3164209461428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MATERASSI A SCHIUMA POLIURETANICA - TUTTI I CANALI</a:t>
            </a:r>
          </a:p>
        </c:rich>
      </c:tx>
      <c:layout>
        <c:manualLayout>
          <c:xMode val="edge"/>
          <c:yMode val="edge"/>
          <c:x val="0.31144789689075902"/>
          <c:y val="3.399448161329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13379401393595E-2"/>
          <c:y val="0.18644038865885801"/>
          <c:w val="0.86462866732825105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POLIUR!$B$4:$M$4</c:f>
              <c:numCache>
                <c:formatCode>#,##0</c:formatCode>
                <c:ptCount val="12"/>
                <c:pt idx="0">
                  <c:v>3206.7160833768021</c:v>
                </c:pt>
                <c:pt idx="1">
                  <c:v>3563.0178704186692</c:v>
                </c:pt>
                <c:pt idx="2">
                  <c:v>4097.4705509814694</c:v>
                </c:pt>
                <c:pt idx="3">
                  <c:v>3741.1687639396023</c:v>
                </c:pt>
                <c:pt idx="4">
                  <c:v>3741.1687639396023</c:v>
                </c:pt>
                <c:pt idx="5">
                  <c:v>3919.3196574605354</c:v>
                </c:pt>
                <c:pt idx="6">
                  <c:v>3919.3196574605354</c:v>
                </c:pt>
                <c:pt idx="7">
                  <c:v>2137.8107222512012</c:v>
                </c:pt>
                <c:pt idx="8">
                  <c:v>3919.3196574605354</c:v>
                </c:pt>
                <c:pt idx="9">
                  <c:v>3741.1687639396023</c:v>
                </c:pt>
                <c:pt idx="10">
                  <c:v>3741.1687639396023</c:v>
                </c:pt>
                <c:pt idx="11">
                  <c:v>2137.8107222512012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118968"/>
        <c:axId val="67757354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POLIUR!$B$5:$M$5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499.99999999999994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499.99999999999994</c:v>
                </c:pt>
                <c:pt idx="6">
                  <c:v>499.99999999999994</c:v>
                </c:pt>
                <c:pt idx="7">
                  <c:v>499.99999999999994</c:v>
                </c:pt>
                <c:pt idx="8">
                  <c:v>499.99999999999994</c:v>
                </c:pt>
                <c:pt idx="9">
                  <c:v>500</c:v>
                </c:pt>
                <c:pt idx="10">
                  <c:v>500</c:v>
                </c:pt>
                <c:pt idx="11">
                  <c:v>499.99999999999994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39768"/>
        <c:axId val="678113032"/>
      </c:lineChart>
      <c:catAx>
        <c:axId val="678118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73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57354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18968"/>
        <c:crosses val="autoZero"/>
        <c:crossBetween val="between"/>
      </c:valAx>
      <c:catAx>
        <c:axId val="678139768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13032"/>
        <c:crosses val="autoZero"/>
        <c:auto val="0"/>
        <c:lblAlgn val="ctr"/>
        <c:lblOffset val="100"/>
        <c:noMultiLvlLbl val="0"/>
      </c:catAx>
      <c:valAx>
        <c:axId val="678113032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3976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427940770144497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schiuma poliuretanica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QUANTITÀ!$A$15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QUANTITÀ!$B$15:$M$15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0-8E4A-8327-CD0C135C6C96}"/>
            </c:ext>
          </c:extLst>
        </c:ser>
        <c:ser>
          <c:idx val="1"/>
          <c:order val="1"/>
          <c:tx>
            <c:strRef>
              <c:f>QUANTITÀ!$A$16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QUANTITÀ!$B$16:$M$16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0-8E4A-8327-CD0C135C6C96}"/>
            </c:ext>
          </c:extLst>
        </c:ser>
        <c:ser>
          <c:idx val="2"/>
          <c:order val="2"/>
          <c:tx>
            <c:strRef>
              <c:f>QUANTITÀ!$A$17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QUANTITÀ!$B$17:$M$17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0-8E4A-8327-CD0C135C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Prezzo unitario Materassi a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PREZZI!$B$5:$M$5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09-FD45-BA6F-D49A22F9724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PREZZI!$B$6:$M$6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309-FD45-BA6F-D49A22F9724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PREZZI!$B$7:$M$7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309-FD45-BA6F-D49A22F97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30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Prezzo unitario Materassi a schiuma poliuretanica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PREZZI!$B$12:$M$12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7E-0341-B106-7B2C9D94B70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PREZZI!$B$13:$M$13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87E-0341-B106-7B2C9D94B70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PREZZI!$B$14:$M$14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87E-0341-B106-7B2C9D94B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45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Prezzo unitario prodotto </a:t>
            </a:r>
            <a:r>
              <a:rPr lang="it-IT" b="1"/>
              <a:t>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5C1-4247-B7F2-5818AC867DE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5C1-4247-B7F2-5818AC867DE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5C1-4247-B7F2-5818AC867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22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</a:t>
            </a:r>
            <a:r>
              <a:rPr lang="it-IT" b="1" baseline="0"/>
              <a:t> - TRADIZIONALE</a:t>
            </a:r>
            <a:endParaRPr lang="it-IT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MOLLE!$B$29:$M$29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MOLLE!$B$30:$M$30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646616541353398E-2"/>
          <c:y val="0.18644038865885801"/>
          <c:w val="0.87218045112781895"/>
          <c:h val="0.597456700020431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MOLLE!$B$77:$M$77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18936"/>
        <c:axId val="678222648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MOLLE!$B$78:$M$78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226584"/>
        <c:axId val="678229800"/>
      </c:lineChart>
      <c:catAx>
        <c:axId val="678218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2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2226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18936"/>
        <c:crosses val="autoZero"/>
        <c:crossBetween val="between"/>
      </c:valAx>
      <c:catAx>
        <c:axId val="678226584"/>
        <c:scaling>
          <c:orientation val="minMax"/>
        </c:scaling>
        <c:delete val="1"/>
        <c:axPos val="b"/>
        <c:majorTickMark val="out"/>
        <c:minorTickMark val="none"/>
        <c:tickLblPos val="nextTo"/>
        <c:crossAx val="678229800"/>
        <c:crosses val="autoZero"/>
        <c:auto val="0"/>
        <c:lblAlgn val="ctr"/>
        <c:lblOffset val="100"/>
        <c:noMultiLvlLbl val="0"/>
      </c:catAx>
      <c:valAx>
        <c:axId val="678229800"/>
        <c:scaling>
          <c:orientation val="minMax"/>
        </c:scaling>
        <c:delete val="0"/>
        <c:axPos val="r"/>
        <c:numFmt formatCode="_-&quot;€&quot;\ * #,##0.00_-;\-&quot;€&quot;\ * #,##0.00_-;_-&quot;€&quot;\ * &quot;-&quot;??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658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93984962406002"/>
          <c:y val="0.90677825393171796"/>
          <c:w val="0.24060150375939801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TUTTI I CANALI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MOLLE!$B$4:$M$4</c:f>
              <c:numCache>
                <c:formatCode>#,##0</c:formatCode>
                <c:ptCount val="12"/>
                <c:pt idx="0">
                  <c:v>52287.943518874396</c:v>
                </c:pt>
                <c:pt idx="1">
                  <c:v>58097.715020971547</c:v>
                </c:pt>
                <c:pt idx="2">
                  <c:v>66812.372274117282</c:v>
                </c:pt>
                <c:pt idx="3">
                  <c:v>61002.600772020123</c:v>
                </c:pt>
                <c:pt idx="4">
                  <c:v>61002.600772020123</c:v>
                </c:pt>
                <c:pt idx="5">
                  <c:v>63907.486523068699</c:v>
                </c:pt>
                <c:pt idx="6">
                  <c:v>63907.486523068699</c:v>
                </c:pt>
                <c:pt idx="7">
                  <c:v>34858.629012582925</c:v>
                </c:pt>
                <c:pt idx="8">
                  <c:v>63907.486523068699</c:v>
                </c:pt>
                <c:pt idx="9">
                  <c:v>61002.600772020123</c:v>
                </c:pt>
                <c:pt idx="10">
                  <c:v>61002.600772020123</c:v>
                </c:pt>
                <c:pt idx="11">
                  <c:v>34858.629012582925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2456"/>
        <c:axId val="111978840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MOLLE!$B$5:$M$5</c:f>
              <c:numCache>
                <c:formatCode>_-"€"\ * #,##0.00_-;\-"€"\ * #,##0.00_-;_-"€"\ * "-"??_-;_-@_-</c:formatCode>
                <c:ptCount val="12"/>
                <c:pt idx="0">
                  <c:v>179.99999999999997</c:v>
                </c:pt>
                <c:pt idx="1">
                  <c:v>180</c:v>
                </c:pt>
                <c:pt idx="2">
                  <c:v>179.99999999999997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84280"/>
        <c:axId val="677574840"/>
      </c:lineChart>
      <c:catAx>
        <c:axId val="677942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78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7884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2456"/>
        <c:crosses val="autoZero"/>
        <c:crossBetween val="between"/>
      </c:valAx>
      <c:catAx>
        <c:axId val="11198428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574840"/>
        <c:crosses val="autoZero"/>
        <c:auto val="0"/>
        <c:lblAlgn val="ctr"/>
        <c:lblOffset val="100"/>
        <c:noMultiLvlLbl val="0"/>
      </c:catAx>
      <c:valAx>
        <c:axId val="677574840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8428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MOLLE!$A$52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MOLLE!$B$52:$M$52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MOLLE!$A$53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MOLLE!$B$53:$M$53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1396999</xdr:colOff>
      <xdr:row>18</xdr:row>
      <xdr:rowOff>201082</xdr:rowOff>
    </xdr:from>
    <xdr:to>
      <xdr:col>12</xdr:col>
      <xdr:colOff>656165</xdr:colOff>
      <xdr:row>35</xdr:row>
      <xdr:rowOff>201083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4BBCAB-BA10-B24E-8C4A-9F2312C29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13</xdr:col>
      <xdr:colOff>10583</xdr:colOff>
      <xdr:row>55</xdr:row>
      <xdr:rowOff>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DCC353C-F926-0743-9B47-765CCAF09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584201</xdr:colOff>
      <xdr:row>15</xdr:row>
      <xdr:rowOff>8466</xdr:rowOff>
    </xdr:from>
    <xdr:to>
      <xdr:col>11</xdr:col>
      <xdr:colOff>171450</xdr:colOff>
      <xdr:row>35</xdr:row>
      <xdr:rowOff>40217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A17FD0-07E0-4A44-A07C-9DB1691EB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594785</xdr:colOff>
      <xdr:row>37</xdr:row>
      <xdr:rowOff>103717</xdr:rowOff>
    </xdr:from>
    <xdr:to>
      <xdr:col>11</xdr:col>
      <xdr:colOff>182034</xdr:colOff>
      <xdr:row>57</xdr:row>
      <xdr:rowOff>135467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C7BC051-D175-8C4D-9324-25696DD4E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605368</xdr:colOff>
      <xdr:row>60</xdr:row>
      <xdr:rowOff>8467</xdr:rowOff>
    </xdr:from>
    <xdr:to>
      <xdr:col>11</xdr:col>
      <xdr:colOff>192617</xdr:colOff>
      <xdr:row>80</xdr:row>
      <xdr:rowOff>40218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F198404-2859-3D40-B14F-376AFC3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249047</xdr:colOff>
      <xdr:row>31</xdr:row>
      <xdr:rowOff>180437</xdr:rowOff>
    </xdr:from>
    <xdr:to>
      <xdr:col>11</xdr:col>
      <xdr:colOff>668147</xdr:colOff>
      <xdr:row>48</xdr:row>
      <xdr:rowOff>133151</xdr:rowOff>
    </xdr:to>
    <xdr:graphicFrame macro="">
      <xdr:nvGraphicFramePr>
        <xdr:cNvPr id="3125" name="Chart 1"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1723571</xdr:colOff>
      <xdr:row>80</xdr:row>
      <xdr:rowOff>108857</xdr:rowOff>
    </xdr:from>
    <xdr:to>
      <xdr:col>11</xdr:col>
      <xdr:colOff>444500</xdr:colOff>
      <xdr:row>97</xdr:row>
      <xdr:rowOff>61686</xdr:rowOff>
    </xdr:to>
    <xdr:graphicFrame macro="">
      <xdr:nvGraphicFramePr>
        <xdr:cNvPr id="3126" name="Chart 3">
          <a:extLst>
            <a:ext uri="{FF2B5EF4-FFF2-40B4-BE49-F238E27FC236}">
              <a16:creationId xmlns:a16="http://schemas.microsoft.com/office/drawing/2014/main" id="{00000000-0008-0000-0200-00003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3127" name="Chart 4">
          <a:extLst>
            <a:ext uri="{FF2B5EF4-FFF2-40B4-BE49-F238E27FC236}">
              <a16:creationId xmlns:a16="http://schemas.microsoft.com/office/drawing/2014/main" id="{00000000-0008-0000-02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55</xdr:row>
      <xdr:rowOff>12700</xdr:rowOff>
    </xdr:from>
    <xdr:to>
      <xdr:col>11</xdr:col>
      <xdr:colOff>444500</xdr:colOff>
      <xdr:row>71</xdr:row>
      <xdr:rowOff>165100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09AC95E-40E7-FC47-836C-14C735FDD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12700</xdr:rowOff>
    </xdr:from>
    <xdr:to>
      <xdr:col>11</xdr:col>
      <xdr:colOff>444500</xdr:colOff>
      <xdr:row>48</xdr:row>
      <xdr:rowOff>165100</xdr:rowOff>
    </xdr:to>
    <xdr:graphicFrame macro="">
      <xdr:nvGraphicFramePr>
        <xdr:cNvPr id="4165" name="Chart 1">
          <a:extLst>
            <a:ext uri="{FF2B5EF4-FFF2-40B4-BE49-F238E27FC236}">
              <a16:creationId xmlns:a16="http://schemas.microsoft.com/office/drawing/2014/main" id="{00000000-0008-0000-0300-00004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11</xdr:col>
      <xdr:colOff>444500</xdr:colOff>
      <xdr:row>73</xdr:row>
      <xdr:rowOff>152400</xdr:rowOff>
    </xdr:to>
    <xdr:graphicFrame macro="">
      <xdr:nvGraphicFramePr>
        <xdr:cNvPr id="4166" name="Chart 2">
          <a:extLst>
            <a:ext uri="{FF2B5EF4-FFF2-40B4-BE49-F238E27FC236}">
              <a16:creationId xmlns:a16="http://schemas.microsoft.com/office/drawing/2014/main" id="{00000000-0008-0000-0300-00004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11</xdr:col>
      <xdr:colOff>444500</xdr:colOff>
      <xdr:row>98</xdr:row>
      <xdr:rowOff>152400</xdr:rowOff>
    </xdr:to>
    <xdr:graphicFrame macro="">
      <xdr:nvGraphicFramePr>
        <xdr:cNvPr id="4167" name="Chart 3">
          <a:extLst>
            <a:ext uri="{FF2B5EF4-FFF2-40B4-BE49-F238E27FC236}">
              <a16:creationId xmlns:a16="http://schemas.microsoft.com/office/drawing/2014/main" id="{00000000-0008-0000-0300-00004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4168" name="Chart 4">
          <a:extLst>
            <a:ext uri="{FF2B5EF4-FFF2-40B4-BE49-F238E27FC236}">
              <a16:creationId xmlns:a16="http://schemas.microsoft.com/office/drawing/2014/main" id="{00000000-0008-0000-0300-00004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BDE3-4417-CC40-A021-0C33AB397D14}">
  <sheetPr>
    <pageSetUpPr fitToPage="1"/>
  </sheetPr>
  <dimension ref="A2:H55"/>
  <sheetViews>
    <sheetView topLeftCell="A14" zoomScale="231" zoomScaleNormal="200" workbookViewId="0">
      <pane ySplit="5" topLeftCell="A45" activePane="bottomLeft" state="frozen"/>
      <selection activeCell="A14" sqref="A14"/>
      <selection pane="bottomLeft" activeCell="A46" sqref="A46"/>
    </sheetView>
  </sheetViews>
  <sheetFormatPr baseColWidth="10" defaultRowHeight="16" outlineLevelRow="1" outlineLevelCol="1" x14ac:dyDescent="0.15"/>
  <cols>
    <col min="1" max="1" width="38.1640625" style="70" customWidth="1"/>
    <col min="2" max="2" width="12.33203125" style="70" customWidth="1" outlineLevel="1"/>
    <col min="3" max="3" width="14.83203125" style="70" customWidth="1" outlineLevel="1"/>
    <col min="4" max="4" width="13.33203125" style="70" customWidth="1" outlineLevel="1"/>
    <col min="5" max="5" width="14.6640625" style="70" customWidth="1"/>
    <col min="6" max="6" width="2.6640625" style="70" customWidth="1"/>
    <col min="7" max="7" width="13.33203125" style="70" hidden="1" customWidth="1" outlineLevel="1"/>
    <col min="8" max="8" width="12.33203125" style="70" bestFit="1" customWidth="1" collapsed="1"/>
    <col min="9" max="12" width="10.83203125" style="70"/>
    <col min="13" max="13" width="12.33203125" style="70" bestFit="1" customWidth="1"/>
    <col min="14" max="16384" width="10.83203125" style="70"/>
  </cols>
  <sheetData>
    <row r="2" spans="1:5" x14ac:dyDescent="0.15">
      <c r="A2" s="70" t="s">
        <v>108</v>
      </c>
    </row>
    <row r="4" spans="1:5" x14ac:dyDescent="0.15">
      <c r="A4" s="102" t="s">
        <v>45</v>
      </c>
    </row>
    <row r="6" spans="1:5" x14ac:dyDescent="0.15">
      <c r="A6" s="102" t="s">
        <v>46</v>
      </c>
    </row>
    <row r="8" spans="1:5" x14ac:dyDescent="0.15">
      <c r="A8" s="239"/>
      <c r="B8" s="236" t="s">
        <v>34</v>
      </c>
      <c r="C8" s="237"/>
      <c r="D8" s="238"/>
    </row>
    <row r="9" spans="1:5" x14ac:dyDescent="0.15">
      <c r="A9" s="240"/>
      <c r="B9" s="96" t="s">
        <v>50</v>
      </c>
      <c r="C9" s="91" t="s">
        <v>51</v>
      </c>
      <c r="D9" s="89" t="s">
        <v>52</v>
      </c>
    </row>
    <row r="10" spans="1:5" x14ac:dyDescent="0.15">
      <c r="A10" s="78" t="s">
        <v>47</v>
      </c>
      <c r="B10" s="93">
        <v>0.01</v>
      </c>
      <c r="C10" s="93">
        <v>-0.02</v>
      </c>
      <c r="D10" s="97">
        <v>0.05</v>
      </c>
    </row>
    <row r="11" spans="1:5" x14ac:dyDescent="0.15">
      <c r="A11" s="79" t="s">
        <v>48</v>
      </c>
      <c r="B11" s="93">
        <v>0.02</v>
      </c>
      <c r="C11" s="93">
        <v>-0.04</v>
      </c>
      <c r="D11" s="97">
        <v>0.08</v>
      </c>
    </row>
    <row r="12" spans="1:5" x14ac:dyDescent="0.15">
      <c r="A12" s="80" t="s">
        <v>49</v>
      </c>
      <c r="B12" s="100">
        <v>0.01</v>
      </c>
      <c r="C12" s="95">
        <v>-0.02</v>
      </c>
      <c r="D12" s="98">
        <v>0.03</v>
      </c>
    </row>
    <row r="14" spans="1:5" x14ac:dyDescent="0.15">
      <c r="A14" s="102" t="s">
        <v>53</v>
      </c>
    </row>
    <row r="16" spans="1:5" x14ac:dyDescent="0.15">
      <c r="B16" s="243" t="s">
        <v>54</v>
      </c>
      <c r="C16" s="244"/>
      <c r="D16" s="244"/>
      <c r="E16" s="245"/>
    </row>
    <row r="17" spans="1:7" x14ac:dyDescent="0.15">
      <c r="B17" s="236" t="s">
        <v>34</v>
      </c>
      <c r="C17" s="237"/>
      <c r="D17" s="238"/>
      <c r="E17" s="241" t="s">
        <v>3</v>
      </c>
    </row>
    <row r="18" spans="1:7" x14ac:dyDescent="0.15">
      <c r="B18" s="96" t="s">
        <v>50</v>
      </c>
      <c r="C18" s="91" t="s">
        <v>51</v>
      </c>
      <c r="D18" s="89" t="s">
        <v>52</v>
      </c>
      <c r="E18" s="242"/>
      <c r="G18" s="90" t="s">
        <v>66</v>
      </c>
    </row>
    <row r="19" spans="1:7" x14ac:dyDescent="0.15">
      <c r="B19" s="78"/>
      <c r="C19" s="78"/>
      <c r="D19" s="78"/>
      <c r="E19" s="78"/>
      <c r="G19" s="79"/>
    </row>
    <row r="20" spans="1:7" x14ac:dyDescent="0.15">
      <c r="A20" s="77" t="s">
        <v>35</v>
      </c>
      <c r="B20" s="85">
        <f>+B24/B26</f>
        <v>128140000</v>
      </c>
      <c r="C20" s="85">
        <f>$E20*C21</f>
        <v>123000000</v>
      </c>
      <c r="D20" s="85">
        <f>$E20*D21</f>
        <v>77900000</v>
      </c>
      <c r="E20" s="86">
        <v>410000000</v>
      </c>
      <c r="G20" s="101">
        <f>+E20-B20-C20-D20</f>
        <v>80960000</v>
      </c>
    </row>
    <row r="21" spans="1:7" outlineLevel="1" x14ac:dyDescent="0.15">
      <c r="B21" s="104">
        <f>B20/E20</f>
        <v>0.31253658536585366</v>
      </c>
      <c r="C21" s="84">
        <v>0.3</v>
      </c>
      <c r="D21" s="84">
        <v>0.19</v>
      </c>
      <c r="E21" s="114"/>
      <c r="F21" s="94"/>
      <c r="G21" s="92">
        <f>G20/E20</f>
        <v>0.19746341463414635</v>
      </c>
    </row>
    <row r="22" spans="1:7" outlineLevel="1" x14ac:dyDescent="0.15">
      <c r="A22" s="70" t="s">
        <v>36</v>
      </c>
      <c r="B22" s="107">
        <v>22111</v>
      </c>
      <c r="C22" s="111">
        <f>C20/180</f>
        <v>683333.33333333337</v>
      </c>
      <c r="D22" s="111">
        <f>ROUND(D28/D30,0)</f>
        <v>3158</v>
      </c>
      <c r="E22" s="79"/>
    </row>
    <row r="23" spans="1:7" x14ac:dyDescent="0.15">
      <c r="B23" s="79"/>
      <c r="C23" s="79"/>
      <c r="D23" s="79"/>
      <c r="E23" s="79"/>
    </row>
    <row r="24" spans="1:7" x14ac:dyDescent="0.15">
      <c r="A24" s="77" t="s">
        <v>38</v>
      </c>
      <c r="B24" s="85">
        <f>+B25*E24</f>
        <v>38442000</v>
      </c>
      <c r="C24" s="85">
        <f>C25*E24</f>
        <v>79446800</v>
      </c>
      <c r="D24" s="85">
        <f>+E24-C24-B24</f>
        <v>10251200</v>
      </c>
      <c r="E24" s="88">
        <v>128140000</v>
      </c>
    </row>
    <row r="25" spans="1:7" outlineLevel="1" x14ac:dyDescent="0.15">
      <c r="A25" s="70" t="s">
        <v>55</v>
      </c>
      <c r="B25" s="84">
        <v>0.3</v>
      </c>
      <c r="C25" s="84">
        <v>0.62</v>
      </c>
      <c r="D25" s="104">
        <f>+D24/E24</f>
        <v>0.08</v>
      </c>
      <c r="E25" s="104">
        <f>+E24/E24</f>
        <v>1</v>
      </c>
    </row>
    <row r="26" spans="1:7" outlineLevel="1" x14ac:dyDescent="0.15">
      <c r="A26" s="70" t="s">
        <v>37</v>
      </c>
      <c r="B26" s="84">
        <v>0.3</v>
      </c>
      <c r="C26" s="104">
        <f>C24/C20</f>
        <v>0.64590894308943092</v>
      </c>
      <c r="D26" s="87">
        <f>D24/D20</f>
        <v>0.13159435173299103</v>
      </c>
      <c r="E26" s="87">
        <f>E24/E20</f>
        <v>0.31253658536585366</v>
      </c>
    </row>
    <row r="27" spans="1:7" outlineLevel="1" x14ac:dyDescent="0.15">
      <c r="B27" s="104"/>
      <c r="C27" s="104"/>
      <c r="D27" s="79"/>
      <c r="E27" s="87"/>
    </row>
    <row r="28" spans="1:7" outlineLevel="1" x14ac:dyDescent="0.15">
      <c r="A28" s="70" t="s">
        <v>39</v>
      </c>
      <c r="B28" s="108">
        <v>6200</v>
      </c>
      <c r="C28" s="112">
        <f>C24/C40</f>
        <v>441371.11111111112</v>
      </c>
      <c r="D28" s="107">
        <v>600</v>
      </c>
      <c r="E28" s="87"/>
    </row>
    <row r="29" spans="1:7" outlineLevel="1" x14ac:dyDescent="0.15">
      <c r="A29" s="70" t="s">
        <v>40</v>
      </c>
      <c r="B29" s="109">
        <f>+B24/B28</f>
        <v>6200.322580645161</v>
      </c>
      <c r="C29" s="109">
        <f t="shared" ref="C29:D29" si="0">+C24/C28</f>
        <v>180</v>
      </c>
      <c r="D29" s="109">
        <f t="shared" si="0"/>
        <v>17085.333333333332</v>
      </c>
      <c r="E29" s="87"/>
    </row>
    <row r="30" spans="1:7" outlineLevel="1" x14ac:dyDescent="0.15">
      <c r="A30" s="70" t="s">
        <v>41</v>
      </c>
      <c r="B30" s="104">
        <f>B28/B22</f>
        <v>0.28040341911265887</v>
      </c>
      <c r="C30" s="104">
        <f>C28/C22</f>
        <v>0.64590894308943092</v>
      </c>
      <c r="D30" s="113">
        <v>0.19</v>
      </c>
      <c r="E30" s="87"/>
    </row>
    <row r="31" spans="1:7" outlineLevel="1" x14ac:dyDescent="0.15">
      <c r="B31" s="104"/>
      <c r="C31" s="104"/>
      <c r="D31" s="104"/>
      <c r="E31" s="87"/>
    </row>
    <row r="32" spans="1:7" outlineLevel="1" x14ac:dyDescent="0.15">
      <c r="A32" s="70" t="s">
        <v>68</v>
      </c>
      <c r="B32" s="104"/>
      <c r="C32" s="104"/>
      <c r="D32" s="104"/>
      <c r="E32" s="87"/>
    </row>
    <row r="33" spans="1:5" outlineLevel="1" x14ac:dyDescent="0.15">
      <c r="A33" s="77" t="s">
        <v>44</v>
      </c>
      <c r="B33" s="155">
        <v>180</v>
      </c>
      <c r="C33" s="155">
        <v>180</v>
      </c>
      <c r="D33" s="155">
        <v>180</v>
      </c>
      <c r="E33" s="87"/>
    </row>
    <row r="34" spans="1:5" outlineLevel="1" x14ac:dyDescent="0.15">
      <c r="A34" s="77" t="s">
        <v>43</v>
      </c>
      <c r="B34" s="155">
        <v>500</v>
      </c>
      <c r="C34" s="155">
        <v>500</v>
      </c>
      <c r="D34" s="155">
        <v>500</v>
      </c>
      <c r="E34" s="87"/>
    </row>
    <row r="35" spans="1:5" x14ac:dyDescent="0.15">
      <c r="B35" s="79"/>
      <c r="C35" s="79"/>
      <c r="D35" s="79"/>
      <c r="E35" s="79"/>
    </row>
    <row r="36" spans="1:5" x14ac:dyDescent="0.15">
      <c r="A36" s="70" t="s">
        <v>57</v>
      </c>
      <c r="B36" s="79"/>
      <c r="C36" s="79"/>
      <c r="D36" s="79"/>
      <c r="E36" s="79"/>
    </row>
    <row r="37" spans="1:5" x14ac:dyDescent="0.15">
      <c r="A37" s="77" t="s">
        <v>44</v>
      </c>
      <c r="B37" s="83">
        <v>0.71</v>
      </c>
      <c r="C37" s="83">
        <v>1</v>
      </c>
      <c r="D37" s="83">
        <v>0.09</v>
      </c>
      <c r="E37" s="83">
        <v>0.84</v>
      </c>
    </row>
    <row r="38" spans="1:5" x14ac:dyDescent="0.15">
      <c r="A38" s="77" t="s">
        <v>43</v>
      </c>
      <c r="B38" s="83">
        <f>1-B37</f>
        <v>0.29000000000000004</v>
      </c>
      <c r="C38" s="83">
        <v>0</v>
      </c>
      <c r="D38" s="83">
        <v>0.91</v>
      </c>
      <c r="E38" s="235">
        <f>1-E37</f>
        <v>0.16000000000000003</v>
      </c>
    </row>
    <row r="39" spans="1:5" outlineLevel="1" x14ac:dyDescent="0.15">
      <c r="B39" s="104"/>
      <c r="C39" s="104"/>
      <c r="D39" s="104"/>
      <c r="E39" s="87"/>
    </row>
    <row r="40" spans="1:5" outlineLevel="1" x14ac:dyDescent="0.15">
      <c r="A40" s="70" t="s">
        <v>69</v>
      </c>
      <c r="B40" s="109">
        <f>B33*B37+B34*B38</f>
        <v>272.8</v>
      </c>
      <c r="C40" s="109">
        <f t="shared" ref="C40:D40" si="1">C33*C37+C34*C38</f>
        <v>180</v>
      </c>
      <c r="D40" s="109">
        <f t="shared" si="1"/>
        <v>471.2</v>
      </c>
      <c r="E40" s="87"/>
    </row>
    <row r="41" spans="1:5" x14ac:dyDescent="0.15">
      <c r="B41" s="79"/>
      <c r="C41" s="79"/>
      <c r="D41" s="79"/>
      <c r="E41" s="79"/>
    </row>
    <row r="42" spans="1:5" x14ac:dyDescent="0.15">
      <c r="A42" s="70" t="s">
        <v>58</v>
      </c>
      <c r="B42" s="79"/>
      <c r="C42" s="79"/>
      <c r="D42" s="79"/>
      <c r="E42" s="79"/>
    </row>
    <row r="43" spans="1:5" x14ac:dyDescent="0.15">
      <c r="A43" s="77" t="s">
        <v>44</v>
      </c>
      <c r="B43" s="85">
        <f t="shared" ref="B43:E44" si="2">B37*B$24</f>
        <v>27293820</v>
      </c>
      <c r="C43" s="85">
        <f t="shared" si="2"/>
        <v>79446800</v>
      </c>
      <c r="D43" s="85">
        <f t="shared" si="2"/>
        <v>922608</v>
      </c>
      <c r="E43" s="85">
        <f t="shared" si="2"/>
        <v>107637600</v>
      </c>
    </row>
    <row r="44" spans="1:5" x14ac:dyDescent="0.15">
      <c r="A44" s="77" t="s">
        <v>43</v>
      </c>
      <c r="B44" s="85">
        <f t="shared" si="2"/>
        <v>11148180.000000002</v>
      </c>
      <c r="C44" s="85">
        <f t="shared" si="2"/>
        <v>0</v>
      </c>
      <c r="D44" s="85">
        <f t="shared" si="2"/>
        <v>9328592</v>
      </c>
      <c r="E44" s="85">
        <f t="shared" si="2"/>
        <v>20502400.000000004</v>
      </c>
    </row>
    <row r="45" spans="1:5" outlineLevel="1" x14ac:dyDescent="0.15">
      <c r="B45" s="79"/>
      <c r="C45" s="79"/>
      <c r="D45" s="79"/>
      <c r="E45" s="79"/>
    </row>
    <row r="46" spans="1:5" outlineLevel="1" x14ac:dyDescent="0.15">
      <c r="A46" s="70" t="s">
        <v>64</v>
      </c>
      <c r="B46" s="83">
        <v>0.01</v>
      </c>
      <c r="C46" s="83">
        <v>0</v>
      </c>
      <c r="D46" s="83">
        <v>0.1</v>
      </c>
      <c r="E46" s="79"/>
    </row>
    <row r="47" spans="1:5" outlineLevel="1" x14ac:dyDescent="0.15">
      <c r="A47" s="70" t="s">
        <v>56</v>
      </c>
      <c r="B47" s="81">
        <v>90</v>
      </c>
      <c r="C47" s="81">
        <v>30</v>
      </c>
      <c r="D47" s="81">
        <v>150</v>
      </c>
      <c r="E47" s="79"/>
    </row>
    <row r="48" spans="1:5" outlineLevel="1" x14ac:dyDescent="0.15">
      <c r="A48" s="70" t="s">
        <v>65</v>
      </c>
      <c r="B48" s="83">
        <v>0.12</v>
      </c>
      <c r="C48" s="79"/>
      <c r="D48" s="83">
        <v>0.06</v>
      </c>
      <c r="E48" s="79"/>
    </row>
    <row r="49" spans="1:5" outlineLevel="1" x14ac:dyDescent="0.15">
      <c r="B49" s="79"/>
      <c r="C49" s="79"/>
      <c r="D49" s="79"/>
      <c r="E49" s="79"/>
    </row>
    <row r="50" spans="1:5" outlineLevel="1" x14ac:dyDescent="0.15">
      <c r="B50" s="79"/>
      <c r="C50" s="79"/>
      <c r="D50" s="79"/>
      <c r="E50" s="79"/>
    </row>
    <row r="51" spans="1:5" outlineLevel="1" x14ac:dyDescent="0.15">
      <c r="A51" s="70" t="s">
        <v>59</v>
      </c>
      <c r="B51" s="79"/>
      <c r="C51" s="79"/>
      <c r="D51" s="79"/>
      <c r="E51" s="79"/>
    </row>
    <row r="52" spans="1:5" outlineLevel="1" x14ac:dyDescent="0.15">
      <c r="A52" s="70" t="s">
        <v>60</v>
      </c>
      <c r="B52" s="81">
        <v>50</v>
      </c>
      <c r="C52" s="81">
        <v>0</v>
      </c>
      <c r="D52" s="81">
        <v>7</v>
      </c>
      <c r="E52" s="79"/>
    </row>
    <row r="53" spans="1:5" outlineLevel="1" x14ac:dyDescent="0.15">
      <c r="A53" s="70" t="s">
        <v>61</v>
      </c>
      <c r="B53" s="81">
        <v>40</v>
      </c>
      <c r="C53" s="81">
        <v>0</v>
      </c>
      <c r="D53" s="81">
        <v>2</v>
      </c>
      <c r="E53" s="79"/>
    </row>
    <row r="54" spans="1:5" outlineLevel="1" x14ac:dyDescent="0.15">
      <c r="A54" s="70" t="s">
        <v>62</v>
      </c>
      <c r="B54" s="81">
        <v>25</v>
      </c>
      <c r="C54" s="81">
        <v>0</v>
      </c>
      <c r="D54" s="81">
        <v>3</v>
      </c>
      <c r="E54" s="79"/>
    </row>
    <row r="55" spans="1:5" outlineLevel="1" x14ac:dyDescent="0.15">
      <c r="A55" s="99" t="s">
        <v>63</v>
      </c>
      <c r="B55" s="110">
        <f>SUM(B52:B54)</f>
        <v>115</v>
      </c>
      <c r="C55" s="110">
        <f t="shared" ref="C55:D55" si="3">SUM(C52:C54)</f>
        <v>0</v>
      </c>
      <c r="D55" s="110">
        <f t="shared" si="3"/>
        <v>12</v>
      </c>
      <c r="E55" s="80"/>
    </row>
  </sheetData>
  <mergeCells count="5">
    <mergeCell ref="B8:D8"/>
    <mergeCell ref="A8:A9"/>
    <mergeCell ref="B17:D17"/>
    <mergeCell ref="E17:E18"/>
    <mergeCell ref="B16:E16"/>
  </mergeCells>
  <pageMargins left="0.25" right="0.25" top="0.75" bottom="0.75" header="0.3" footer="0.3"/>
  <pageSetup paperSize="9" scale="83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898C-7B55-D74D-9F34-258455C0532D}">
  <sheetPr>
    <pageSetUpPr fitToPage="1"/>
  </sheetPr>
  <dimension ref="B1:O24"/>
  <sheetViews>
    <sheetView showGridLines="0" zoomScale="180" zoomScaleNormal="1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4" sqref="H14"/>
    </sheetView>
  </sheetViews>
  <sheetFormatPr baseColWidth="10" defaultRowHeight="16" x14ac:dyDescent="0.15"/>
  <cols>
    <col min="1" max="1" width="1.83203125" style="70" customWidth="1"/>
    <col min="2" max="2" width="28.33203125" style="70" bestFit="1" customWidth="1"/>
    <col min="3" max="3" width="12.33203125" style="70" customWidth="1"/>
    <col min="4" max="4" width="14.83203125" style="70" customWidth="1"/>
    <col min="5" max="5" width="13.33203125" style="70" customWidth="1"/>
    <col min="6" max="6" width="13.5" style="70" customWidth="1"/>
    <col min="7" max="10" width="14.1640625" style="70" customWidth="1"/>
    <col min="11" max="11" width="2" style="70" customWidth="1"/>
    <col min="12" max="14" width="7.6640625" style="70" customWidth="1"/>
    <col min="15" max="15" width="8.33203125" style="70" customWidth="1"/>
    <col min="16" max="16384" width="10.83203125" style="70"/>
  </cols>
  <sheetData>
    <row r="1" spans="2:15" x14ac:dyDescent="0.15">
      <c r="B1" s="70" t="s">
        <v>109</v>
      </c>
    </row>
    <row r="2" spans="2:15" ht="17" thickBot="1" x14ac:dyDescent="0.2"/>
    <row r="3" spans="2:15" x14ac:dyDescent="0.15">
      <c r="C3" s="252" t="s">
        <v>54</v>
      </c>
      <c r="D3" s="253"/>
      <c r="E3" s="253"/>
      <c r="F3" s="254"/>
      <c r="G3" s="246" t="s">
        <v>67</v>
      </c>
      <c r="H3" s="247"/>
      <c r="I3" s="247"/>
      <c r="J3" s="248"/>
      <c r="L3" s="246" t="s">
        <v>70</v>
      </c>
      <c r="M3" s="247"/>
      <c r="N3" s="247"/>
      <c r="O3" s="248"/>
    </row>
    <row r="4" spans="2:15" x14ac:dyDescent="0.15">
      <c r="C4" s="249" t="s">
        <v>34</v>
      </c>
      <c r="D4" s="237"/>
      <c r="E4" s="238"/>
      <c r="F4" s="255" t="s">
        <v>3</v>
      </c>
      <c r="G4" s="249" t="s">
        <v>34</v>
      </c>
      <c r="H4" s="237"/>
      <c r="I4" s="238"/>
      <c r="J4" s="250" t="s">
        <v>3</v>
      </c>
      <c r="L4" s="249" t="s">
        <v>34</v>
      </c>
      <c r="M4" s="237"/>
      <c r="N4" s="238"/>
      <c r="O4" s="250" t="s">
        <v>3</v>
      </c>
    </row>
    <row r="5" spans="2:15" x14ac:dyDescent="0.15">
      <c r="C5" s="116" t="s">
        <v>50</v>
      </c>
      <c r="D5" s="91" t="s">
        <v>51</v>
      </c>
      <c r="E5" s="89" t="s">
        <v>52</v>
      </c>
      <c r="F5" s="256"/>
      <c r="G5" s="116" t="s">
        <v>50</v>
      </c>
      <c r="H5" s="91" t="s">
        <v>51</v>
      </c>
      <c r="I5" s="89" t="s">
        <v>52</v>
      </c>
      <c r="J5" s="251"/>
      <c r="L5" s="116" t="s">
        <v>71</v>
      </c>
      <c r="M5" s="91" t="s">
        <v>72</v>
      </c>
      <c r="N5" s="89" t="s">
        <v>52</v>
      </c>
      <c r="O5" s="251"/>
    </row>
    <row r="6" spans="2:15" ht="17" thickBot="1" x14ac:dyDescent="0.2">
      <c r="C6" s="117"/>
      <c r="D6" s="78"/>
      <c r="E6" s="78"/>
      <c r="F6" s="118"/>
      <c r="G6" s="117"/>
      <c r="H6" s="78"/>
      <c r="I6" s="78"/>
      <c r="J6" s="144"/>
      <c r="L6" s="117"/>
      <c r="M6" s="78"/>
      <c r="N6" s="78"/>
      <c r="O6" s="144"/>
    </row>
    <row r="7" spans="2:15" x14ac:dyDescent="0.15">
      <c r="B7" s="136" t="s">
        <v>35</v>
      </c>
      <c r="C7" s="119">
        <f>+'Tab 0'!B20</f>
        <v>128140000</v>
      </c>
      <c r="D7" s="85">
        <f>+'Tab 0'!C20</f>
        <v>123000000</v>
      </c>
      <c r="E7" s="85">
        <f>+'Tab 0'!D20</f>
        <v>77900000</v>
      </c>
      <c r="F7" s="120">
        <f>SUM(C7:E7)</f>
        <v>329040000</v>
      </c>
      <c r="G7" s="119">
        <f>C7*(1+'Tab 0'!B$10)</f>
        <v>129421400</v>
      </c>
      <c r="H7" s="85">
        <f>D7*(1+'Tab 0'!C$10)</f>
        <v>120540000</v>
      </c>
      <c r="I7" s="85">
        <f>E7*(1+'Tab 0'!D$10)</f>
        <v>81795000</v>
      </c>
      <c r="J7" s="145">
        <f>SUM(G7:I7)</f>
        <v>331756400</v>
      </c>
      <c r="L7" s="169">
        <f t="shared" ref="L7:L16" si="0">IFERROR((G7-C7)/C7,0)</f>
        <v>0.01</v>
      </c>
      <c r="M7" s="167">
        <f t="shared" ref="M7:M16" si="1">IFERROR((H7-D7)/D7,0)</f>
        <v>-0.02</v>
      </c>
      <c r="N7" s="167">
        <f t="shared" ref="N7:N16" si="2">IFERROR((I7-E7)/E7,0)</f>
        <v>0.05</v>
      </c>
      <c r="O7" s="168">
        <f t="shared" ref="O7:O16" si="3">IFERROR((J7-F7)/F7,0)</f>
        <v>8.25553124240214E-3</v>
      </c>
    </row>
    <row r="8" spans="2:15" x14ac:dyDescent="0.15">
      <c r="B8" s="137" t="s">
        <v>36</v>
      </c>
      <c r="C8" s="121">
        <f>+'Tab 0'!B22</f>
        <v>22111</v>
      </c>
      <c r="D8" s="103">
        <f>+'Tab 0'!C22</f>
        <v>683333.33333333337</v>
      </c>
      <c r="E8" s="103">
        <f>+'Tab 0'!D22</f>
        <v>3158</v>
      </c>
      <c r="F8" s="122">
        <f>SUM(C8:E8)</f>
        <v>708602.33333333337</v>
      </c>
      <c r="G8" s="154">
        <f>C8</f>
        <v>22111</v>
      </c>
      <c r="H8" s="103">
        <f>H7/180</f>
        <v>669666.66666666663</v>
      </c>
      <c r="I8" s="108">
        <f t="shared" ref="I8" si="4">E8</f>
        <v>3158</v>
      </c>
      <c r="J8" s="146">
        <f>SUM(G8:I8)</f>
        <v>694935.66666666663</v>
      </c>
      <c r="L8" s="169">
        <f t="shared" si="0"/>
        <v>0</v>
      </c>
      <c r="M8" s="167">
        <f t="shared" si="1"/>
        <v>-2.0000000000000111E-2</v>
      </c>
      <c r="N8" s="167">
        <f t="shared" si="2"/>
        <v>0</v>
      </c>
      <c r="O8" s="168">
        <f t="shared" si="3"/>
        <v>-1.928679320371051E-2</v>
      </c>
    </row>
    <row r="9" spans="2:15" x14ac:dyDescent="0.15">
      <c r="B9" s="137" t="s">
        <v>40</v>
      </c>
      <c r="C9" s="123">
        <f>C7/C8</f>
        <v>5795.3055040477593</v>
      </c>
      <c r="D9" s="82">
        <f t="shared" ref="D9:F9" si="5">D7/D8</f>
        <v>180</v>
      </c>
      <c r="E9" s="82">
        <f t="shared" si="5"/>
        <v>24667.511082963902</v>
      </c>
      <c r="F9" s="124">
        <f t="shared" si="5"/>
        <v>464.35071481089295</v>
      </c>
      <c r="G9" s="123">
        <f>G7/G8</f>
        <v>5853.2585590882363</v>
      </c>
      <c r="H9" s="82">
        <f t="shared" ref="H9" si="6">H7/H8</f>
        <v>180</v>
      </c>
      <c r="I9" s="82">
        <f t="shared" ref="I9" si="7">I7/I8</f>
        <v>25900.886637112097</v>
      </c>
      <c r="J9" s="147">
        <f t="shared" ref="J9" si="8">J7/J8</f>
        <v>477.39152832852159</v>
      </c>
      <c r="L9" s="169">
        <f t="shared" si="0"/>
        <v>9.9999999999998996E-3</v>
      </c>
      <c r="M9" s="170">
        <f t="shared" si="1"/>
        <v>0</v>
      </c>
      <c r="N9" s="170">
        <f t="shared" si="2"/>
        <v>0.05</v>
      </c>
      <c r="O9" s="168">
        <f t="shared" si="3"/>
        <v>2.8083974249807093E-2</v>
      </c>
    </row>
    <row r="10" spans="2:15" ht="17" thickBot="1" x14ac:dyDescent="0.2">
      <c r="B10" s="137"/>
      <c r="C10" s="123"/>
      <c r="D10" s="82"/>
      <c r="E10" s="82"/>
      <c r="F10" s="124"/>
      <c r="G10" s="123"/>
      <c r="H10" s="82"/>
      <c r="I10" s="82"/>
      <c r="J10" s="147"/>
      <c r="L10" s="232"/>
      <c r="M10" s="233"/>
      <c r="N10" s="233"/>
      <c r="O10" s="234"/>
    </row>
    <row r="11" spans="2:15" ht="17" thickBot="1" x14ac:dyDescent="0.2">
      <c r="B11" s="140" t="s">
        <v>38</v>
      </c>
      <c r="C11" s="141">
        <f>'Tab 0'!B24</f>
        <v>38442000</v>
      </c>
      <c r="D11" s="142">
        <f>'Tab 0'!C24</f>
        <v>79446800</v>
      </c>
      <c r="E11" s="142">
        <f>'Tab 0'!D24</f>
        <v>10251200</v>
      </c>
      <c r="F11" s="143">
        <f>SUM(C11:E11)</f>
        <v>128140000</v>
      </c>
      <c r="G11" s="141">
        <f>+G14*G15</f>
        <v>52151533.258064516</v>
      </c>
      <c r="H11" s="142">
        <f>+H12*H7</f>
        <v>77857864</v>
      </c>
      <c r="I11" s="142">
        <f>+I14*I15</f>
        <v>13800000</v>
      </c>
      <c r="J11" s="148">
        <f>SUM(G11:I11)</f>
        <v>143809397.25806451</v>
      </c>
      <c r="L11" s="229">
        <f t="shared" si="0"/>
        <v>0.35662903225806453</v>
      </c>
      <c r="M11" s="230">
        <f t="shared" si="1"/>
        <v>-0.02</v>
      </c>
      <c r="N11" s="230">
        <f t="shared" si="2"/>
        <v>0.34618386140159202</v>
      </c>
      <c r="O11" s="231">
        <f t="shared" si="3"/>
        <v>0.12228341858954665</v>
      </c>
    </row>
    <row r="12" spans="2:15" s="99" customFormat="1" x14ac:dyDescent="0.15">
      <c r="B12" s="138" t="s">
        <v>37</v>
      </c>
      <c r="C12" s="156">
        <f>'Tab 0'!B26</f>
        <v>0.3</v>
      </c>
      <c r="D12" s="157">
        <f>'Tab 0'!C26</f>
        <v>0.64590894308943092</v>
      </c>
      <c r="E12" s="157">
        <f>'Tab 0'!D26</f>
        <v>0.13159435173299103</v>
      </c>
      <c r="F12" s="158">
        <f>'Tab 0'!E26</f>
        <v>0.31253658536585366</v>
      </c>
      <c r="G12" s="156">
        <f>+G11/G7</f>
        <v>0.40295911849249438</v>
      </c>
      <c r="H12" s="159">
        <f>+D12</f>
        <v>0.64590894308943092</v>
      </c>
      <c r="I12" s="157">
        <f>+I11/I7</f>
        <v>0.16871446909957821</v>
      </c>
      <c r="J12" s="160">
        <f>+J11/J7</f>
        <v>0.433478893724626</v>
      </c>
      <c r="L12" s="171">
        <f t="shared" si="0"/>
        <v>0.34319706164164798</v>
      </c>
      <c r="M12" s="172">
        <f t="shared" si="1"/>
        <v>0</v>
      </c>
      <c r="N12" s="172">
        <f t="shared" si="2"/>
        <v>0.28207986800151608</v>
      </c>
      <c r="O12" s="173">
        <f t="shared" si="3"/>
        <v>0.38697008293348417</v>
      </c>
    </row>
    <row r="13" spans="2:15" x14ac:dyDescent="0.15">
      <c r="B13" s="137"/>
      <c r="C13" s="125"/>
      <c r="D13" s="104"/>
      <c r="E13" s="104"/>
      <c r="F13" s="126"/>
      <c r="G13" s="125"/>
      <c r="H13" s="104"/>
      <c r="I13" s="104"/>
      <c r="J13" s="149"/>
      <c r="L13" s="125"/>
      <c r="M13" s="104"/>
      <c r="N13" s="104"/>
      <c r="O13" s="149"/>
    </row>
    <row r="14" spans="2:15" x14ac:dyDescent="0.15">
      <c r="B14" s="137" t="s">
        <v>39</v>
      </c>
      <c r="C14" s="121">
        <f>'Tab 0'!B28</f>
        <v>6200</v>
      </c>
      <c r="D14" s="103">
        <f>'Tab 0'!C28</f>
        <v>441371.11111111112</v>
      </c>
      <c r="E14" s="103">
        <f>'Tab 0'!D28</f>
        <v>600</v>
      </c>
      <c r="F14" s="122">
        <f>SUM(C14:E14)</f>
        <v>448171.11111111112</v>
      </c>
      <c r="G14" s="121">
        <f>G8*G16</f>
        <v>8411.1</v>
      </c>
      <c r="H14" s="103">
        <f>H11/180</f>
        <v>432543.68888888886</v>
      </c>
      <c r="I14" s="108">
        <f>+E14</f>
        <v>600</v>
      </c>
      <c r="J14" s="146">
        <f>SUM(G14:I14)</f>
        <v>441554.78888888884</v>
      </c>
      <c r="L14" s="169">
        <f t="shared" si="0"/>
        <v>0.35662903225806458</v>
      </c>
      <c r="M14" s="170">
        <f t="shared" si="1"/>
        <v>-2.0000000000000084E-2</v>
      </c>
      <c r="N14" s="170">
        <f t="shared" si="2"/>
        <v>0</v>
      </c>
      <c r="O14" s="168">
        <f t="shared" si="3"/>
        <v>-1.4762937766825307E-2</v>
      </c>
    </row>
    <row r="15" spans="2:15" x14ac:dyDescent="0.15">
      <c r="B15" s="137" t="s">
        <v>40</v>
      </c>
      <c r="C15" s="127">
        <f>+C11/C14</f>
        <v>6200.322580645161</v>
      </c>
      <c r="D15" s="105">
        <f t="shared" ref="D15:F15" si="9">+D11/D14</f>
        <v>180</v>
      </c>
      <c r="E15" s="105">
        <f t="shared" si="9"/>
        <v>17085.333333333332</v>
      </c>
      <c r="F15" s="128">
        <f t="shared" si="9"/>
        <v>285.91758108262218</v>
      </c>
      <c r="G15" s="127">
        <f>+C15</f>
        <v>6200.322580645161</v>
      </c>
      <c r="H15" s="105">
        <f t="shared" ref="H15" si="10">+H11/H14</f>
        <v>180</v>
      </c>
      <c r="I15" s="115">
        <v>23000</v>
      </c>
      <c r="J15" s="150">
        <f t="shared" ref="J15" si="11">+J11/J14</f>
        <v>325.68868207712308</v>
      </c>
      <c r="L15" s="169">
        <f t="shared" si="0"/>
        <v>0</v>
      </c>
      <c r="M15" s="170">
        <f t="shared" si="1"/>
        <v>0</v>
      </c>
      <c r="N15" s="170">
        <f t="shared" si="2"/>
        <v>0.34618386140159213</v>
      </c>
      <c r="O15" s="168">
        <f t="shared" si="3"/>
        <v>0.13909987921661998</v>
      </c>
    </row>
    <row r="16" spans="2:15" s="99" customFormat="1" x14ac:dyDescent="0.15">
      <c r="B16" s="138" t="s">
        <v>41</v>
      </c>
      <c r="C16" s="161">
        <f>C14/C8</f>
        <v>0.28040341911265887</v>
      </c>
      <c r="D16" s="162">
        <f t="shared" ref="D16:F16" si="12">D14/D8</f>
        <v>0.64590894308943092</v>
      </c>
      <c r="E16" s="162">
        <f t="shared" si="12"/>
        <v>0.18999366687777075</v>
      </c>
      <c r="F16" s="163">
        <f t="shared" si="12"/>
        <v>0.63247196633247205</v>
      </c>
      <c r="G16" s="164">
        <f>+C16+10%</f>
        <v>0.38040341911265885</v>
      </c>
      <c r="H16" s="162">
        <f t="shared" ref="H16:J16" si="13">H14/H8</f>
        <v>0.64590894308943092</v>
      </c>
      <c r="I16" s="162">
        <f t="shared" si="13"/>
        <v>0.18999366687777075</v>
      </c>
      <c r="J16" s="165">
        <f t="shared" si="13"/>
        <v>0.63538944692082611</v>
      </c>
      <c r="L16" s="171">
        <f t="shared" si="0"/>
        <v>0.35662903225806442</v>
      </c>
      <c r="M16" s="172">
        <f t="shared" si="1"/>
        <v>0</v>
      </c>
      <c r="N16" s="172">
        <f t="shared" si="2"/>
        <v>0</v>
      </c>
      <c r="O16" s="173">
        <f t="shared" si="3"/>
        <v>4.6128219805088178E-3</v>
      </c>
    </row>
    <row r="17" spans="2:15" x14ac:dyDescent="0.15">
      <c r="B17" s="137"/>
      <c r="C17" s="125"/>
      <c r="D17" s="104"/>
      <c r="E17" s="104"/>
      <c r="F17" s="126"/>
      <c r="G17" s="125"/>
      <c r="H17" s="104"/>
      <c r="I17" s="104"/>
      <c r="J17" s="149"/>
      <c r="L17" s="125"/>
      <c r="M17" s="104"/>
      <c r="N17" s="104"/>
      <c r="O17" s="149"/>
    </row>
    <row r="18" spans="2:15" x14ac:dyDescent="0.15">
      <c r="B18" s="137" t="s">
        <v>59</v>
      </c>
      <c r="C18" s="129"/>
      <c r="D18" s="79"/>
      <c r="E18" s="79"/>
      <c r="F18" s="130"/>
      <c r="G18" s="129"/>
      <c r="H18" s="79"/>
      <c r="I18" s="79"/>
      <c r="J18" s="151"/>
      <c r="L18" s="129"/>
      <c r="M18" s="79"/>
      <c r="N18" s="79"/>
      <c r="O18" s="151"/>
    </row>
    <row r="19" spans="2:15" x14ac:dyDescent="0.15">
      <c r="B19" s="137" t="s">
        <v>60</v>
      </c>
      <c r="C19" s="129">
        <f>+'Tab 0'!B52</f>
        <v>50</v>
      </c>
      <c r="D19" s="79">
        <f>+'Tab 0'!C52</f>
        <v>0</v>
      </c>
      <c r="E19" s="79">
        <f>+'Tab 0'!D52</f>
        <v>7</v>
      </c>
      <c r="F19" s="130">
        <f t="shared" ref="F19:F22" si="14">SUM(C19:E19)</f>
        <v>57</v>
      </c>
      <c r="G19" s="166">
        <f>+C19+2</f>
        <v>52</v>
      </c>
      <c r="H19" s="79">
        <f>+D19</f>
        <v>0</v>
      </c>
      <c r="I19" s="79">
        <f>+E19</f>
        <v>7</v>
      </c>
      <c r="J19" s="151">
        <f t="shared" ref="J19:J22" si="15">SUM(G19:I19)</f>
        <v>59</v>
      </c>
      <c r="L19" s="169">
        <f>IFERROR((G19-C19)/C19,0)</f>
        <v>0.04</v>
      </c>
      <c r="M19" s="170">
        <f>IFERROR((H19-D19)/D19,0)</f>
        <v>0</v>
      </c>
      <c r="N19" s="170">
        <f t="shared" ref="N19:O22" si="16">IFERROR((I19-E19)/E19,0)</f>
        <v>0</v>
      </c>
      <c r="O19" s="168">
        <f t="shared" si="16"/>
        <v>3.5087719298245612E-2</v>
      </c>
    </row>
    <row r="20" spans="2:15" x14ac:dyDescent="0.15">
      <c r="B20" s="137" t="s">
        <v>61</v>
      </c>
      <c r="C20" s="129">
        <f>+'Tab 0'!B53</f>
        <v>40</v>
      </c>
      <c r="D20" s="79">
        <f>+'Tab 0'!C53</f>
        <v>0</v>
      </c>
      <c r="E20" s="79">
        <f>+'Tab 0'!D53</f>
        <v>2</v>
      </c>
      <c r="F20" s="130">
        <f t="shared" si="14"/>
        <v>42</v>
      </c>
      <c r="G20" s="166">
        <f>+C20+1</f>
        <v>41</v>
      </c>
      <c r="H20" s="79">
        <f t="shared" ref="H20:I21" si="17">+D20</f>
        <v>0</v>
      </c>
      <c r="I20" s="79">
        <f t="shared" si="17"/>
        <v>2</v>
      </c>
      <c r="J20" s="151">
        <f t="shared" si="15"/>
        <v>43</v>
      </c>
      <c r="L20" s="169">
        <f t="shared" ref="L20:M24" si="18">IFERROR((G20-C20)/C20,0)</f>
        <v>2.5000000000000001E-2</v>
      </c>
      <c r="M20" s="170">
        <f t="shared" si="18"/>
        <v>0</v>
      </c>
      <c r="N20" s="170">
        <f t="shared" si="16"/>
        <v>0</v>
      </c>
      <c r="O20" s="168">
        <f t="shared" si="16"/>
        <v>2.3809523809523808E-2</v>
      </c>
    </row>
    <row r="21" spans="2:15" x14ac:dyDescent="0.15">
      <c r="B21" s="137" t="s">
        <v>62</v>
      </c>
      <c r="C21" s="129">
        <f>+'Tab 0'!B54</f>
        <v>25</v>
      </c>
      <c r="D21" s="79">
        <f>+'Tab 0'!C54</f>
        <v>0</v>
      </c>
      <c r="E21" s="79">
        <f>+'Tab 0'!D54</f>
        <v>3</v>
      </c>
      <c r="F21" s="130">
        <f t="shared" si="14"/>
        <v>28</v>
      </c>
      <c r="G21" s="166">
        <f>+C21+4</f>
        <v>29</v>
      </c>
      <c r="H21" s="79">
        <f t="shared" si="17"/>
        <v>0</v>
      </c>
      <c r="I21" s="79">
        <f t="shared" si="17"/>
        <v>3</v>
      </c>
      <c r="J21" s="151">
        <f t="shared" si="15"/>
        <v>32</v>
      </c>
      <c r="L21" s="169">
        <f t="shared" si="18"/>
        <v>0.16</v>
      </c>
      <c r="M21" s="170">
        <f t="shared" si="18"/>
        <v>0</v>
      </c>
      <c r="N21" s="170">
        <f t="shared" si="16"/>
        <v>0</v>
      </c>
      <c r="O21" s="168">
        <f t="shared" si="16"/>
        <v>0.14285714285714285</v>
      </c>
    </row>
    <row r="22" spans="2:15" x14ac:dyDescent="0.15">
      <c r="B22" s="138" t="s">
        <v>63</v>
      </c>
      <c r="C22" s="131">
        <f>SUM(C19:C21)</f>
        <v>115</v>
      </c>
      <c r="D22" s="106">
        <f t="shared" ref="D22:E22" si="19">SUM(D19:D21)</f>
        <v>0</v>
      </c>
      <c r="E22" s="106">
        <f t="shared" si="19"/>
        <v>12</v>
      </c>
      <c r="F22" s="132">
        <f t="shared" si="14"/>
        <v>127</v>
      </c>
      <c r="G22" s="131">
        <f>SUM(G19:G21)</f>
        <v>122</v>
      </c>
      <c r="H22" s="106">
        <f t="shared" ref="H22" si="20">SUM(H19:H21)</f>
        <v>0</v>
      </c>
      <c r="I22" s="106">
        <f t="shared" ref="I22" si="21">SUM(I19:I21)</f>
        <v>12</v>
      </c>
      <c r="J22" s="152">
        <f t="shared" si="15"/>
        <v>134</v>
      </c>
      <c r="L22" s="171">
        <f t="shared" si="18"/>
        <v>6.0869565217391307E-2</v>
      </c>
      <c r="M22" s="172">
        <f t="shared" si="18"/>
        <v>0</v>
      </c>
      <c r="N22" s="172">
        <f t="shared" si="16"/>
        <v>0</v>
      </c>
      <c r="O22" s="173">
        <f t="shared" si="16"/>
        <v>5.5118110236220472E-2</v>
      </c>
    </row>
    <row r="23" spans="2:15" ht="5" customHeight="1" x14ac:dyDescent="0.15">
      <c r="B23" s="137"/>
      <c r="C23" s="129"/>
      <c r="D23" s="79"/>
      <c r="E23" s="79"/>
      <c r="F23" s="130"/>
      <c r="G23" s="129"/>
      <c r="H23" s="79"/>
      <c r="I23" s="79"/>
      <c r="J23" s="151"/>
      <c r="L23" s="129"/>
      <c r="M23" s="79"/>
      <c r="N23" s="79"/>
      <c r="O23" s="151"/>
    </row>
    <row r="24" spans="2:15" ht="17" thickBot="1" x14ac:dyDescent="0.2">
      <c r="B24" s="139" t="s">
        <v>42</v>
      </c>
      <c r="C24" s="133">
        <f t="shared" ref="C24:J24" si="22">IFERROR(C11/C22,0)</f>
        <v>334278.26086956525</v>
      </c>
      <c r="D24" s="134">
        <f t="shared" si="22"/>
        <v>0</v>
      </c>
      <c r="E24" s="134">
        <f t="shared" si="22"/>
        <v>854266.66666666663</v>
      </c>
      <c r="F24" s="135">
        <f t="shared" si="22"/>
        <v>1008976.3779527559</v>
      </c>
      <c r="G24" s="133">
        <f t="shared" si="22"/>
        <v>427471.584082496</v>
      </c>
      <c r="H24" s="134">
        <f t="shared" si="22"/>
        <v>0</v>
      </c>
      <c r="I24" s="134">
        <f t="shared" si="22"/>
        <v>1150000</v>
      </c>
      <c r="J24" s="153">
        <f t="shared" si="22"/>
        <v>1073204.4571497352</v>
      </c>
      <c r="L24" s="174">
        <f t="shared" si="18"/>
        <v>0.27878966155473273</v>
      </c>
      <c r="M24" s="175">
        <f t="shared" si="18"/>
        <v>0</v>
      </c>
      <c r="N24" s="175">
        <f t="shared" ref="N24" si="23">IFERROR((I24-E24)/E24,0)</f>
        <v>0.34618386140159207</v>
      </c>
      <c r="O24" s="176">
        <f t="shared" ref="O24" si="24">IFERROR((J24-F24)/F24,0)</f>
        <v>6.3656672842331591E-2</v>
      </c>
    </row>
  </sheetData>
  <mergeCells count="9">
    <mergeCell ref="L3:O3"/>
    <mergeCell ref="L4:N4"/>
    <mergeCell ref="O4:O5"/>
    <mergeCell ref="C3:F3"/>
    <mergeCell ref="C4:E4"/>
    <mergeCell ref="F4:F5"/>
    <mergeCell ref="G3:J3"/>
    <mergeCell ref="G4:I4"/>
    <mergeCell ref="J4:J5"/>
  </mergeCells>
  <pageMargins left="0.25" right="0.25" top="0.75" bottom="0.75" header="0.3" footer="0.3"/>
  <pageSetup paperSize="9" scale="77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83A5-FE9F-DC4A-ACCF-9449521E30C6}">
  <sheetPr>
    <pageSetUpPr fitToPage="1"/>
  </sheetPr>
  <dimension ref="B1:S19"/>
  <sheetViews>
    <sheetView showGridLines="0" zoomScale="234" zoomScaleNormal="2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RowHeight="16" x14ac:dyDescent="0.2"/>
  <cols>
    <col min="1" max="1" width="2" style="1" customWidth="1"/>
    <col min="2" max="2" width="16.33203125" style="1" customWidth="1"/>
    <col min="3" max="3" width="9.5" style="1" customWidth="1"/>
    <col min="4" max="4" width="7.5" style="1" customWidth="1"/>
    <col min="5" max="5" width="12.1640625" style="1" bestFit="1" customWidth="1"/>
    <col min="6" max="6" width="8.6640625" style="1" customWidth="1"/>
    <col min="7" max="7" width="7.5" style="1" customWidth="1"/>
    <col min="8" max="8" width="12.1640625" style="1" bestFit="1" customWidth="1"/>
    <col min="9" max="10" width="7.5" style="1" customWidth="1"/>
    <col min="11" max="11" width="12.1640625" style="1" bestFit="1" customWidth="1"/>
    <col min="12" max="12" width="9.1640625" style="1" customWidth="1"/>
    <col min="13" max="13" width="7.5" style="1" customWidth="1"/>
    <col min="14" max="14" width="14.5" style="1" customWidth="1"/>
    <col min="15" max="15" width="5" style="1" customWidth="1"/>
    <col min="16" max="19" width="8.1640625" style="1" customWidth="1"/>
    <col min="20" max="16384" width="10.83203125" style="1"/>
  </cols>
  <sheetData>
    <row r="1" spans="2:19" x14ac:dyDescent="0.2">
      <c r="B1" s="70" t="s">
        <v>110</v>
      </c>
    </row>
    <row r="2" spans="2:19" ht="17" thickBot="1" x14ac:dyDescent="0.25"/>
    <row r="3" spans="2:19" x14ac:dyDescent="0.2">
      <c r="B3" s="267"/>
      <c r="C3" s="271" t="s">
        <v>54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6"/>
      <c r="P3" s="264" t="s">
        <v>79</v>
      </c>
      <c r="Q3" s="265"/>
      <c r="R3" s="265"/>
      <c r="S3" s="266"/>
    </row>
    <row r="4" spans="2:19" x14ac:dyDescent="0.2">
      <c r="B4" s="268"/>
      <c r="C4" s="260" t="s">
        <v>76</v>
      </c>
      <c r="D4" s="261"/>
      <c r="E4" s="262"/>
      <c r="F4" s="260" t="s">
        <v>77</v>
      </c>
      <c r="G4" s="261"/>
      <c r="H4" s="262"/>
      <c r="I4" s="260" t="s">
        <v>78</v>
      </c>
      <c r="J4" s="261"/>
      <c r="K4" s="262"/>
      <c r="L4" s="260" t="s">
        <v>3</v>
      </c>
      <c r="M4" s="261"/>
      <c r="N4" s="263"/>
      <c r="P4" s="74" t="s">
        <v>71</v>
      </c>
      <c r="Q4" s="75" t="s">
        <v>72</v>
      </c>
      <c r="R4" s="75" t="s">
        <v>52</v>
      </c>
      <c r="S4" s="192" t="s">
        <v>63</v>
      </c>
    </row>
    <row r="5" spans="2:19" x14ac:dyDescent="0.2">
      <c r="B5" s="269"/>
      <c r="C5" s="177" t="s">
        <v>75</v>
      </c>
      <c r="D5" s="178" t="s">
        <v>4</v>
      </c>
      <c r="E5" s="179" t="s">
        <v>32</v>
      </c>
      <c r="F5" s="177" t="s">
        <v>75</v>
      </c>
      <c r="G5" s="178" t="s">
        <v>4</v>
      </c>
      <c r="H5" s="179" t="s">
        <v>32</v>
      </c>
      <c r="I5" s="177" t="s">
        <v>75</v>
      </c>
      <c r="J5" s="178" t="s">
        <v>4</v>
      </c>
      <c r="K5" s="179" t="s">
        <v>32</v>
      </c>
      <c r="L5" s="177" t="s">
        <v>75</v>
      </c>
      <c r="M5" s="178" t="s">
        <v>4</v>
      </c>
      <c r="N5" s="183" t="s">
        <v>32</v>
      </c>
      <c r="P5" s="74" t="s">
        <v>32</v>
      </c>
      <c r="Q5" s="75" t="s">
        <v>32</v>
      </c>
      <c r="R5" s="75" t="s">
        <v>32</v>
      </c>
      <c r="S5" s="192" t="s">
        <v>32</v>
      </c>
    </row>
    <row r="6" spans="2:19" x14ac:dyDescent="0.2">
      <c r="B6" s="184" t="s">
        <v>73</v>
      </c>
      <c r="C6" s="180">
        <f>+E6/D6</f>
        <v>151632.33333333334</v>
      </c>
      <c r="D6" s="181">
        <f>+'Tab 0'!$B33</f>
        <v>180</v>
      </c>
      <c r="E6" s="182">
        <f>+E$8*P6</f>
        <v>27293820</v>
      </c>
      <c r="F6" s="180">
        <f>+H6/G6</f>
        <v>441371.11111111112</v>
      </c>
      <c r="G6" s="181">
        <f>+'Tab 0'!$B33</f>
        <v>180</v>
      </c>
      <c r="H6" s="182">
        <f>+H$8*Q6</f>
        <v>79446800</v>
      </c>
      <c r="I6" s="180">
        <f>+K6/J6</f>
        <v>5125.6000000000004</v>
      </c>
      <c r="J6" s="181">
        <f>+'Tab 0'!$B33</f>
        <v>180</v>
      </c>
      <c r="K6" s="182">
        <f>+K$8*R6</f>
        <v>922608</v>
      </c>
      <c r="L6" s="180">
        <f t="shared" ref="L6:N7" si="0">+C6+F6+I6</f>
        <v>598129.04444444447</v>
      </c>
      <c r="M6" s="181">
        <f>+N6/L6</f>
        <v>180</v>
      </c>
      <c r="N6" s="185">
        <f t="shared" si="0"/>
        <v>107663228</v>
      </c>
      <c r="P6" s="199">
        <f>+'Tab 0'!B37</f>
        <v>0.71</v>
      </c>
      <c r="Q6" s="196">
        <f>+'Tab 0'!C37</f>
        <v>1</v>
      </c>
      <c r="R6" s="196">
        <f>+'Tab 0'!D37</f>
        <v>0.09</v>
      </c>
      <c r="S6" s="193">
        <f>N6/N$8</f>
        <v>0.84019999999999995</v>
      </c>
    </row>
    <row r="7" spans="2:19" x14ac:dyDescent="0.2">
      <c r="B7" s="71" t="s">
        <v>74</v>
      </c>
      <c r="C7" s="32">
        <f>+E7/D7</f>
        <v>22296.360000000004</v>
      </c>
      <c r="D7" s="72">
        <f>+'Tab 0'!$B34</f>
        <v>500</v>
      </c>
      <c r="E7" s="59">
        <f>+E$8*P7</f>
        <v>11148180.000000002</v>
      </c>
      <c r="F7" s="32">
        <f>+H7/G7</f>
        <v>0</v>
      </c>
      <c r="G7" s="72">
        <f>+'Tab 0'!$B34</f>
        <v>500</v>
      </c>
      <c r="H7" s="59">
        <f>+H$8*Q7</f>
        <v>0</v>
      </c>
      <c r="I7" s="32">
        <f>+K7/J7</f>
        <v>18657.184000000001</v>
      </c>
      <c r="J7" s="72">
        <f>+'Tab 0'!$B34</f>
        <v>500</v>
      </c>
      <c r="K7" s="59">
        <f>+K$8*R7</f>
        <v>9328592</v>
      </c>
      <c r="L7" s="32">
        <f t="shared" si="0"/>
        <v>40953.544000000009</v>
      </c>
      <c r="M7" s="72">
        <f>+N7/L7</f>
        <v>499.99999999999989</v>
      </c>
      <c r="N7" s="186">
        <f t="shared" si="0"/>
        <v>20476772</v>
      </c>
      <c r="P7" s="199">
        <f>+'Tab 0'!B38</f>
        <v>0.29000000000000004</v>
      </c>
      <c r="Q7" s="196">
        <f>+'Tab 0'!C38</f>
        <v>0</v>
      </c>
      <c r="R7" s="196">
        <f>+'Tab 0'!D38</f>
        <v>0.91</v>
      </c>
      <c r="S7" s="193">
        <f>N7/N$8</f>
        <v>0.1598</v>
      </c>
    </row>
    <row r="8" spans="2:19" ht="17" thickBot="1" x14ac:dyDescent="0.25">
      <c r="B8" s="187" t="s">
        <v>3</v>
      </c>
      <c r="C8" s="188"/>
      <c r="D8" s="189"/>
      <c r="E8" s="190">
        <f>+'Tab 1'!C11</f>
        <v>38442000</v>
      </c>
      <c r="F8" s="188"/>
      <c r="G8" s="189"/>
      <c r="H8" s="190">
        <f>+'Tab 1'!D11</f>
        <v>79446800</v>
      </c>
      <c r="I8" s="188"/>
      <c r="J8" s="189"/>
      <c r="K8" s="190">
        <f>+'Tab 1'!E11</f>
        <v>10251200</v>
      </c>
      <c r="L8" s="188"/>
      <c r="M8" s="189"/>
      <c r="N8" s="191">
        <f>+E8+H8+K8</f>
        <v>128140000</v>
      </c>
      <c r="P8" s="198"/>
      <c r="Q8" s="194"/>
      <c r="R8" s="194"/>
      <c r="S8" s="195"/>
    </row>
    <row r="10" spans="2:19" ht="17" thickBot="1" x14ac:dyDescent="0.25"/>
    <row r="11" spans="2:19" x14ac:dyDescent="0.2">
      <c r="B11" s="267"/>
      <c r="C11" s="270" t="s">
        <v>80</v>
      </c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9"/>
      <c r="P11" s="257" t="s">
        <v>79</v>
      </c>
      <c r="Q11" s="258"/>
      <c r="R11" s="258"/>
      <c r="S11" s="259"/>
    </row>
    <row r="12" spans="2:19" x14ac:dyDescent="0.2">
      <c r="B12" s="268"/>
      <c r="C12" s="260" t="s">
        <v>76</v>
      </c>
      <c r="D12" s="261"/>
      <c r="E12" s="262"/>
      <c r="F12" s="260" t="s">
        <v>77</v>
      </c>
      <c r="G12" s="261"/>
      <c r="H12" s="262"/>
      <c r="I12" s="260" t="s">
        <v>78</v>
      </c>
      <c r="J12" s="261"/>
      <c r="K12" s="262"/>
      <c r="L12" s="260" t="s">
        <v>3</v>
      </c>
      <c r="M12" s="261"/>
      <c r="N12" s="263"/>
      <c r="P12" s="74" t="s">
        <v>71</v>
      </c>
      <c r="Q12" s="75" t="s">
        <v>72</v>
      </c>
      <c r="R12" s="75" t="s">
        <v>52</v>
      </c>
      <c r="S12" s="192" t="s">
        <v>63</v>
      </c>
    </row>
    <row r="13" spans="2:19" x14ac:dyDescent="0.2">
      <c r="B13" s="269"/>
      <c r="C13" s="177" t="s">
        <v>75</v>
      </c>
      <c r="D13" s="178" t="s">
        <v>4</v>
      </c>
      <c r="E13" s="179" t="s">
        <v>32</v>
      </c>
      <c r="F13" s="177" t="s">
        <v>75</v>
      </c>
      <c r="G13" s="178" t="s">
        <v>4</v>
      </c>
      <c r="H13" s="179" t="s">
        <v>32</v>
      </c>
      <c r="I13" s="177" t="s">
        <v>75</v>
      </c>
      <c r="J13" s="178" t="s">
        <v>4</v>
      </c>
      <c r="K13" s="179" t="s">
        <v>32</v>
      </c>
      <c r="L13" s="177" t="s">
        <v>75</v>
      </c>
      <c r="M13" s="178" t="s">
        <v>4</v>
      </c>
      <c r="N13" s="183" t="s">
        <v>32</v>
      </c>
      <c r="P13" s="74" t="s">
        <v>32</v>
      </c>
      <c r="Q13" s="75" t="s">
        <v>32</v>
      </c>
      <c r="R13" s="75" t="s">
        <v>32</v>
      </c>
      <c r="S13" s="192" t="s">
        <v>32</v>
      </c>
    </row>
    <row r="14" spans="2:19" x14ac:dyDescent="0.2">
      <c r="B14" s="184" t="s">
        <v>73</v>
      </c>
      <c r="C14" s="180">
        <f>+E14/D14</f>
        <v>246271.12927419352</v>
      </c>
      <c r="D14" s="181">
        <f>+D6</f>
        <v>180</v>
      </c>
      <c r="E14" s="182">
        <f>+E$16*P14</f>
        <v>44328803.269354835</v>
      </c>
      <c r="F14" s="180">
        <f>+H14/G14</f>
        <v>432543.68888888886</v>
      </c>
      <c r="G14" s="181">
        <f>+G6</f>
        <v>180</v>
      </c>
      <c r="H14" s="182">
        <f>+H$16*Q14</f>
        <v>77857864</v>
      </c>
      <c r="I14" s="180">
        <f>+K14/J14</f>
        <v>3833.3333333333367</v>
      </c>
      <c r="J14" s="181">
        <f>+J6</f>
        <v>180</v>
      </c>
      <c r="K14" s="182">
        <f>+K$16*R14</f>
        <v>690000.00000000058</v>
      </c>
      <c r="L14" s="180">
        <f t="shared" ref="L14:L15" si="1">+C14+F14+I14</f>
        <v>682648.15149641572</v>
      </c>
      <c r="M14" s="181">
        <f>+N14/L14</f>
        <v>180</v>
      </c>
      <c r="N14" s="185">
        <f t="shared" ref="N14:N15" si="2">+E14+H14+K14</f>
        <v>122876667.26935484</v>
      </c>
      <c r="P14" s="200">
        <v>0.85</v>
      </c>
      <c r="Q14" s="196">
        <f>+Q6</f>
        <v>1</v>
      </c>
      <c r="R14" s="196">
        <f>1-R15</f>
        <v>5.0000000000000044E-2</v>
      </c>
      <c r="S14" s="193">
        <f>N14/N$16</f>
        <v>0.85444115344461047</v>
      </c>
    </row>
    <row r="15" spans="2:19" x14ac:dyDescent="0.2">
      <c r="B15" s="71" t="s">
        <v>74</v>
      </c>
      <c r="C15" s="32">
        <f>+E15/D15</f>
        <v>15645.459977419358</v>
      </c>
      <c r="D15" s="72">
        <f>+D7</f>
        <v>500</v>
      </c>
      <c r="E15" s="59">
        <f>+E$16*P15</f>
        <v>7822729.9887096789</v>
      </c>
      <c r="F15" s="32">
        <f>+H15/G15</f>
        <v>0</v>
      </c>
      <c r="G15" s="72">
        <f>+G7</f>
        <v>500</v>
      </c>
      <c r="H15" s="59">
        <f>+H$16*Q15</f>
        <v>0</v>
      </c>
      <c r="I15" s="32">
        <f>+K15/J15</f>
        <v>26220</v>
      </c>
      <c r="J15" s="72">
        <f>+J7</f>
        <v>500</v>
      </c>
      <c r="K15" s="59">
        <f>+K$16*R15</f>
        <v>13110000</v>
      </c>
      <c r="L15" s="32">
        <f t="shared" si="1"/>
        <v>41865.459977419356</v>
      </c>
      <c r="M15" s="72">
        <f>+N15/L15</f>
        <v>500.00000000000006</v>
      </c>
      <c r="N15" s="186">
        <f t="shared" si="2"/>
        <v>20932729.988709681</v>
      </c>
      <c r="P15" s="199">
        <f>1-P14</f>
        <v>0.15000000000000002</v>
      </c>
      <c r="Q15" s="196">
        <f>+Q7</f>
        <v>0</v>
      </c>
      <c r="R15" s="197">
        <v>0.95</v>
      </c>
      <c r="S15" s="193">
        <f>N15/N$16</f>
        <v>0.14555884655538961</v>
      </c>
    </row>
    <row r="16" spans="2:19" ht="17" thickBot="1" x14ac:dyDescent="0.25">
      <c r="B16" s="187" t="s">
        <v>3</v>
      </c>
      <c r="C16" s="188"/>
      <c r="D16" s="189"/>
      <c r="E16" s="190">
        <f>+'Tab 1'!G11</f>
        <v>52151533.258064516</v>
      </c>
      <c r="F16" s="188"/>
      <c r="G16" s="189"/>
      <c r="H16" s="190">
        <f>+'Tab 1'!H11</f>
        <v>77857864</v>
      </c>
      <c r="I16" s="188"/>
      <c r="J16" s="189"/>
      <c r="K16" s="190">
        <f>+'Tab 1'!I11</f>
        <v>13800000</v>
      </c>
      <c r="L16" s="188"/>
      <c r="M16" s="189"/>
      <c r="N16" s="191">
        <f>+E16+H16+K16</f>
        <v>143809397.25806451</v>
      </c>
      <c r="P16" s="198"/>
      <c r="Q16" s="194"/>
      <c r="R16" s="194"/>
      <c r="S16" s="195"/>
    </row>
    <row r="19" spans="5:14" x14ac:dyDescent="0.2">
      <c r="E19" s="228"/>
      <c r="H19" s="228"/>
      <c r="K19" s="228"/>
      <c r="N19" s="228"/>
    </row>
  </sheetData>
  <mergeCells count="14">
    <mergeCell ref="P11:S11"/>
    <mergeCell ref="I12:K12"/>
    <mergeCell ref="L12:N12"/>
    <mergeCell ref="P3:S3"/>
    <mergeCell ref="B3:B5"/>
    <mergeCell ref="B11:B13"/>
    <mergeCell ref="C11:N11"/>
    <mergeCell ref="C12:E12"/>
    <mergeCell ref="F12:H12"/>
    <mergeCell ref="C4:E4"/>
    <mergeCell ref="F4:H4"/>
    <mergeCell ref="I4:K4"/>
    <mergeCell ref="L4:N4"/>
    <mergeCell ref="C3:N3"/>
  </mergeCells>
  <pageMargins left="0.7" right="0.7" top="0.75" bottom="0.75" header="0.3" footer="0.3"/>
  <pageSetup paperSize="9" scale="76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F50"/>
  <sheetViews>
    <sheetView showGridLines="0" tabSelected="1" topLeftCell="A27" zoomScale="167" zoomScaleNormal="140" workbookViewId="0">
      <selection activeCell="B9" sqref="B9"/>
    </sheetView>
  </sheetViews>
  <sheetFormatPr baseColWidth="10" defaultColWidth="9.1640625" defaultRowHeight="16" x14ac:dyDescent="0.2"/>
  <cols>
    <col min="1" max="1" width="20" style="1" customWidth="1"/>
    <col min="2" max="2" width="11.5" style="1" bestFit="1" customWidth="1"/>
    <col min="3" max="3" width="9.5" style="1" bestFit="1" customWidth="1"/>
    <col min="4" max="4" width="14.1640625" style="1" bestFit="1" customWidth="1"/>
    <col min="5" max="5" width="11.5" style="1" bestFit="1" customWidth="1"/>
    <col min="6" max="6" width="9.5" style="1" bestFit="1" customWidth="1"/>
    <col min="7" max="7" width="14.1640625" style="1" bestFit="1" customWidth="1"/>
    <col min="8" max="8" width="11.5" style="1" bestFit="1" customWidth="1"/>
    <col min="9" max="9" width="9.5" style="1" bestFit="1" customWidth="1"/>
    <col min="10" max="10" width="14.1640625" style="1" bestFit="1" customWidth="1"/>
    <col min="11" max="11" width="11.5" style="1" bestFit="1" customWidth="1"/>
    <col min="12" max="12" width="9.5" style="1" bestFit="1" customWidth="1"/>
    <col min="13" max="13" width="14.1640625" style="1" bestFit="1" customWidth="1"/>
    <col min="14" max="14" width="11.5" style="1" bestFit="1" customWidth="1"/>
    <col min="15" max="15" width="9.5" style="1" bestFit="1" customWidth="1"/>
    <col min="16" max="16" width="14.1640625" style="1" bestFit="1" customWidth="1"/>
    <col min="17" max="17" width="11.5" style="1" bestFit="1" customWidth="1"/>
    <col min="18" max="18" width="9.5" style="1" bestFit="1" customWidth="1"/>
    <col min="19" max="19" width="14.1640625" style="1" bestFit="1" customWidth="1"/>
    <col min="20" max="20" width="12.33203125" style="1" bestFit="1" customWidth="1"/>
    <col min="21" max="21" width="9.1640625" style="1"/>
    <col min="22" max="22" width="14" style="1" bestFit="1" customWidth="1"/>
    <col min="23" max="23" width="2.33203125" style="1" customWidth="1"/>
    <col min="24" max="24" width="15" style="1" bestFit="1" customWidth="1"/>
    <col min="25" max="25" width="8.6640625" style="1" bestFit="1" customWidth="1"/>
    <col min="26" max="26" width="16.5" style="1" bestFit="1" customWidth="1"/>
    <col min="27" max="27" width="8.6640625" style="1" bestFit="1" customWidth="1"/>
    <col min="28" max="28" width="10.33203125" style="1" bestFit="1" customWidth="1"/>
    <col min="29" max="29" width="8.6640625" style="1" bestFit="1" customWidth="1"/>
    <col min="30" max="30" width="10.33203125" style="1" bestFit="1" customWidth="1"/>
    <col min="31" max="32" width="8.6640625" style="1" bestFit="1" customWidth="1"/>
    <col min="33" max="33" width="12.83203125" style="1" bestFit="1" customWidth="1"/>
    <col min="34" max="34" width="9.1640625" style="1"/>
    <col min="35" max="35" width="14" style="1" bestFit="1" customWidth="1"/>
    <col min="36" max="16384" width="9.1640625" style="1"/>
  </cols>
  <sheetData>
    <row r="2" spans="1:23" x14ac:dyDescent="0.2">
      <c r="A2" s="70" t="s">
        <v>111</v>
      </c>
    </row>
    <row r="3" spans="1:23" x14ac:dyDescent="0.2">
      <c r="A3" s="10"/>
    </row>
    <row r="4" spans="1:23" ht="17" thickBot="1" x14ac:dyDescent="0.25"/>
    <row r="5" spans="1:23" x14ac:dyDescent="0.2">
      <c r="A5" s="11"/>
      <c r="B5" s="272" t="s">
        <v>80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4"/>
      <c r="W5" s="12"/>
    </row>
    <row r="6" spans="1:23" x14ac:dyDescent="0.2">
      <c r="A6" s="13"/>
      <c r="B6" s="275" t="s">
        <v>24</v>
      </c>
      <c r="C6" s="276"/>
      <c r="D6" s="276"/>
      <c r="E6" s="276" t="s">
        <v>25</v>
      </c>
      <c r="F6" s="276"/>
      <c r="G6" s="276"/>
      <c r="H6" s="276" t="s">
        <v>26</v>
      </c>
      <c r="I6" s="276"/>
      <c r="J6" s="276"/>
      <c r="K6" s="276" t="s">
        <v>27</v>
      </c>
      <c r="L6" s="276"/>
      <c r="M6" s="276"/>
      <c r="N6" s="276" t="s">
        <v>28</v>
      </c>
      <c r="O6" s="276"/>
      <c r="P6" s="276"/>
      <c r="Q6" s="276" t="s">
        <v>29</v>
      </c>
      <c r="R6" s="276"/>
      <c r="S6" s="260"/>
      <c r="T6" s="277" t="s">
        <v>2</v>
      </c>
      <c r="U6" s="278"/>
      <c r="V6" s="279"/>
      <c r="W6" s="14"/>
    </row>
    <row r="7" spans="1:23" x14ac:dyDescent="0.2">
      <c r="A7" s="15"/>
      <c r="B7" s="16" t="s">
        <v>0</v>
      </c>
      <c r="C7" s="14" t="s">
        <v>4</v>
      </c>
      <c r="D7" s="17" t="s">
        <v>1</v>
      </c>
      <c r="E7" s="18" t="s">
        <v>0</v>
      </c>
      <c r="F7" s="18" t="s">
        <v>4</v>
      </c>
      <c r="G7" s="19" t="s">
        <v>1</v>
      </c>
      <c r="H7" s="20" t="s">
        <v>0</v>
      </c>
      <c r="I7" s="18" t="s">
        <v>4</v>
      </c>
      <c r="J7" s="19" t="s">
        <v>1</v>
      </c>
      <c r="K7" s="20" t="s">
        <v>0</v>
      </c>
      <c r="L7" s="18" t="s">
        <v>4</v>
      </c>
      <c r="M7" s="19" t="s">
        <v>1</v>
      </c>
      <c r="N7" s="20" t="s">
        <v>0</v>
      </c>
      <c r="O7" s="18" t="s">
        <v>4</v>
      </c>
      <c r="P7" s="19" t="s">
        <v>1</v>
      </c>
      <c r="Q7" s="20" t="s">
        <v>0</v>
      </c>
      <c r="R7" s="18" t="s">
        <v>4</v>
      </c>
      <c r="S7" s="21" t="s">
        <v>1</v>
      </c>
      <c r="T7" s="22" t="s">
        <v>0</v>
      </c>
      <c r="U7" s="22" t="s">
        <v>4</v>
      </c>
      <c r="V7" s="23" t="s">
        <v>1</v>
      </c>
      <c r="W7" s="14"/>
    </row>
    <row r="8" spans="1:23" x14ac:dyDescent="0.2">
      <c r="A8" s="24"/>
      <c r="B8" s="15"/>
      <c r="D8" s="25"/>
      <c r="G8" s="25"/>
      <c r="H8" s="26"/>
      <c r="J8" s="25"/>
      <c r="K8" s="26"/>
      <c r="M8" s="25"/>
      <c r="N8" s="26"/>
      <c r="P8" s="25"/>
      <c r="T8" s="27"/>
      <c r="U8" s="28"/>
      <c r="V8" s="29"/>
    </row>
    <row r="9" spans="1:23" x14ac:dyDescent="0.2">
      <c r="A9" s="15" t="s">
        <v>83</v>
      </c>
      <c r="B9" s="30">
        <f>QUANTITÀ!B8</f>
        <v>18863.320540150991</v>
      </c>
      <c r="C9" s="56">
        <f>PREZZI!B5</f>
        <v>180</v>
      </c>
      <c r="D9" s="59">
        <f>B9*C9</f>
        <v>3395397.6972271786</v>
      </c>
      <c r="E9" s="31">
        <f>QUANTITÀ!C8</f>
        <v>20959.245044612213</v>
      </c>
      <c r="F9" s="56">
        <f>PREZZI!C5</f>
        <v>180</v>
      </c>
      <c r="G9" s="59">
        <f>E9*F9</f>
        <v>3772664.1080301981</v>
      </c>
      <c r="H9" s="32">
        <f>QUANTITÀ!D8</f>
        <v>24103.131801304044</v>
      </c>
      <c r="I9" s="56">
        <f>PREZZI!D5</f>
        <v>180</v>
      </c>
      <c r="J9" s="59">
        <f>H9*I9</f>
        <v>4338563.7242347281</v>
      </c>
      <c r="K9" s="32">
        <f>QUANTITÀ!E8</f>
        <v>22007.207296842822</v>
      </c>
      <c r="L9" s="56">
        <f>PREZZI!E5</f>
        <v>180</v>
      </c>
      <c r="M9" s="59">
        <f>K9*L9</f>
        <v>3961297.3134317081</v>
      </c>
      <c r="N9" s="32">
        <f>QUANTITÀ!F8</f>
        <v>22007.207296842822</v>
      </c>
      <c r="O9" s="56">
        <f>PREZZI!F5</f>
        <v>180</v>
      </c>
      <c r="P9" s="59">
        <f>N9*O9</f>
        <v>3961297.3134317081</v>
      </c>
      <c r="Q9" s="31">
        <f>QUANTITÀ!G8</f>
        <v>23055.169549073435</v>
      </c>
      <c r="R9" s="56">
        <f>PREZZI!G5</f>
        <v>180</v>
      </c>
      <c r="S9" s="59">
        <f>Q9*R9</f>
        <v>4149930.5188332181</v>
      </c>
      <c r="T9" s="33">
        <f>B9+E9+H9+K9+N9+Q9</f>
        <v>130995.28152882634</v>
      </c>
      <c r="U9" s="61">
        <f>IFERROR(V9/T9,0)</f>
        <v>180.00000000000003</v>
      </c>
      <c r="V9" s="64">
        <f>D9+G9+J9+M9+P9+S9</f>
        <v>23579150.675188743</v>
      </c>
      <c r="W9" s="34"/>
    </row>
    <row r="10" spans="1:23" x14ac:dyDescent="0.2">
      <c r="A10" s="15" t="s">
        <v>84</v>
      </c>
      <c r="B10" s="30">
        <f>QUANTITÀ!B9</f>
        <v>33131.005957446803</v>
      </c>
      <c r="C10" s="56">
        <f>PREZZI!B6</f>
        <v>180</v>
      </c>
      <c r="D10" s="59">
        <f>B10*C10</f>
        <v>5963581.0723404242</v>
      </c>
      <c r="E10" s="31">
        <f>QUANTITÀ!C9</f>
        <v>36812.228841607561</v>
      </c>
      <c r="F10" s="56">
        <f>PREZZI!C6</f>
        <v>180</v>
      </c>
      <c r="G10" s="59">
        <f>E10*F10</f>
        <v>6626201.1914893612</v>
      </c>
      <c r="H10" s="32">
        <f>QUANTITÀ!D9</f>
        <v>42334.063167848697</v>
      </c>
      <c r="I10" s="56">
        <f>PREZZI!D6</f>
        <v>180</v>
      </c>
      <c r="J10" s="59">
        <f>H10*I10</f>
        <v>7620131.3702127654</v>
      </c>
      <c r="K10" s="32">
        <f>QUANTITÀ!E9</f>
        <v>38652.84028368794</v>
      </c>
      <c r="L10" s="56">
        <f>PREZZI!E6</f>
        <v>180</v>
      </c>
      <c r="M10" s="59">
        <f>K10*L10</f>
        <v>6957511.2510638293</v>
      </c>
      <c r="N10" s="32">
        <f>QUANTITÀ!F9</f>
        <v>38652.84028368794</v>
      </c>
      <c r="O10" s="56">
        <f>PREZZI!F6</f>
        <v>180</v>
      </c>
      <c r="P10" s="59">
        <f>N10*O10</f>
        <v>6957511.2510638293</v>
      </c>
      <c r="Q10" s="31">
        <f>QUANTITÀ!G9</f>
        <v>40493.451725768318</v>
      </c>
      <c r="R10" s="56">
        <f>PREZZI!G6</f>
        <v>180</v>
      </c>
      <c r="S10" s="59">
        <f>Q10*R10</f>
        <v>7288821.3106382973</v>
      </c>
      <c r="T10" s="33">
        <f>B10+E10+H10+K10+N10+Q10</f>
        <v>230076.43026004726</v>
      </c>
      <c r="U10" s="61">
        <f t="shared" ref="U10:U12" si="0">IFERROR(V10/T10,0)</f>
        <v>180.00000000000006</v>
      </c>
      <c r="V10" s="64">
        <f>D10+G10+J10+M10+P10+S10</f>
        <v>41413757.446808517</v>
      </c>
      <c r="W10" s="34"/>
    </row>
    <row r="11" spans="1:23" x14ac:dyDescent="0.2">
      <c r="A11" s="15" t="s">
        <v>85</v>
      </c>
      <c r="B11" s="30">
        <f>QUANTITÀ!B10</f>
        <v>293.61702127659601</v>
      </c>
      <c r="C11" s="56">
        <f>PREZZI!B7</f>
        <v>180</v>
      </c>
      <c r="D11" s="59">
        <f>B11*C11</f>
        <v>52851.063829787279</v>
      </c>
      <c r="E11" s="31">
        <f>QUANTITÀ!C10</f>
        <v>326.2411347517733</v>
      </c>
      <c r="F11" s="56">
        <f>PREZZI!C7</f>
        <v>180</v>
      </c>
      <c r="G11" s="59">
        <f>E11*F11</f>
        <v>58723.404255319198</v>
      </c>
      <c r="H11" s="32">
        <f>QUANTITÀ!D10</f>
        <v>375.1773049645393</v>
      </c>
      <c r="I11" s="56">
        <f>PREZZI!D7</f>
        <v>180</v>
      </c>
      <c r="J11" s="59">
        <f>H11*I11</f>
        <v>67531.914893617068</v>
      </c>
      <c r="K11" s="32">
        <f>QUANTITÀ!E10</f>
        <v>342.55319148936201</v>
      </c>
      <c r="L11" s="56">
        <f>PREZZI!E7</f>
        <v>180</v>
      </c>
      <c r="M11" s="59">
        <f>K11*L11</f>
        <v>61659.574468085164</v>
      </c>
      <c r="N11" s="32">
        <f>QUANTITÀ!F10</f>
        <v>342.55319148936201</v>
      </c>
      <c r="O11" s="56">
        <f>PREZZI!F7</f>
        <v>180</v>
      </c>
      <c r="P11" s="59">
        <f>N11*O11</f>
        <v>61659.574468085164</v>
      </c>
      <c r="Q11" s="31">
        <f>QUANTITÀ!G10</f>
        <v>358.86524822695065</v>
      </c>
      <c r="R11" s="56">
        <f>PREZZI!G7</f>
        <v>180</v>
      </c>
      <c r="S11" s="59">
        <f>Q11*R11</f>
        <v>64595.744680851116</v>
      </c>
      <c r="T11" s="33">
        <f>B11+E11+H11+K11+N11+Q11</f>
        <v>2039.0070921985832</v>
      </c>
      <c r="U11" s="61">
        <f t="shared" si="0"/>
        <v>180</v>
      </c>
      <c r="V11" s="64">
        <f>D11+G11+J11+M11+P11+S11</f>
        <v>367021.276595745</v>
      </c>
      <c r="W11" s="34"/>
    </row>
    <row r="12" spans="1:23" s="10" customFormat="1" ht="17" thickBot="1" x14ac:dyDescent="0.25">
      <c r="A12" s="35" t="s">
        <v>73</v>
      </c>
      <c r="B12" s="36">
        <f>SUM(B9:B11)</f>
        <v>52287.943518874388</v>
      </c>
      <c r="C12" s="57">
        <f>D12/B12</f>
        <v>180</v>
      </c>
      <c r="D12" s="60">
        <f>SUM(D9:D11)</f>
        <v>9411829.8333973903</v>
      </c>
      <c r="E12" s="37">
        <f>SUM(E9:E11)</f>
        <v>58097.71502097154</v>
      </c>
      <c r="F12" s="57">
        <f>G12/E12</f>
        <v>180.00000000000003</v>
      </c>
      <c r="G12" s="60">
        <f>SUM(G9:G11)</f>
        <v>10457588.703774879</v>
      </c>
      <c r="H12" s="38">
        <f>SUM(H9:H11)</f>
        <v>66812.372274117282</v>
      </c>
      <c r="I12" s="57">
        <f>J12/H12</f>
        <v>180</v>
      </c>
      <c r="J12" s="60">
        <f>SUM(J9:J11)</f>
        <v>12026227.009341111</v>
      </c>
      <c r="K12" s="38">
        <f>SUM(K9:K11)</f>
        <v>61002.600772020131</v>
      </c>
      <c r="L12" s="57">
        <f>M12/K12</f>
        <v>180</v>
      </c>
      <c r="M12" s="60">
        <f>SUM(M9:M11)</f>
        <v>10980468.138963623</v>
      </c>
      <c r="N12" s="38">
        <f>SUM(N9:N11)</f>
        <v>61002.600772020131</v>
      </c>
      <c r="O12" s="57">
        <f>P12/N12</f>
        <v>180</v>
      </c>
      <c r="P12" s="60">
        <f>SUM(P9:P11)</f>
        <v>10980468.138963623</v>
      </c>
      <c r="Q12" s="37">
        <f>SUM(Q9:Q11)</f>
        <v>63907.486523068706</v>
      </c>
      <c r="R12" s="57">
        <f>S12/Q12</f>
        <v>180</v>
      </c>
      <c r="S12" s="60">
        <f>SUM(S9:S11)</f>
        <v>11503347.574152367</v>
      </c>
      <c r="T12" s="36">
        <f>SUM(T9:T11)</f>
        <v>363110.71888107219</v>
      </c>
      <c r="U12" s="62">
        <f t="shared" si="0"/>
        <v>180.00000000000003</v>
      </c>
      <c r="V12" s="65">
        <f>SUM(V9:V11)</f>
        <v>65359929.398593001</v>
      </c>
      <c r="W12" s="39"/>
    </row>
    <row r="13" spans="1:23" x14ac:dyDescent="0.2">
      <c r="A13" s="15"/>
      <c r="B13" s="15"/>
      <c r="C13" s="56"/>
      <c r="D13" s="59"/>
      <c r="F13" s="56"/>
      <c r="G13" s="59"/>
      <c r="H13" s="26"/>
      <c r="I13" s="56"/>
      <c r="J13" s="59"/>
      <c r="K13" s="26"/>
      <c r="L13" s="56"/>
      <c r="M13" s="59"/>
      <c r="N13" s="26"/>
      <c r="O13" s="56"/>
      <c r="P13" s="59"/>
      <c r="R13" s="56"/>
      <c r="S13" s="59"/>
      <c r="T13" s="27"/>
      <c r="U13" s="63"/>
      <c r="V13" s="64"/>
    </row>
    <row r="14" spans="1:23" x14ac:dyDescent="0.2">
      <c r="A14" s="24"/>
      <c r="B14" s="15"/>
      <c r="C14" s="56"/>
      <c r="D14" s="59"/>
      <c r="F14" s="56"/>
      <c r="G14" s="59"/>
      <c r="H14" s="26"/>
      <c r="I14" s="56"/>
      <c r="J14" s="59"/>
      <c r="K14" s="26"/>
      <c r="L14" s="56"/>
      <c r="M14" s="59"/>
      <c r="N14" s="26"/>
      <c r="O14" s="56"/>
      <c r="P14" s="59"/>
      <c r="R14" s="56"/>
      <c r="S14" s="59"/>
      <c r="T14" s="27"/>
      <c r="U14" s="63"/>
      <c r="V14" s="64"/>
    </row>
    <row r="15" spans="1:23" x14ac:dyDescent="0.2">
      <c r="A15" s="15" t="s">
        <v>83</v>
      </c>
      <c r="B15" s="30">
        <f>QUANTITÀ!B15</f>
        <v>1198.375657844887</v>
      </c>
      <c r="C15" s="56">
        <f>PREZZI!B12</f>
        <v>500</v>
      </c>
      <c r="D15" s="59">
        <f>B15*C15</f>
        <v>599187.82892244344</v>
      </c>
      <c r="E15" s="31">
        <f>QUANTITÀ!C15</f>
        <v>1331.528508716541</v>
      </c>
      <c r="F15" s="56">
        <f>PREZZI!C12</f>
        <v>500</v>
      </c>
      <c r="G15" s="59">
        <f>E15*F15</f>
        <v>665764.25435827044</v>
      </c>
      <c r="H15" s="32">
        <f>QUANTITÀ!D15</f>
        <v>1531.257785024022</v>
      </c>
      <c r="I15" s="56">
        <f>PREZZI!D12</f>
        <v>500</v>
      </c>
      <c r="J15" s="59">
        <f>H15*I15</f>
        <v>765628.89251201099</v>
      </c>
      <c r="K15" s="32">
        <f>QUANTITÀ!E15</f>
        <v>1398.1049341523681</v>
      </c>
      <c r="L15" s="56">
        <f>PREZZI!E12</f>
        <v>500</v>
      </c>
      <c r="M15" s="59">
        <f>K15*L15</f>
        <v>699052.467076184</v>
      </c>
      <c r="N15" s="32">
        <f>QUANTITÀ!F15</f>
        <v>1398.1049341523681</v>
      </c>
      <c r="O15" s="56">
        <f>PREZZI!F12</f>
        <v>500</v>
      </c>
      <c r="P15" s="59">
        <f>N15*O15</f>
        <v>699052.467076184</v>
      </c>
      <c r="Q15" s="31">
        <f>QUANTITÀ!G15</f>
        <v>1464.6813595881949</v>
      </c>
      <c r="R15" s="56">
        <f>PREZZI!G12</f>
        <v>500</v>
      </c>
      <c r="S15" s="59">
        <f>Q15*R15</f>
        <v>732340.67979409744</v>
      </c>
      <c r="T15" s="33">
        <f>B15+E15+H15+K15+N15+Q15</f>
        <v>8322.0531794783819</v>
      </c>
      <c r="U15" s="61">
        <f>IFERROR(V15/T15,0)</f>
        <v>499.99999999999994</v>
      </c>
      <c r="V15" s="64">
        <f>D15+G15+J15+M15+P15+S15</f>
        <v>4161026.5897391904</v>
      </c>
      <c r="W15" s="34"/>
    </row>
    <row r="16" spans="1:23" x14ac:dyDescent="0.2">
      <c r="A16" s="15" t="s">
        <v>84</v>
      </c>
      <c r="B16" s="30">
        <f>QUANTITÀ!B16</f>
        <v>0</v>
      </c>
      <c r="C16" s="56">
        <f>PREZZI!B13</f>
        <v>500</v>
      </c>
      <c r="D16" s="59">
        <f>B16*C16</f>
        <v>0</v>
      </c>
      <c r="E16" s="31">
        <f>QUANTITÀ!C16</f>
        <v>0</v>
      </c>
      <c r="F16" s="56">
        <f>PREZZI!C13</f>
        <v>500</v>
      </c>
      <c r="G16" s="59">
        <f>E16*F16</f>
        <v>0</v>
      </c>
      <c r="H16" s="32">
        <f>QUANTITÀ!D16</f>
        <v>0</v>
      </c>
      <c r="I16" s="56">
        <f>PREZZI!D13</f>
        <v>500</v>
      </c>
      <c r="J16" s="59">
        <f>H16*I16</f>
        <v>0</v>
      </c>
      <c r="K16" s="32">
        <f>QUANTITÀ!E16</f>
        <v>0</v>
      </c>
      <c r="L16" s="56">
        <f>PREZZI!E13</f>
        <v>500</v>
      </c>
      <c r="M16" s="59">
        <f>K16*L16</f>
        <v>0</v>
      </c>
      <c r="N16" s="32">
        <f>QUANTITÀ!F16</f>
        <v>0</v>
      </c>
      <c r="O16" s="56">
        <f>PREZZI!F13</f>
        <v>500</v>
      </c>
      <c r="P16" s="59">
        <f>N16*O16</f>
        <v>0</v>
      </c>
      <c r="Q16" s="31">
        <f>QUANTITÀ!G16</f>
        <v>0</v>
      </c>
      <c r="R16" s="56">
        <f>PREZZI!G13</f>
        <v>500</v>
      </c>
      <c r="S16" s="59">
        <f>Q16*R16</f>
        <v>0</v>
      </c>
      <c r="T16" s="33">
        <f>B16+E16+H16+K16+N16+Q16</f>
        <v>0</v>
      </c>
      <c r="U16" s="61">
        <f t="shared" ref="U16:U18" si="1">IFERROR(V16/T16,0)</f>
        <v>0</v>
      </c>
      <c r="V16" s="64">
        <f>D16+G16+J16+M16+P16+S16</f>
        <v>0</v>
      </c>
      <c r="W16" s="34"/>
    </row>
    <row r="17" spans="1:110" x14ac:dyDescent="0.2">
      <c r="A17" s="15" t="s">
        <v>85</v>
      </c>
      <c r="B17" s="30">
        <f>QUANTITÀ!B17</f>
        <v>2008.3404255319151</v>
      </c>
      <c r="C17" s="56">
        <f>PREZZI!B14</f>
        <v>500</v>
      </c>
      <c r="D17" s="59">
        <f>B17*C17</f>
        <v>1004170.2127659576</v>
      </c>
      <c r="E17" s="31">
        <f>QUANTITÀ!C17</f>
        <v>2231.489361702128</v>
      </c>
      <c r="F17" s="56">
        <f>PREZZI!C14</f>
        <v>500</v>
      </c>
      <c r="G17" s="59">
        <f>E17*F17</f>
        <v>1115744.6808510639</v>
      </c>
      <c r="H17" s="32">
        <f>QUANTITÀ!D17</f>
        <v>2566.2127659574471</v>
      </c>
      <c r="I17" s="56">
        <f>PREZZI!D14</f>
        <v>500</v>
      </c>
      <c r="J17" s="59">
        <f>H17*I17</f>
        <v>1283106.3829787236</v>
      </c>
      <c r="K17" s="32">
        <f>QUANTITÀ!E17</f>
        <v>2343.0638297872342</v>
      </c>
      <c r="L17" s="56">
        <f>PREZZI!E14</f>
        <v>500</v>
      </c>
      <c r="M17" s="59">
        <f>K17*L17</f>
        <v>1171531.9148936172</v>
      </c>
      <c r="N17" s="32">
        <f>QUANTITÀ!F17</f>
        <v>2343.0638297872342</v>
      </c>
      <c r="O17" s="56">
        <f>PREZZI!F14</f>
        <v>500</v>
      </c>
      <c r="P17" s="59">
        <f>N17*O17</f>
        <v>1171531.9148936172</v>
      </c>
      <c r="Q17" s="31">
        <f>QUANTITÀ!G17</f>
        <v>2454.6382978723404</v>
      </c>
      <c r="R17" s="56">
        <f>PREZZI!G14</f>
        <v>500</v>
      </c>
      <c r="S17" s="59">
        <f>Q17*R17</f>
        <v>1227319.1489361702</v>
      </c>
      <c r="T17" s="33">
        <f>B17+E17+H17+K17+N17+Q17</f>
        <v>13946.808510638297</v>
      </c>
      <c r="U17" s="61">
        <f t="shared" si="1"/>
        <v>500.00000000000006</v>
      </c>
      <c r="V17" s="64">
        <f>D17+G17+J17+M17+P17+S17</f>
        <v>6973404.2553191492</v>
      </c>
      <c r="W17" s="34"/>
    </row>
    <row r="18" spans="1:110" ht="17" thickBot="1" x14ac:dyDescent="0.25">
      <c r="A18" s="35" t="s">
        <v>74</v>
      </c>
      <c r="B18" s="36">
        <f>SUM(B15:B17)</f>
        <v>3206.7160833768021</v>
      </c>
      <c r="C18" s="57">
        <f>D18/B18</f>
        <v>500</v>
      </c>
      <c r="D18" s="60">
        <f>SUM(D15:D17)</f>
        <v>1603358.041688401</v>
      </c>
      <c r="E18" s="37">
        <f>SUM(E15:E17)</f>
        <v>3563.0178704186692</v>
      </c>
      <c r="F18" s="57">
        <f>G18/E18</f>
        <v>499.99999999999994</v>
      </c>
      <c r="G18" s="60">
        <f>SUM(G15:G17)</f>
        <v>1781508.9352093344</v>
      </c>
      <c r="H18" s="38">
        <f>SUM(H15:H17)</f>
        <v>4097.4705509814694</v>
      </c>
      <c r="I18" s="57">
        <f>J18/H18</f>
        <v>500</v>
      </c>
      <c r="J18" s="60">
        <f>SUM(J15:J17)</f>
        <v>2048735.2754907347</v>
      </c>
      <c r="K18" s="38">
        <f>SUM(K15:K17)</f>
        <v>3741.1687639396023</v>
      </c>
      <c r="L18" s="57">
        <f>M18/K18</f>
        <v>500</v>
      </c>
      <c r="M18" s="60">
        <f>SUM(M15:M17)</f>
        <v>1870584.3819698012</v>
      </c>
      <c r="N18" s="38">
        <f>SUM(N15:N17)</f>
        <v>3741.1687639396023</v>
      </c>
      <c r="O18" s="57">
        <f>P18/N18</f>
        <v>500</v>
      </c>
      <c r="P18" s="60">
        <f>SUM(P15:P17)</f>
        <v>1870584.3819698012</v>
      </c>
      <c r="Q18" s="37">
        <f>SUM(Q15:Q17)</f>
        <v>3919.3196574605354</v>
      </c>
      <c r="R18" s="57">
        <f>S18/Q18</f>
        <v>499.99999999999994</v>
      </c>
      <c r="S18" s="60">
        <f>SUM(S15:S17)</f>
        <v>1959659.8287302675</v>
      </c>
      <c r="T18" s="36">
        <f>SUM(T15:T17)</f>
        <v>22268.861690116679</v>
      </c>
      <c r="U18" s="62">
        <f t="shared" si="1"/>
        <v>500.00000000000006</v>
      </c>
      <c r="V18" s="65">
        <f>SUM(V15:V17)</f>
        <v>11134430.845058341</v>
      </c>
      <c r="W18" s="39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</row>
    <row r="19" spans="1:110" x14ac:dyDescent="0.2">
      <c r="A19" s="15"/>
      <c r="B19" s="15"/>
      <c r="C19" s="56"/>
      <c r="D19" s="59"/>
      <c r="F19" s="56"/>
      <c r="G19" s="59"/>
      <c r="H19" s="26"/>
      <c r="I19" s="56"/>
      <c r="J19" s="59"/>
      <c r="K19" s="26"/>
      <c r="L19" s="56"/>
      <c r="M19" s="59"/>
      <c r="N19" s="26"/>
      <c r="O19" s="56"/>
      <c r="P19" s="59"/>
      <c r="R19" s="56"/>
      <c r="S19" s="59"/>
      <c r="T19" s="27"/>
      <c r="U19" s="63"/>
      <c r="V19" s="64"/>
      <c r="W19" s="39"/>
      <c r="X19" s="34"/>
      <c r="Y19" s="42"/>
      <c r="Z19" s="42"/>
    </row>
    <row r="20" spans="1:110" x14ac:dyDescent="0.2">
      <c r="A20" s="24"/>
      <c r="B20" s="15"/>
      <c r="C20" s="56"/>
      <c r="D20" s="59"/>
      <c r="F20" s="56"/>
      <c r="G20" s="59"/>
      <c r="H20" s="26"/>
      <c r="I20" s="56"/>
      <c r="J20" s="59"/>
      <c r="K20" s="26"/>
      <c r="L20" s="56"/>
      <c r="M20" s="59"/>
      <c r="N20" s="26"/>
      <c r="O20" s="56"/>
      <c r="P20" s="59"/>
      <c r="R20" s="56"/>
      <c r="S20" s="59"/>
      <c r="T20" s="27"/>
      <c r="U20" s="63"/>
      <c r="V20" s="64"/>
      <c r="W20" s="39"/>
      <c r="X20" s="34"/>
      <c r="Y20" s="42"/>
      <c r="Z20" s="42"/>
    </row>
    <row r="21" spans="1:110" x14ac:dyDescent="0.2">
      <c r="A21" s="15" t="s">
        <v>83</v>
      </c>
      <c r="B21" s="40">
        <f>B9+B15</f>
        <v>20061.69619799588</v>
      </c>
      <c r="C21" s="58">
        <f>D21/B21</f>
        <v>199.11504424778761</v>
      </c>
      <c r="D21" s="59">
        <f>D9+D15</f>
        <v>3994585.5261496222</v>
      </c>
      <c r="E21" s="40">
        <f>E9+E15</f>
        <v>22290.773553328752</v>
      </c>
      <c r="F21" s="58">
        <f>G21/E21</f>
        <v>199.11504424778761</v>
      </c>
      <c r="G21" s="59">
        <f>G9+G15</f>
        <v>4438428.3623884683</v>
      </c>
      <c r="H21" s="40">
        <f>H9+H15</f>
        <v>25634.389586328067</v>
      </c>
      <c r="I21" s="58">
        <f>J21/H21</f>
        <v>199.11504424778764</v>
      </c>
      <c r="J21" s="59">
        <f>J9+J15</f>
        <v>5104192.6167467395</v>
      </c>
      <c r="K21" s="40">
        <f>K9+K15</f>
        <v>23405.31223099519</v>
      </c>
      <c r="L21" s="58">
        <f>M21/K21</f>
        <v>199.11504424778764</v>
      </c>
      <c r="M21" s="59">
        <f>M9+M15</f>
        <v>4660349.7805078924</v>
      </c>
      <c r="N21" s="40">
        <f>N9+N15</f>
        <v>23405.31223099519</v>
      </c>
      <c r="O21" s="58">
        <f>P21/N21</f>
        <v>199.11504424778764</v>
      </c>
      <c r="P21" s="59">
        <f>P9+P15</f>
        <v>4660349.7805078924</v>
      </c>
      <c r="Q21" s="40">
        <f>Q9+Q15</f>
        <v>24519.850908661629</v>
      </c>
      <c r="R21" s="58">
        <f>S21/Q21</f>
        <v>199.11504424778761</v>
      </c>
      <c r="S21" s="59">
        <f>S9+S15</f>
        <v>4882271.1986273155</v>
      </c>
      <c r="T21" s="33">
        <f>B21+E21+H21+K21+N21+Q21</f>
        <v>139317.3347083047</v>
      </c>
      <c r="U21" s="61">
        <f>IFERROR(V21/T21,0)</f>
        <v>199.11504424778764</v>
      </c>
      <c r="V21" s="64">
        <f>D21+G21+J21+M21+P21+S21</f>
        <v>27740177.264927931</v>
      </c>
      <c r="W21" s="39"/>
      <c r="X21" s="34"/>
      <c r="Y21" s="42"/>
      <c r="Z21" s="42"/>
    </row>
    <row r="22" spans="1:110" x14ac:dyDescent="0.2">
      <c r="A22" s="15" t="s">
        <v>84</v>
      </c>
      <c r="B22" s="40">
        <f t="shared" ref="B22:B23" si="2">B10+B16</f>
        <v>33131.005957446803</v>
      </c>
      <c r="C22" s="58">
        <f>D22/B22</f>
        <v>180</v>
      </c>
      <c r="D22" s="59">
        <f t="shared" ref="D22:E23" si="3">D10+D16</f>
        <v>5963581.0723404242</v>
      </c>
      <c r="E22" s="40">
        <f t="shared" si="3"/>
        <v>36812.228841607561</v>
      </c>
      <c r="F22" s="58">
        <f>G22/E22</f>
        <v>180</v>
      </c>
      <c r="G22" s="59">
        <f t="shared" ref="G22:H23" si="4">G10+G16</f>
        <v>6626201.1914893612</v>
      </c>
      <c r="H22" s="40">
        <f t="shared" si="4"/>
        <v>42334.063167848697</v>
      </c>
      <c r="I22" s="58">
        <f>J22/H22</f>
        <v>180</v>
      </c>
      <c r="J22" s="59">
        <f t="shared" ref="J22:K23" si="5">J10+J16</f>
        <v>7620131.3702127654</v>
      </c>
      <c r="K22" s="40">
        <f t="shared" si="5"/>
        <v>38652.84028368794</v>
      </c>
      <c r="L22" s="58">
        <f>M22/K22</f>
        <v>180</v>
      </c>
      <c r="M22" s="59">
        <f t="shared" ref="M22:N23" si="6">M10+M16</f>
        <v>6957511.2510638293</v>
      </c>
      <c r="N22" s="40">
        <f t="shared" si="6"/>
        <v>38652.84028368794</v>
      </c>
      <c r="O22" s="58">
        <f>P22/N22</f>
        <v>180</v>
      </c>
      <c r="P22" s="59">
        <f t="shared" ref="P22:Q23" si="7">P10+P16</f>
        <v>6957511.2510638293</v>
      </c>
      <c r="Q22" s="40">
        <f t="shared" si="7"/>
        <v>40493.451725768318</v>
      </c>
      <c r="R22" s="58">
        <f>S22/Q22</f>
        <v>180</v>
      </c>
      <c r="S22" s="59">
        <f t="shared" ref="S22" si="8">S10+S16</f>
        <v>7288821.3106382973</v>
      </c>
      <c r="T22" s="33">
        <f>B22+E22+H22+K22+N22+Q22</f>
        <v>230076.43026004726</v>
      </c>
      <c r="U22" s="61">
        <f t="shared" ref="U22:U24" si="9">IFERROR(V22/T22,0)</f>
        <v>180.00000000000006</v>
      </c>
      <c r="V22" s="64">
        <f>D22+G22+J22+M22+P22+S22</f>
        <v>41413757.446808517</v>
      </c>
      <c r="W22" s="39"/>
      <c r="X22" s="34"/>
      <c r="Y22" s="42"/>
      <c r="Z22" s="42"/>
    </row>
    <row r="23" spans="1:110" x14ac:dyDescent="0.2">
      <c r="A23" s="15" t="s">
        <v>85</v>
      </c>
      <c r="B23" s="40">
        <f t="shared" si="2"/>
        <v>2301.9574468085111</v>
      </c>
      <c r="C23" s="58">
        <f>D23/B23</f>
        <v>459.18367346938771</v>
      </c>
      <c r="D23" s="59">
        <f t="shared" si="3"/>
        <v>1057021.2765957448</v>
      </c>
      <c r="E23" s="40">
        <f t="shared" si="3"/>
        <v>2557.7304964539012</v>
      </c>
      <c r="F23" s="58">
        <f>G23/E23</f>
        <v>459.18367346938771</v>
      </c>
      <c r="G23" s="59">
        <f t="shared" ref="G23" si="10">G11+G17</f>
        <v>1174468.0851063831</v>
      </c>
      <c r="H23" s="40">
        <f t="shared" si="4"/>
        <v>2941.3900709219865</v>
      </c>
      <c r="I23" s="58">
        <f>J23/H23</f>
        <v>459.18367346938777</v>
      </c>
      <c r="J23" s="59">
        <f t="shared" ref="J23" si="11">J11+J17</f>
        <v>1350638.2978723408</v>
      </c>
      <c r="K23" s="40">
        <f t="shared" si="5"/>
        <v>2685.6170212765965</v>
      </c>
      <c r="L23" s="58">
        <f>M23/K23</f>
        <v>459.18367346938766</v>
      </c>
      <c r="M23" s="59">
        <f t="shared" ref="M23" si="12">M11+M17</f>
        <v>1233191.4893617022</v>
      </c>
      <c r="N23" s="40">
        <f t="shared" si="6"/>
        <v>2685.6170212765965</v>
      </c>
      <c r="O23" s="58">
        <f>P23/N23</f>
        <v>459.18367346938766</v>
      </c>
      <c r="P23" s="59">
        <f t="shared" ref="P23" si="13">P11+P17</f>
        <v>1233191.4893617022</v>
      </c>
      <c r="Q23" s="40">
        <f t="shared" si="7"/>
        <v>2813.5035460992913</v>
      </c>
      <c r="R23" s="58">
        <f>S23/Q23</f>
        <v>459.18367346938771</v>
      </c>
      <c r="S23" s="59">
        <f t="shared" ref="S23" si="14">S11+S17</f>
        <v>1291914.8936170214</v>
      </c>
      <c r="T23" s="33">
        <f>B23+E23+H23+K23+N23+Q23</f>
        <v>15985.815602836883</v>
      </c>
      <c r="U23" s="61">
        <f t="shared" si="9"/>
        <v>459.18367346938777</v>
      </c>
      <c r="V23" s="64">
        <f>D23+G23+J23+M23+P23+S23</f>
        <v>7340425.5319148954</v>
      </c>
      <c r="W23" s="39"/>
      <c r="X23" s="34"/>
      <c r="Y23" s="42"/>
      <c r="Z23" s="42"/>
    </row>
    <row r="24" spans="1:110" ht="17" thickBot="1" x14ac:dyDescent="0.25">
      <c r="A24" s="35" t="s">
        <v>3</v>
      </c>
      <c r="B24" s="36">
        <f>SUM(B21:B23)</f>
        <v>55494.659602251195</v>
      </c>
      <c r="C24" s="57">
        <f>D24/B24</f>
        <v>198.49095307612177</v>
      </c>
      <c r="D24" s="60">
        <f>SUM(D21:D23)</f>
        <v>11015187.875085792</v>
      </c>
      <c r="E24" s="36">
        <f>SUM(E21:E23)</f>
        <v>61660.732891390209</v>
      </c>
      <c r="F24" s="57">
        <f>G24/E24</f>
        <v>198.4909530761218</v>
      </c>
      <c r="G24" s="60">
        <f>SUM(G21:G23)</f>
        <v>12239097.638984215</v>
      </c>
      <c r="H24" s="36">
        <f>SUM(H21:H23)</f>
        <v>70909.842825098749</v>
      </c>
      <c r="I24" s="57">
        <f>J24/H24</f>
        <v>198.49095307612177</v>
      </c>
      <c r="J24" s="60">
        <f>SUM(J21:J23)</f>
        <v>14074962.284831846</v>
      </c>
      <c r="K24" s="36">
        <f>SUM(K21:K23)</f>
        <v>64743.76953595972</v>
      </c>
      <c r="L24" s="57">
        <f>M24/K24</f>
        <v>198.49095307612177</v>
      </c>
      <c r="M24" s="60">
        <f>SUM(M21:M23)</f>
        <v>12851052.520933423</v>
      </c>
      <c r="N24" s="36">
        <f>SUM(N21:N23)</f>
        <v>64743.76953595972</v>
      </c>
      <c r="O24" s="57">
        <f>P24/N24</f>
        <v>198.49095307612177</v>
      </c>
      <c r="P24" s="60">
        <f>SUM(P21:P23)</f>
        <v>12851052.520933423</v>
      </c>
      <c r="Q24" s="36">
        <f>SUM(Q21:Q23)</f>
        <v>67826.806180529238</v>
      </c>
      <c r="R24" s="57">
        <f>S24/Q24</f>
        <v>198.49095307612174</v>
      </c>
      <c r="S24" s="60">
        <f>SUM(S21:S23)</f>
        <v>13463007.402882634</v>
      </c>
      <c r="T24" s="36">
        <f>SUM(T21:T23)</f>
        <v>385379.58057118882</v>
      </c>
      <c r="U24" s="62">
        <f t="shared" si="9"/>
        <v>198.49095307612177</v>
      </c>
      <c r="V24" s="65">
        <f>SUM(V21:V23)</f>
        <v>76494360.24365133</v>
      </c>
      <c r="W24" s="39"/>
      <c r="X24" s="34"/>
      <c r="Y24" s="42"/>
      <c r="Z24" s="42"/>
    </row>
    <row r="25" spans="1:110" x14ac:dyDescent="0.2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39"/>
      <c r="X25" s="34"/>
      <c r="Y25" s="42"/>
      <c r="Z25" s="42"/>
    </row>
    <row r="26" spans="1:110" x14ac:dyDescent="0.2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39"/>
      <c r="X26" s="34"/>
      <c r="Y26" s="42"/>
      <c r="Z26" s="42"/>
    </row>
    <row r="27" spans="1:110" x14ac:dyDescent="0.2">
      <c r="V27" s="34"/>
    </row>
    <row r="28" spans="1:110" ht="17" thickBot="1" x14ac:dyDescent="0.25"/>
    <row r="29" spans="1:110" x14ac:dyDescent="0.2">
      <c r="A29" s="11"/>
      <c r="B29" s="272" t="s">
        <v>80</v>
      </c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4"/>
      <c r="W29" s="12"/>
      <c r="X29" s="283" t="s">
        <v>3</v>
      </c>
      <c r="Y29" s="284"/>
      <c r="Z29" s="285"/>
    </row>
    <row r="30" spans="1:110" x14ac:dyDescent="0.2">
      <c r="A30" s="13"/>
      <c r="B30" s="289" t="s">
        <v>18</v>
      </c>
      <c r="C30" s="261"/>
      <c r="D30" s="262"/>
      <c r="E30" s="280" t="s">
        <v>19</v>
      </c>
      <c r="F30" s="281"/>
      <c r="G30" s="282"/>
      <c r="H30" s="280" t="s">
        <v>20</v>
      </c>
      <c r="I30" s="281"/>
      <c r="J30" s="282"/>
      <c r="K30" s="280" t="s">
        <v>21</v>
      </c>
      <c r="L30" s="281"/>
      <c r="M30" s="282"/>
      <c r="N30" s="280" t="s">
        <v>22</v>
      </c>
      <c r="O30" s="281"/>
      <c r="P30" s="282"/>
      <c r="Q30" s="280" t="s">
        <v>23</v>
      </c>
      <c r="R30" s="281"/>
      <c r="S30" s="282"/>
      <c r="T30" s="277" t="s">
        <v>113</v>
      </c>
      <c r="U30" s="278"/>
      <c r="V30" s="279"/>
      <c r="W30" s="14"/>
      <c r="X30" s="286"/>
      <c r="Y30" s="287"/>
      <c r="Z30" s="288"/>
    </row>
    <row r="31" spans="1:110" x14ac:dyDescent="0.2">
      <c r="A31" s="15"/>
      <c r="B31" s="16" t="s">
        <v>0</v>
      </c>
      <c r="C31" s="14" t="s">
        <v>4</v>
      </c>
      <c r="D31" s="17" t="s">
        <v>1</v>
      </c>
      <c r="E31" s="18" t="s">
        <v>0</v>
      </c>
      <c r="F31" s="18" t="s">
        <v>4</v>
      </c>
      <c r="G31" s="19" t="s">
        <v>1</v>
      </c>
      <c r="H31" s="20" t="s">
        <v>0</v>
      </c>
      <c r="I31" s="18" t="s">
        <v>4</v>
      </c>
      <c r="J31" s="19" t="s">
        <v>1</v>
      </c>
      <c r="K31" s="20" t="s">
        <v>0</v>
      </c>
      <c r="L31" s="18" t="s">
        <v>4</v>
      </c>
      <c r="M31" s="19" t="s">
        <v>1</v>
      </c>
      <c r="N31" s="20" t="s">
        <v>0</v>
      </c>
      <c r="O31" s="18" t="s">
        <v>4</v>
      </c>
      <c r="P31" s="19" t="s">
        <v>1</v>
      </c>
      <c r="Q31" s="20" t="s">
        <v>0</v>
      </c>
      <c r="R31" s="18" t="s">
        <v>4</v>
      </c>
      <c r="S31" s="21" t="s">
        <v>1</v>
      </c>
      <c r="T31" s="22" t="s">
        <v>0</v>
      </c>
      <c r="U31" s="22" t="s">
        <v>4</v>
      </c>
      <c r="V31" s="23" t="s">
        <v>1</v>
      </c>
      <c r="W31" s="14"/>
      <c r="X31" s="45" t="s">
        <v>0</v>
      </c>
      <c r="Y31" s="22" t="s">
        <v>4</v>
      </c>
      <c r="Z31" s="23" t="s">
        <v>1</v>
      </c>
    </row>
    <row r="32" spans="1:110" x14ac:dyDescent="0.2">
      <c r="A32" s="24"/>
      <c r="B32" s="15"/>
      <c r="D32" s="25"/>
      <c r="G32" s="25"/>
      <c r="H32" s="26"/>
      <c r="J32" s="25"/>
      <c r="K32" s="26"/>
      <c r="M32" s="25"/>
      <c r="N32" s="26"/>
      <c r="P32" s="25"/>
      <c r="T32" s="27"/>
      <c r="U32" s="28"/>
      <c r="V32" s="29"/>
      <c r="X32" s="27"/>
      <c r="Y32" s="28"/>
      <c r="Z32" s="29"/>
    </row>
    <row r="33" spans="1:31" x14ac:dyDescent="0.2">
      <c r="A33" s="15" t="s">
        <v>83</v>
      </c>
      <c r="B33" s="30">
        <f>QUANTITÀ!H8</f>
        <v>23055.169549073435</v>
      </c>
      <c r="C33" s="56">
        <f>PREZZI!H5</f>
        <v>180</v>
      </c>
      <c r="D33" s="59">
        <f>B33*C33</f>
        <v>4149930.5188332181</v>
      </c>
      <c r="E33" s="31">
        <f>QUANTITÀ!I8</f>
        <v>12575.547026767326</v>
      </c>
      <c r="F33" s="56">
        <f>PREZZI!I5</f>
        <v>180</v>
      </c>
      <c r="G33" s="59">
        <f>E33*F33</f>
        <v>2263598.4648181186</v>
      </c>
      <c r="H33" s="32">
        <f>QUANTITÀ!J8</f>
        <v>23055.169549073435</v>
      </c>
      <c r="I33" s="56">
        <f>PREZZI!J5</f>
        <v>180</v>
      </c>
      <c r="J33" s="59">
        <f>H33*I33</f>
        <v>4149930.5188332181</v>
      </c>
      <c r="K33" s="32">
        <f>QUANTITÀ!K8</f>
        <v>22007.207296842822</v>
      </c>
      <c r="L33" s="56">
        <f>PREZZI!K5</f>
        <v>180</v>
      </c>
      <c r="M33" s="59">
        <f>K33*L33</f>
        <v>3961297.3134317081</v>
      </c>
      <c r="N33" s="32">
        <f>QUANTITÀ!L8</f>
        <v>22007.207296842822</v>
      </c>
      <c r="O33" s="56">
        <f>PREZZI!L5</f>
        <v>180</v>
      </c>
      <c r="P33" s="59">
        <f>N33*O33</f>
        <v>3961297.3134317081</v>
      </c>
      <c r="Q33" s="31">
        <f>QUANTITÀ!M8</f>
        <v>12575.547026767326</v>
      </c>
      <c r="R33" s="56">
        <f>PREZZI!M5</f>
        <v>180</v>
      </c>
      <c r="S33" s="59">
        <f>Q33*R33</f>
        <v>2263598.4648181186</v>
      </c>
      <c r="T33" s="33">
        <f>B33+E33+H33+K33+N33+Q33</f>
        <v>115275.84774536717</v>
      </c>
      <c r="U33" s="61">
        <f>IFERROR(V33/T33,0)</f>
        <v>180.00000000000003</v>
      </c>
      <c r="V33" s="64">
        <f>D33+G33+J33+M33+P33+S33</f>
        <v>20749652.594166093</v>
      </c>
      <c r="W33" s="34"/>
      <c r="X33" s="33">
        <f>T9+T33</f>
        <v>246271.12927419349</v>
      </c>
      <c r="Y33" s="61">
        <f>IFERROR(Z33/X33,0)</f>
        <v>180.00000000000003</v>
      </c>
      <c r="Z33" s="64">
        <f>V9+V33</f>
        <v>44328803.269354835</v>
      </c>
    </row>
    <row r="34" spans="1:31" x14ac:dyDescent="0.2">
      <c r="A34" s="15" t="s">
        <v>84</v>
      </c>
      <c r="B34" s="30">
        <f>QUANTITÀ!H9</f>
        <v>40493.451725768318</v>
      </c>
      <c r="C34" s="56">
        <f>PREZZI!H6</f>
        <v>180</v>
      </c>
      <c r="D34" s="59">
        <f>B34*C34</f>
        <v>7288821.3106382973</v>
      </c>
      <c r="E34" s="31">
        <f>QUANTITÀ!I9</f>
        <v>22087.337304964538</v>
      </c>
      <c r="F34" s="56">
        <f>PREZZI!I6</f>
        <v>180</v>
      </c>
      <c r="G34" s="59">
        <f>E34*F34</f>
        <v>3975720.7148936167</v>
      </c>
      <c r="H34" s="32">
        <f>QUANTITÀ!J9</f>
        <v>40493.451725768318</v>
      </c>
      <c r="I34" s="56">
        <f>PREZZI!J6</f>
        <v>180</v>
      </c>
      <c r="J34" s="59">
        <f>H34*I34</f>
        <v>7288821.3106382973</v>
      </c>
      <c r="K34" s="32">
        <f>QUANTITÀ!K9</f>
        <v>38652.84028368794</v>
      </c>
      <c r="L34" s="56">
        <f>PREZZI!K6</f>
        <v>180</v>
      </c>
      <c r="M34" s="59">
        <f>K34*L34</f>
        <v>6957511.2510638293</v>
      </c>
      <c r="N34" s="32">
        <f>QUANTITÀ!L9</f>
        <v>38652.84028368794</v>
      </c>
      <c r="O34" s="56">
        <f>PREZZI!L6</f>
        <v>180</v>
      </c>
      <c r="P34" s="59">
        <f>N34*O34</f>
        <v>6957511.2510638293</v>
      </c>
      <c r="Q34" s="31">
        <f>QUANTITÀ!M9</f>
        <v>22087.337304964538</v>
      </c>
      <c r="R34" s="56">
        <f>PREZZI!M6</f>
        <v>180</v>
      </c>
      <c r="S34" s="59">
        <f>Q34*R34</f>
        <v>3975720.7148936167</v>
      </c>
      <c r="T34" s="33">
        <f>B34+E34+H34+K34+N34+Q34</f>
        <v>202467.25862884161</v>
      </c>
      <c r="U34" s="61">
        <f t="shared" ref="U34:U36" si="15">IFERROR(V34/T34,0)</f>
        <v>180</v>
      </c>
      <c r="V34" s="64">
        <f>D34+G34+J34+M34+P34+S34</f>
        <v>36444106.55319149</v>
      </c>
      <c r="W34" s="34"/>
      <c r="X34" s="33">
        <f>T10+T34</f>
        <v>432543.68888888886</v>
      </c>
      <c r="Y34" s="61">
        <f t="shared" ref="Y34:Y36" si="16">IFERROR(Z34/X34,0)</f>
        <v>180</v>
      </c>
      <c r="Z34" s="64">
        <f>V10+V34</f>
        <v>77857864</v>
      </c>
    </row>
    <row r="35" spans="1:31" x14ac:dyDescent="0.2">
      <c r="A35" s="15" t="s">
        <v>85</v>
      </c>
      <c r="B35" s="30">
        <f>QUANTITÀ!H10</f>
        <v>358.86524822695065</v>
      </c>
      <c r="C35" s="56">
        <f>PREZZI!H7</f>
        <v>180</v>
      </c>
      <c r="D35" s="59">
        <f>B35*C35</f>
        <v>64595.744680851116</v>
      </c>
      <c r="E35" s="31">
        <f>QUANTITÀ!I10</f>
        <v>195.744680851064</v>
      </c>
      <c r="F35" s="56">
        <f>PREZZI!I7</f>
        <v>180</v>
      </c>
      <c r="G35" s="59">
        <f>E35*F35</f>
        <v>35234.042553191524</v>
      </c>
      <c r="H35" s="32">
        <f>QUANTITÀ!J10</f>
        <v>358.86524822695065</v>
      </c>
      <c r="I35" s="56">
        <f>PREZZI!J7</f>
        <v>180</v>
      </c>
      <c r="J35" s="59">
        <f>H35*I35</f>
        <v>64595.744680851116</v>
      </c>
      <c r="K35" s="32">
        <f>QUANTITÀ!K10</f>
        <v>342.55319148936201</v>
      </c>
      <c r="L35" s="56">
        <f>PREZZI!K7</f>
        <v>180</v>
      </c>
      <c r="M35" s="59">
        <f>K35*L35</f>
        <v>61659.574468085164</v>
      </c>
      <c r="N35" s="32">
        <f>QUANTITÀ!L10</f>
        <v>342.55319148936201</v>
      </c>
      <c r="O35" s="56">
        <f>PREZZI!L7</f>
        <v>180</v>
      </c>
      <c r="P35" s="59">
        <f>N35*O35</f>
        <v>61659.574468085164</v>
      </c>
      <c r="Q35" s="31">
        <f>QUANTITÀ!M10</f>
        <v>195.744680851064</v>
      </c>
      <c r="R35" s="56">
        <f>PREZZI!M7</f>
        <v>180</v>
      </c>
      <c r="S35" s="59">
        <f>Q35*R35</f>
        <v>35234.042553191524</v>
      </c>
      <c r="T35" s="33">
        <f>B35+E35+H35+K35+N35+Q35</f>
        <v>1794.3262411347532</v>
      </c>
      <c r="U35" s="61">
        <f t="shared" si="15"/>
        <v>180.00000000000003</v>
      </c>
      <c r="V35" s="64">
        <f>D35+G35+J35+M35+P35+S35</f>
        <v>322978.72340425564</v>
      </c>
      <c r="W35" s="34"/>
      <c r="X35" s="33">
        <f>T11+T35</f>
        <v>3833.3333333333367</v>
      </c>
      <c r="Y35" s="61">
        <f t="shared" si="16"/>
        <v>180.00000000000003</v>
      </c>
      <c r="Z35" s="64">
        <f>V11+V35</f>
        <v>690000.0000000007</v>
      </c>
    </row>
    <row r="36" spans="1:31" ht="17" thickBot="1" x14ac:dyDescent="0.25">
      <c r="A36" s="35" t="s">
        <v>73</v>
      </c>
      <c r="B36" s="36">
        <f>SUM(B33:B35)</f>
        <v>63907.486523068706</v>
      </c>
      <c r="C36" s="57">
        <f>D36/B36</f>
        <v>180</v>
      </c>
      <c r="D36" s="60">
        <f>SUM(D33:D35)</f>
        <v>11503347.574152367</v>
      </c>
      <c r="E36" s="37">
        <f>SUM(E33:E35)</f>
        <v>34858.629012582933</v>
      </c>
      <c r="F36" s="57">
        <f>G36/E36</f>
        <v>179.99999999999994</v>
      </c>
      <c r="G36" s="60">
        <f>SUM(G33:G35)</f>
        <v>6274553.2222649259</v>
      </c>
      <c r="H36" s="38">
        <f>SUM(H33:H35)</f>
        <v>63907.486523068706</v>
      </c>
      <c r="I36" s="57">
        <f>J36/H36</f>
        <v>180</v>
      </c>
      <c r="J36" s="60">
        <f>SUM(J33:J35)</f>
        <v>11503347.574152367</v>
      </c>
      <c r="K36" s="38">
        <f>SUM(K33:K35)</f>
        <v>61002.600772020131</v>
      </c>
      <c r="L36" s="57">
        <f>M36/K36</f>
        <v>180</v>
      </c>
      <c r="M36" s="60">
        <f>SUM(M33:M35)</f>
        <v>10980468.138963623</v>
      </c>
      <c r="N36" s="38">
        <f>SUM(N33:N35)</f>
        <v>61002.600772020131</v>
      </c>
      <c r="O36" s="57">
        <f>P36/N36</f>
        <v>180</v>
      </c>
      <c r="P36" s="60">
        <f>SUM(P33:P35)</f>
        <v>10980468.138963623</v>
      </c>
      <c r="Q36" s="37">
        <f>SUM(Q33:Q35)</f>
        <v>34858.629012582933</v>
      </c>
      <c r="R36" s="57">
        <f>S36/Q36</f>
        <v>179.99999999999994</v>
      </c>
      <c r="S36" s="60">
        <f>SUM(S33:S35)</f>
        <v>6274553.2222649259</v>
      </c>
      <c r="T36" s="36">
        <f>SUM(T33:T35)</f>
        <v>319537.43261534348</v>
      </c>
      <c r="U36" s="62">
        <f t="shared" si="15"/>
        <v>180.00000000000006</v>
      </c>
      <c r="V36" s="65">
        <f>SUM(V33:V35)</f>
        <v>57516737.870761842</v>
      </c>
      <c r="W36" s="39"/>
      <c r="X36" s="36">
        <f>SUM(X33:X35)</f>
        <v>682648.15149641572</v>
      </c>
      <c r="Y36" s="62">
        <f t="shared" si="16"/>
        <v>180</v>
      </c>
      <c r="Z36" s="65">
        <f>SUM(Z33:Z35)</f>
        <v>122876667.26935484</v>
      </c>
      <c r="AB36" s="46"/>
      <c r="AC36" s="46"/>
      <c r="AD36" s="46"/>
      <c r="AE36" s="41"/>
    </row>
    <row r="37" spans="1:31" x14ac:dyDescent="0.2">
      <c r="A37" s="15"/>
      <c r="B37" s="15"/>
      <c r="C37" s="56"/>
      <c r="D37" s="59"/>
      <c r="F37" s="56"/>
      <c r="G37" s="59"/>
      <c r="H37" s="26"/>
      <c r="I37" s="56"/>
      <c r="J37" s="59"/>
      <c r="K37" s="26"/>
      <c r="L37" s="56"/>
      <c r="M37" s="59"/>
      <c r="N37" s="26"/>
      <c r="O37" s="56"/>
      <c r="P37" s="59"/>
      <c r="R37" s="56"/>
      <c r="S37" s="59"/>
      <c r="T37" s="27"/>
      <c r="U37" s="63"/>
      <c r="V37" s="64"/>
      <c r="X37" s="27"/>
      <c r="Y37" s="63"/>
      <c r="Z37" s="64"/>
      <c r="AB37" s="46"/>
      <c r="AC37" s="46"/>
      <c r="AD37" s="46"/>
    </row>
    <row r="38" spans="1:31" x14ac:dyDescent="0.2">
      <c r="A38" s="24"/>
      <c r="B38" s="15"/>
      <c r="C38" s="56"/>
      <c r="D38" s="59"/>
      <c r="F38" s="56"/>
      <c r="G38" s="59"/>
      <c r="H38" s="26"/>
      <c r="I38" s="56"/>
      <c r="J38" s="59"/>
      <c r="K38" s="26"/>
      <c r="L38" s="56"/>
      <c r="M38" s="59"/>
      <c r="N38" s="26"/>
      <c r="O38" s="56"/>
      <c r="P38" s="59"/>
      <c r="R38" s="56"/>
      <c r="S38" s="59"/>
      <c r="T38" s="27"/>
      <c r="U38" s="63"/>
      <c r="V38" s="64"/>
      <c r="X38" s="27"/>
      <c r="Y38" s="63"/>
      <c r="Z38" s="64"/>
      <c r="AB38" s="46"/>
      <c r="AC38" s="46"/>
      <c r="AD38" s="46"/>
    </row>
    <row r="39" spans="1:31" x14ac:dyDescent="0.2">
      <c r="A39" s="15" t="s">
        <v>83</v>
      </c>
      <c r="B39" s="30">
        <f>QUANTITÀ!H15</f>
        <v>1464.6813595881949</v>
      </c>
      <c r="C39" s="56">
        <f>PREZZI!H12</f>
        <v>500</v>
      </c>
      <c r="D39" s="59">
        <f>B39*C39</f>
        <v>732340.67979409744</v>
      </c>
      <c r="E39" s="31">
        <f>QUANTITÀ!I15</f>
        <v>798.91710522992457</v>
      </c>
      <c r="F39" s="56">
        <f>PREZZI!I12</f>
        <v>500</v>
      </c>
      <c r="G39" s="59">
        <f>E39*F39</f>
        <v>399458.55261496227</v>
      </c>
      <c r="H39" s="32">
        <f>QUANTITÀ!J15</f>
        <v>1464.6813595881949</v>
      </c>
      <c r="I39" s="56">
        <f>PREZZI!J12</f>
        <v>500</v>
      </c>
      <c r="J39" s="59">
        <f>H39*I39</f>
        <v>732340.67979409744</v>
      </c>
      <c r="K39" s="32">
        <f>QUANTITÀ!K15</f>
        <v>1398.1049341523681</v>
      </c>
      <c r="L39" s="56">
        <f>PREZZI!K12</f>
        <v>500</v>
      </c>
      <c r="M39" s="59">
        <f>K39*L39</f>
        <v>699052.467076184</v>
      </c>
      <c r="N39" s="32">
        <f>QUANTITÀ!L15</f>
        <v>1398.1049341523681</v>
      </c>
      <c r="O39" s="56">
        <f>PREZZI!L12</f>
        <v>500</v>
      </c>
      <c r="P39" s="59">
        <f>N39*O39</f>
        <v>699052.467076184</v>
      </c>
      <c r="Q39" s="31">
        <f>QUANTITÀ!M15</f>
        <v>798.91710522992457</v>
      </c>
      <c r="R39" s="56">
        <f>PREZZI!M12</f>
        <v>500</v>
      </c>
      <c r="S39" s="59">
        <f>Q39*R39</f>
        <v>399458.55261496227</v>
      </c>
      <c r="T39" s="33">
        <f>B39+E39+H39+K39+N39+Q39</f>
        <v>7323.4067979409756</v>
      </c>
      <c r="U39" s="61">
        <f>IFERROR(V39/T39,0)</f>
        <v>500</v>
      </c>
      <c r="V39" s="64">
        <f>D39+G39+J39+M39+P39+S39</f>
        <v>3661703.398970488</v>
      </c>
      <c r="W39" s="34"/>
      <c r="X39" s="33">
        <f>T15+T39</f>
        <v>15645.459977419358</v>
      </c>
      <c r="Y39" s="61">
        <f>IFERROR(Z39/X39,0)</f>
        <v>500</v>
      </c>
      <c r="Z39" s="64">
        <f>V15+V39</f>
        <v>7822729.9887096789</v>
      </c>
      <c r="AB39" s="46"/>
      <c r="AC39" s="46"/>
      <c r="AD39" s="46"/>
    </row>
    <row r="40" spans="1:31" x14ac:dyDescent="0.2">
      <c r="A40" s="15" t="s">
        <v>84</v>
      </c>
      <c r="B40" s="30">
        <f>QUANTITÀ!H16</f>
        <v>0</v>
      </c>
      <c r="C40" s="56">
        <f>PREZZI!H13</f>
        <v>500</v>
      </c>
      <c r="D40" s="59">
        <f>B40*C40</f>
        <v>0</v>
      </c>
      <c r="E40" s="31">
        <f>QUANTITÀ!I16</f>
        <v>0</v>
      </c>
      <c r="F40" s="56">
        <f>PREZZI!I13</f>
        <v>500</v>
      </c>
      <c r="G40" s="59">
        <f>E40*F40</f>
        <v>0</v>
      </c>
      <c r="H40" s="32">
        <f>QUANTITÀ!J16</f>
        <v>0</v>
      </c>
      <c r="I40" s="56">
        <f>PREZZI!J13</f>
        <v>500</v>
      </c>
      <c r="J40" s="59">
        <f>H40*I40</f>
        <v>0</v>
      </c>
      <c r="K40" s="32">
        <f>QUANTITÀ!K16</f>
        <v>0</v>
      </c>
      <c r="L40" s="56">
        <f>PREZZI!K13</f>
        <v>500</v>
      </c>
      <c r="M40" s="59">
        <f>K40*L40</f>
        <v>0</v>
      </c>
      <c r="N40" s="32">
        <f>QUANTITÀ!L16</f>
        <v>0</v>
      </c>
      <c r="O40" s="56">
        <f>PREZZI!L13</f>
        <v>500</v>
      </c>
      <c r="P40" s="59">
        <f>N40*O40</f>
        <v>0</v>
      </c>
      <c r="Q40" s="31">
        <f>QUANTITÀ!M16</f>
        <v>0</v>
      </c>
      <c r="R40" s="56">
        <f>PREZZI!M13</f>
        <v>500</v>
      </c>
      <c r="S40" s="59">
        <f>Q40*R40</f>
        <v>0</v>
      </c>
      <c r="T40" s="33">
        <f>B40+E40+H40+K40+N40+Q40</f>
        <v>0</v>
      </c>
      <c r="U40" s="61">
        <f t="shared" ref="U40:U42" si="17">IFERROR(V40/T40,0)</f>
        <v>0</v>
      </c>
      <c r="V40" s="64">
        <f>D40+G40+J40+M40+P40+S40</f>
        <v>0</v>
      </c>
      <c r="W40" s="34"/>
      <c r="X40" s="33">
        <f>T16+T40</f>
        <v>0</v>
      </c>
      <c r="Y40" s="61">
        <f t="shared" ref="Y40:Y42" si="18">IFERROR(Z40/X40,0)</f>
        <v>0</v>
      </c>
      <c r="Z40" s="64">
        <f>V16+V40</f>
        <v>0</v>
      </c>
      <c r="AB40" s="46"/>
      <c r="AC40" s="46"/>
      <c r="AD40" s="46"/>
    </row>
    <row r="41" spans="1:31" x14ac:dyDescent="0.2">
      <c r="A41" s="15" t="s">
        <v>85</v>
      </c>
      <c r="B41" s="30">
        <f>QUANTITÀ!H17</f>
        <v>2454.6382978723404</v>
      </c>
      <c r="C41" s="56">
        <f>PREZZI!H14</f>
        <v>500</v>
      </c>
      <c r="D41" s="59">
        <f>B41*C41</f>
        <v>1227319.1489361702</v>
      </c>
      <c r="E41" s="31">
        <f>QUANTITÀ!I17</f>
        <v>1338.8936170212767</v>
      </c>
      <c r="F41" s="56">
        <f>PREZZI!I14</f>
        <v>500</v>
      </c>
      <c r="G41" s="59">
        <f>E41*F41</f>
        <v>669446.80851063831</v>
      </c>
      <c r="H41" s="32">
        <f>QUANTITÀ!J17</f>
        <v>2454.6382978723404</v>
      </c>
      <c r="I41" s="56">
        <f>PREZZI!J14</f>
        <v>500</v>
      </c>
      <c r="J41" s="59">
        <f>H41*I41</f>
        <v>1227319.1489361702</v>
      </c>
      <c r="K41" s="32">
        <f>QUANTITÀ!K17</f>
        <v>2343.0638297872342</v>
      </c>
      <c r="L41" s="56">
        <f>PREZZI!K14</f>
        <v>500</v>
      </c>
      <c r="M41" s="59">
        <f>K41*L41</f>
        <v>1171531.9148936172</v>
      </c>
      <c r="N41" s="32">
        <f>QUANTITÀ!L17</f>
        <v>2343.0638297872342</v>
      </c>
      <c r="O41" s="56">
        <f>PREZZI!L14</f>
        <v>500</v>
      </c>
      <c r="P41" s="59">
        <f>N41*O41</f>
        <v>1171531.9148936172</v>
      </c>
      <c r="Q41" s="31">
        <f>QUANTITÀ!M17</f>
        <v>1338.8936170212767</v>
      </c>
      <c r="R41" s="56">
        <f>PREZZI!M14</f>
        <v>500</v>
      </c>
      <c r="S41" s="59">
        <f>Q41*R41</f>
        <v>669446.80851063831</v>
      </c>
      <c r="T41" s="33">
        <f>B41+E41+H41+K41+N41+Q41</f>
        <v>12273.191489361701</v>
      </c>
      <c r="U41" s="61">
        <f t="shared" si="17"/>
        <v>500.00000000000006</v>
      </c>
      <c r="V41" s="64">
        <f>D41+G41+J41+M41+P41+S41</f>
        <v>6136595.7446808517</v>
      </c>
      <c r="W41" s="34"/>
      <c r="X41" s="33">
        <f>T17+T41</f>
        <v>26220</v>
      </c>
      <c r="Y41" s="61">
        <f t="shared" si="18"/>
        <v>500</v>
      </c>
      <c r="Z41" s="64">
        <f>V17+V41</f>
        <v>13110000</v>
      </c>
      <c r="AB41" s="46"/>
      <c r="AC41" s="46"/>
      <c r="AD41" s="46"/>
    </row>
    <row r="42" spans="1:31" ht="17" thickBot="1" x14ac:dyDescent="0.25">
      <c r="A42" s="35" t="s">
        <v>74</v>
      </c>
      <c r="B42" s="36">
        <f>SUM(B39:B41)</f>
        <v>3919.3196574605354</v>
      </c>
      <c r="C42" s="57">
        <f>D42/B42</f>
        <v>499.99999999999994</v>
      </c>
      <c r="D42" s="60">
        <f>SUM(D39:D41)</f>
        <v>1959659.8287302675</v>
      </c>
      <c r="E42" s="37">
        <f>SUM(E39:E41)</f>
        <v>2137.8107222512012</v>
      </c>
      <c r="F42" s="57">
        <f>G42/E42</f>
        <v>499.99999999999994</v>
      </c>
      <c r="G42" s="60">
        <f>SUM(G39:G41)</f>
        <v>1068905.3611256005</v>
      </c>
      <c r="H42" s="38">
        <f>SUM(H39:H41)</f>
        <v>3919.3196574605354</v>
      </c>
      <c r="I42" s="57">
        <f>J42/H42</f>
        <v>499.99999999999994</v>
      </c>
      <c r="J42" s="60">
        <f>SUM(J39:J41)</f>
        <v>1959659.8287302675</v>
      </c>
      <c r="K42" s="38">
        <f>SUM(K39:K41)</f>
        <v>3741.1687639396023</v>
      </c>
      <c r="L42" s="57">
        <f>M42/K42</f>
        <v>500</v>
      </c>
      <c r="M42" s="60">
        <f>SUM(M39:M41)</f>
        <v>1870584.3819698012</v>
      </c>
      <c r="N42" s="38">
        <f>SUM(N39:N41)</f>
        <v>3741.1687639396023</v>
      </c>
      <c r="O42" s="57">
        <f>P42/N42</f>
        <v>500</v>
      </c>
      <c r="P42" s="60">
        <f>SUM(P39:P41)</f>
        <v>1870584.3819698012</v>
      </c>
      <c r="Q42" s="37">
        <f>SUM(Q39:Q41)</f>
        <v>2137.8107222512012</v>
      </c>
      <c r="R42" s="57">
        <f>S42/Q42</f>
        <v>499.99999999999994</v>
      </c>
      <c r="S42" s="60">
        <f>SUM(S39:S41)</f>
        <v>1068905.3611256005</v>
      </c>
      <c r="T42" s="36">
        <f>SUM(T39:T41)</f>
        <v>19596.598287302677</v>
      </c>
      <c r="U42" s="62">
        <f t="shared" si="17"/>
        <v>500.00000000000011</v>
      </c>
      <c r="V42" s="65">
        <f>SUM(V39:V41)</f>
        <v>9798299.1436513402</v>
      </c>
      <c r="W42" s="39"/>
      <c r="X42" s="36">
        <f>SUM(X39:X41)</f>
        <v>41865.459977419356</v>
      </c>
      <c r="Y42" s="62">
        <f t="shared" si="18"/>
        <v>500.00000000000006</v>
      </c>
      <c r="Z42" s="65">
        <f>SUM(Z39:Z41)</f>
        <v>20932729.988709681</v>
      </c>
      <c r="AB42" s="46"/>
      <c r="AC42" s="46"/>
      <c r="AD42" s="46"/>
      <c r="AE42" s="41"/>
    </row>
    <row r="43" spans="1:31" x14ac:dyDescent="0.2">
      <c r="A43" s="15"/>
      <c r="B43" s="15"/>
      <c r="C43" s="56"/>
      <c r="D43" s="59"/>
      <c r="F43" s="56"/>
      <c r="G43" s="59"/>
      <c r="H43" s="26"/>
      <c r="I43" s="56"/>
      <c r="J43" s="59"/>
      <c r="K43" s="26"/>
      <c r="L43" s="56"/>
      <c r="M43" s="59"/>
      <c r="N43" s="26"/>
      <c r="O43" s="56"/>
      <c r="P43" s="59"/>
      <c r="R43" s="56"/>
      <c r="S43" s="59"/>
      <c r="T43" s="27"/>
      <c r="U43" s="63"/>
      <c r="V43" s="64"/>
      <c r="X43" s="27"/>
      <c r="Y43" s="63"/>
      <c r="Z43" s="64"/>
    </row>
    <row r="44" spans="1:31" x14ac:dyDescent="0.2">
      <c r="A44" s="24"/>
      <c r="B44" s="15"/>
      <c r="C44" s="56"/>
      <c r="D44" s="59"/>
      <c r="F44" s="56"/>
      <c r="G44" s="59"/>
      <c r="H44" s="26"/>
      <c r="I44" s="56"/>
      <c r="J44" s="59"/>
      <c r="K44" s="26"/>
      <c r="L44" s="56"/>
      <c r="M44" s="59"/>
      <c r="N44" s="26"/>
      <c r="O44" s="56"/>
      <c r="P44" s="59"/>
      <c r="R44" s="56"/>
      <c r="S44" s="59"/>
      <c r="T44" s="27"/>
      <c r="U44" s="63"/>
      <c r="V44" s="64"/>
      <c r="X44" s="27"/>
      <c r="Y44" s="63"/>
      <c r="Z44" s="64"/>
    </row>
    <row r="45" spans="1:31" x14ac:dyDescent="0.2">
      <c r="A45" s="15" t="s">
        <v>83</v>
      </c>
      <c r="B45" s="40">
        <f>B33+B39</f>
        <v>24519.850908661629</v>
      </c>
      <c r="C45" s="58">
        <f>D45/B45</f>
        <v>199.11504424778761</v>
      </c>
      <c r="D45" s="59">
        <f>D33+D39</f>
        <v>4882271.1986273155</v>
      </c>
      <c r="E45" s="40">
        <f>E33+E39</f>
        <v>13374.464131997251</v>
      </c>
      <c r="F45" s="58">
        <f>G45/E45</f>
        <v>199.11504424778761</v>
      </c>
      <c r="G45" s="59">
        <f>G33+G39</f>
        <v>2663057.0174330808</v>
      </c>
      <c r="H45" s="40">
        <f>H33+H39</f>
        <v>24519.850908661629</v>
      </c>
      <c r="I45" s="58">
        <f>J45/H45</f>
        <v>199.11504424778761</v>
      </c>
      <c r="J45" s="59">
        <f>J33+J39</f>
        <v>4882271.1986273155</v>
      </c>
      <c r="K45" s="40">
        <f>K33+K39</f>
        <v>23405.31223099519</v>
      </c>
      <c r="L45" s="58">
        <f>M45/K45</f>
        <v>199.11504424778764</v>
      </c>
      <c r="M45" s="59">
        <f>M33+M39</f>
        <v>4660349.7805078924</v>
      </c>
      <c r="N45" s="40">
        <f>N33+N39</f>
        <v>23405.31223099519</v>
      </c>
      <c r="O45" s="58">
        <f>P45/N45</f>
        <v>199.11504424778764</v>
      </c>
      <c r="P45" s="59">
        <f>P33+P39</f>
        <v>4660349.7805078924</v>
      </c>
      <c r="Q45" s="40">
        <f>Q33+Q39</f>
        <v>13374.464131997251</v>
      </c>
      <c r="R45" s="58">
        <f>S45/Q45</f>
        <v>199.11504424778761</v>
      </c>
      <c r="S45" s="59">
        <f>S33+S39</f>
        <v>2663057.0174330808</v>
      </c>
      <c r="T45" s="33">
        <f>B45+E45+H45+K45+N45+Q45</f>
        <v>122599.25454330814</v>
      </c>
      <c r="U45" s="61">
        <f>IFERROR(V45/T45,0)</f>
        <v>199.11504424778761</v>
      </c>
      <c r="V45" s="64">
        <f>D45+G45+J45+M45+P45+S45</f>
        <v>24411355.993136577</v>
      </c>
      <c r="X45" s="33">
        <f>T21+T45</f>
        <v>261916.58925161284</v>
      </c>
      <c r="Y45" s="61">
        <f>IFERROR(Z45/X45,0)</f>
        <v>199.11504424778764</v>
      </c>
      <c r="Z45" s="64">
        <f>V21+V45</f>
        <v>52151533.258064508</v>
      </c>
    </row>
    <row r="46" spans="1:31" x14ac:dyDescent="0.2">
      <c r="A46" s="15" t="s">
        <v>84</v>
      </c>
      <c r="B46" s="40">
        <f t="shared" ref="B46:B47" si="19">B34+B40</f>
        <v>40493.451725768318</v>
      </c>
      <c r="C46" s="58">
        <f>D46/B46</f>
        <v>180</v>
      </c>
      <c r="D46" s="59">
        <f t="shared" ref="D46:E47" si="20">D34+D40</f>
        <v>7288821.3106382973</v>
      </c>
      <c r="E46" s="40">
        <f t="shared" si="20"/>
        <v>22087.337304964538</v>
      </c>
      <c r="F46" s="58">
        <f>G46/E46</f>
        <v>180</v>
      </c>
      <c r="G46" s="59">
        <f t="shared" ref="G46:H47" si="21">G34+G40</f>
        <v>3975720.7148936167</v>
      </c>
      <c r="H46" s="40">
        <f t="shared" si="21"/>
        <v>40493.451725768318</v>
      </c>
      <c r="I46" s="58">
        <f>J46/H46</f>
        <v>180</v>
      </c>
      <c r="J46" s="59">
        <f t="shared" ref="J46:K47" si="22">J34+J40</f>
        <v>7288821.3106382973</v>
      </c>
      <c r="K46" s="40">
        <f t="shared" si="22"/>
        <v>38652.84028368794</v>
      </c>
      <c r="L46" s="58">
        <f>M46/K46</f>
        <v>180</v>
      </c>
      <c r="M46" s="59">
        <f t="shared" ref="M46:N47" si="23">M34+M40</f>
        <v>6957511.2510638293</v>
      </c>
      <c r="N46" s="40">
        <f t="shared" si="23"/>
        <v>38652.84028368794</v>
      </c>
      <c r="O46" s="58">
        <f>P46/N46</f>
        <v>180</v>
      </c>
      <c r="P46" s="59">
        <f t="shared" ref="P46:Q47" si="24">P34+P40</f>
        <v>6957511.2510638293</v>
      </c>
      <c r="Q46" s="40">
        <f t="shared" si="24"/>
        <v>22087.337304964538</v>
      </c>
      <c r="R46" s="58">
        <f>S46/Q46</f>
        <v>180</v>
      </c>
      <c r="S46" s="59">
        <f t="shared" ref="S46" si="25">S34+S40</f>
        <v>3975720.7148936167</v>
      </c>
      <c r="T46" s="33">
        <f>B46+E46+H46+K46+N46+Q46</f>
        <v>202467.25862884161</v>
      </c>
      <c r="U46" s="61">
        <f t="shared" ref="U46:U48" si="26">IFERROR(V46/T46,0)</f>
        <v>180</v>
      </c>
      <c r="V46" s="64">
        <f>D46+G46+J46+M46+P46+S46</f>
        <v>36444106.55319149</v>
      </c>
      <c r="X46" s="33">
        <f>T22+T46</f>
        <v>432543.68888888886</v>
      </c>
      <c r="Y46" s="61">
        <f t="shared" ref="Y46:Y48" si="27">IFERROR(Z46/X46,0)</f>
        <v>180</v>
      </c>
      <c r="Z46" s="64">
        <f>V22+V46</f>
        <v>77857864</v>
      </c>
    </row>
    <row r="47" spans="1:31" x14ac:dyDescent="0.2">
      <c r="A47" s="15" t="s">
        <v>85</v>
      </c>
      <c r="B47" s="40">
        <f t="shared" si="19"/>
        <v>2813.5035460992913</v>
      </c>
      <c r="C47" s="58">
        <f>D47/B47</f>
        <v>459.18367346938771</v>
      </c>
      <c r="D47" s="59">
        <f t="shared" ref="D47" si="28">D35+D41</f>
        <v>1291914.8936170214</v>
      </c>
      <c r="E47" s="40">
        <f t="shared" si="20"/>
        <v>1534.6382978723407</v>
      </c>
      <c r="F47" s="58">
        <f>G47/E47</f>
        <v>459.18367346938771</v>
      </c>
      <c r="G47" s="59">
        <f t="shared" ref="G47" si="29">G35+G41</f>
        <v>704680.85106382985</v>
      </c>
      <c r="H47" s="40">
        <f t="shared" si="21"/>
        <v>2813.5035460992913</v>
      </c>
      <c r="I47" s="58">
        <f>J47/H47</f>
        <v>459.18367346938771</v>
      </c>
      <c r="J47" s="59">
        <f t="shared" ref="J47" si="30">J35+J41</f>
        <v>1291914.8936170214</v>
      </c>
      <c r="K47" s="40">
        <f t="shared" si="22"/>
        <v>2685.6170212765965</v>
      </c>
      <c r="L47" s="58">
        <f>M47/K47</f>
        <v>459.18367346938766</v>
      </c>
      <c r="M47" s="59">
        <f t="shared" ref="M47" si="31">M35+M41</f>
        <v>1233191.4893617022</v>
      </c>
      <c r="N47" s="40">
        <f t="shared" si="23"/>
        <v>2685.6170212765965</v>
      </c>
      <c r="O47" s="58">
        <f>P47/N47</f>
        <v>459.18367346938766</v>
      </c>
      <c r="P47" s="59">
        <f t="shared" ref="P47" si="32">P35+P41</f>
        <v>1233191.4893617022</v>
      </c>
      <c r="Q47" s="40">
        <f t="shared" si="24"/>
        <v>1534.6382978723407</v>
      </c>
      <c r="R47" s="58">
        <f>S47/Q47</f>
        <v>459.18367346938771</v>
      </c>
      <c r="S47" s="59">
        <f t="shared" ref="S47" si="33">S35+S41</f>
        <v>704680.85106382985</v>
      </c>
      <c r="T47" s="33">
        <f>B47+E47+H47+K47+N47+Q47</f>
        <v>14067.517730496456</v>
      </c>
      <c r="U47" s="61">
        <f t="shared" si="26"/>
        <v>459.18367346938777</v>
      </c>
      <c r="V47" s="64">
        <f>D47+G47+J47+M47+P47+S47</f>
        <v>6459574.4680851074</v>
      </c>
      <c r="X47" s="33">
        <f>T23+T47</f>
        <v>30053.333333333339</v>
      </c>
      <c r="Y47" s="61">
        <f t="shared" si="27"/>
        <v>459.18367346938777</v>
      </c>
      <c r="Z47" s="64">
        <f>V23+V47</f>
        <v>13800000.000000004</v>
      </c>
    </row>
    <row r="48" spans="1:31" ht="17" thickBot="1" x14ac:dyDescent="0.25">
      <c r="A48" s="35" t="s">
        <v>3</v>
      </c>
      <c r="B48" s="36">
        <f>SUM(B45:B47)</f>
        <v>67826.806180529238</v>
      </c>
      <c r="C48" s="57">
        <f>D48/B48</f>
        <v>198.49095307612174</v>
      </c>
      <c r="D48" s="60">
        <f>SUM(D45:D47)</f>
        <v>13463007.402882634</v>
      </c>
      <c r="E48" s="36">
        <f>SUM(E45:E47)</f>
        <v>36996.43973483413</v>
      </c>
      <c r="F48" s="57">
        <f>G48/E48</f>
        <v>198.49095307612174</v>
      </c>
      <c r="G48" s="60">
        <f>SUM(G45:G47)</f>
        <v>7343458.5833905274</v>
      </c>
      <c r="H48" s="36">
        <f>SUM(H45:H47)</f>
        <v>67826.806180529238</v>
      </c>
      <c r="I48" s="57">
        <f>J48/H48</f>
        <v>198.49095307612174</v>
      </c>
      <c r="J48" s="60">
        <f>SUM(J45:J47)</f>
        <v>13463007.402882634</v>
      </c>
      <c r="K48" s="36">
        <f>SUM(K45:K47)</f>
        <v>64743.76953595972</v>
      </c>
      <c r="L48" s="57">
        <f>M48/K48</f>
        <v>198.49095307612177</v>
      </c>
      <c r="M48" s="60">
        <f>SUM(M45:M47)</f>
        <v>12851052.520933423</v>
      </c>
      <c r="N48" s="36">
        <f>SUM(N45:N47)</f>
        <v>64743.76953595972</v>
      </c>
      <c r="O48" s="57">
        <f>P48/N48</f>
        <v>198.49095307612177</v>
      </c>
      <c r="P48" s="60">
        <f>SUM(P45:P47)</f>
        <v>12851052.520933423</v>
      </c>
      <c r="Q48" s="36">
        <f>SUM(Q45:Q47)</f>
        <v>36996.43973483413</v>
      </c>
      <c r="R48" s="57">
        <f>S48/Q48</f>
        <v>198.49095307612174</v>
      </c>
      <c r="S48" s="60">
        <f>SUM(S45:S47)</f>
        <v>7343458.5833905274</v>
      </c>
      <c r="T48" s="36">
        <f>SUM(T45:T47)</f>
        <v>339134.03090264625</v>
      </c>
      <c r="U48" s="62">
        <f t="shared" si="26"/>
        <v>198.49095307612174</v>
      </c>
      <c r="V48" s="65">
        <f>SUM(V45:V47)</f>
        <v>67315037.014413178</v>
      </c>
      <c r="X48" s="36">
        <f>SUM(X45:X47)</f>
        <v>724513.61147383507</v>
      </c>
      <c r="Y48" s="62">
        <f t="shared" si="27"/>
        <v>198.49095307612177</v>
      </c>
      <c r="Z48" s="65">
        <f>SUM(Z45:Z47)</f>
        <v>143809397.25806451</v>
      </c>
    </row>
    <row r="50" spans="26:26" x14ac:dyDescent="0.2">
      <c r="Z50" s="73">
        <f>Z48-'Tab 2'!N16</f>
        <v>0</v>
      </c>
    </row>
  </sheetData>
  <mergeCells count="17">
    <mergeCell ref="K30:M30"/>
    <mergeCell ref="N30:P30"/>
    <mergeCell ref="Q30:S30"/>
    <mergeCell ref="T30:V30"/>
    <mergeCell ref="X29:Z30"/>
    <mergeCell ref="B29:V29"/>
    <mergeCell ref="B30:D30"/>
    <mergeCell ref="E30:G30"/>
    <mergeCell ref="H30:J30"/>
    <mergeCell ref="B5:V5"/>
    <mergeCell ref="B6:D6"/>
    <mergeCell ref="E6:G6"/>
    <mergeCell ref="H6:J6"/>
    <mergeCell ref="K6:M6"/>
    <mergeCell ref="N6:P6"/>
    <mergeCell ref="Q6:S6"/>
    <mergeCell ref="T6:V6"/>
  </mergeCells>
  <phoneticPr fontId="4" type="noConversion"/>
  <pageMargins left="0.25" right="0.25" top="0.75" bottom="0.75" header="0.3" footer="0.3"/>
  <pageSetup paperSize="9" scale="43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N18"/>
  <sheetViews>
    <sheetView zoomScale="178" zoomScaleNormal="120" workbookViewId="0">
      <selection activeCell="B5" sqref="B5"/>
    </sheetView>
  </sheetViews>
  <sheetFormatPr baseColWidth="10" defaultColWidth="9.1640625" defaultRowHeight="16" x14ac:dyDescent="0.2"/>
  <cols>
    <col min="1" max="1" width="18.5" style="1" customWidth="1"/>
    <col min="2" max="13" width="8.6640625" style="1" customWidth="1"/>
    <col min="14" max="14" width="10" style="1" customWidth="1"/>
    <col min="15" max="15" width="9.1640625" style="1"/>
    <col min="16" max="16" width="13.6640625" style="1" bestFit="1" customWidth="1"/>
    <col min="17" max="16384" width="9.1640625" style="1"/>
  </cols>
  <sheetData>
    <row r="2" spans="1:14" x14ac:dyDescent="0.2">
      <c r="A2" s="70" t="s">
        <v>81</v>
      </c>
    </row>
    <row r="3" spans="1:14" ht="17" thickBot="1" x14ac:dyDescent="0.25"/>
    <row r="4" spans="1:14" x14ac:dyDescent="0.2"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</row>
    <row r="5" spans="1:14" x14ac:dyDescent="0.2">
      <c r="B5" s="201">
        <v>18</v>
      </c>
      <c r="C5" s="201">
        <v>20</v>
      </c>
      <c r="D5" s="201">
        <v>23</v>
      </c>
      <c r="E5" s="201">
        <v>21</v>
      </c>
      <c r="F5" s="201">
        <v>21</v>
      </c>
      <c r="G5" s="201">
        <v>22</v>
      </c>
      <c r="H5" s="201">
        <v>22</v>
      </c>
      <c r="I5" s="201">
        <v>12</v>
      </c>
      <c r="J5" s="201">
        <v>22</v>
      </c>
      <c r="K5" s="201">
        <v>21</v>
      </c>
      <c r="L5" s="201">
        <v>21</v>
      </c>
      <c r="M5" s="201">
        <v>12</v>
      </c>
      <c r="N5" s="1">
        <f>SUM(B5:M5)</f>
        <v>235</v>
      </c>
    </row>
    <row r="6" spans="1:14" ht="17" thickBot="1" x14ac:dyDescent="0.25"/>
    <row r="7" spans="1:14" x14ac:dyDescent="0.2">
      <c r="A7" s="2" t="s">
        <v>73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5</v>
      </c>
    </row>
    <row r="8" spans="1:14" x14ac:dyDescent="0.2">
      <c r="A8" s="4" t="s">
        <v>50</v>
      </c>
      <c r="B8" s="202">
        <f>IFERROR('Tab 2'!$C$14/$N$5*B$5,0)</f>
        <v>18863.320540150991</v>
      </c>
      <c r="C8" s="202">
        <f>IFERROR('Tab 2'!$C$14/$N$5*C$5,0)</f>
        <v>20959.245044612213</v>
      </c>
      <c r="D8" s="202">
        <f>IFERROR('Tab 2'!$C$14/$N$5*D$5,0)</f>
        <v>24103.131801304044</v>
      </c>
      <c r="E8" s="202">
        <f>IFERROR('Tab 2'!$C$14/$N$5*E$5,0)</f>
        <v>22007.207296842822</v>
      </c>
      <c r="F8" s="202">
        <f>IFERROR('Tab 2'!$C$14/$N$5*F$5,0)</f>
        <v>22007.207296842822</v>
      </c>
      <c r="G8" s="202">
        <f>IFERROR('Tab 2'!$C$14/$N$5*G$5,0)</f>
        <v>23055.169549073435</v>
      </c>
      <c r="H8" s="202">
        <f>IFERROR('Tab 2'!$C$14/$N$5*H$5,0)</f>
        <v>23055.169549073435</v>
      </c>
      <c r="I8" s="202">
        <f>IFERROR('Tab 2'!$C$14/$N$5*I$5,0)</f>
        <v>12575.547026767326</v>
      </c>
      <c r="J8" s="202">
        <f>IFERROR('Tab 2'!$C$14/$N$5*J$5,0)</f>
        <v>23055.169549073435</v>
      </c>
      <c r="K8" s="202">
        <f>IFERROR('Tab 2'!$C$14/$N$5*K$5,0)</f>
        <v>22007.207296842822</v>
      </c>
      <c r="L8" s="202">
        <f>IFERROR('Tab 2'!$C$14/$N$5*L$5,0)</f>
        <v>22007.207296842822</v>
      </c>
      <c r="M8" s="202">
        <f>IFERROR('Tab 2'!$C$14/$N$5*M$5,0)</f>
        <v>12575.547026767326</v>
      </c>
      <c r="N8" s="5">
        <f>SUM(B8:M8)</f>
        <v>246271.12927419355</v>
      </c>
    </row>
    <row r="9" spans="1:14" x14ac:dyDescent="0.2">
      <c r="A9" s="4" t="s">
        <v>82</v>
      </c>
      <c r="B9" s="202">
        <f>IFERROR('Tab 2'!$F$14/$N$5*B$5,0)</f>
        <v>33131.005957446803</v>
      </c>
      <c r="C9" s="202">
        <f>IFERROR('Tab 2'!$F$14/$N$5*C$5,0)</f>
        <v>36812.228841607561</v>
      </c>
      <c r="D9" s="202">
        <f>IFERROR('Tab 2'!$F$14/$N$5*D$5,0)</f>
        <v>42334.063167848697</v>
      </c>
      <c r="E9" s="202">
        <f>IFERROR('Tab 2'!$F$14/$N$5*E$5,0)</f>
        <v>38652.84028368794</v>
      </c>
      <c r="F9" s="202">
        <f>IFERROR('Tab 2'!$F$14/$N$5*F$5,0)</f>
        <v>38652.84028368794</v>
      </c>
      <c r="G9" s="202">
        <f>IFERROR('Tab 2'!$F$14/$N$5*G$5,0)</f>
        <v>40493.451725768318</v>
      </c>
      <c r="H9" s="202">
        <f>IFERROR('Tab 2'!$F$14/$N$5*H$5,0)</f>
        <v>40493.451725768318</v>
      </c>
      <c r="I9" s="202">
        <f>IFERROR('Tab 2'!$F$14/$N$5*I$5,0)</f>
        <v>22087.337304964538</v>
      </c>
      <c r="J9" s="202">
        <f>IFERROR('Tab 2'!$F$14/$N$5*J$5,0)</f>
        <v>40493.451725768318</v>
      </c>
      <c r="K9" s="202">
        <f>IFERROR('Tab 2'!$F$14/$N$5*K$5,0)</f>
        <v>38652.84028368794</v>
      </c>
      <c r="L9" s="202">
        <f>IFERROR('Tab 2'!$F$14/$N$5*L$5,0)</f>
        <v>38652.84028368794</v>
      </c>
      <c r="M9" s="202">
        <f>IFERROR('Tab 2'!$F$14/$N$5*M$5,0)</f>
        <v>22087.337304964538</v>
      </c>
      <c r="N9" s="5">
        <f>SUM(B9:M9)</f>
        <v>432543.68888888886</v>
      </c>
    </row>
    <row r="10" spans="1:14" x14ac:dyDescent="0.2">
      <c r="A10" s="4" t="s">
        <v>52</v>
      </c>
      <c r="B10" s="202">
        <f>IFERROR('Tab 2'!$I$14/$N$5*B$5,0)</f>
        <v>293.61702127659601</v>
      </c>
      <c r="C10" s="202">
        <f>IFERROR('Tab 2'!$I$14/$N$5*C$5,0)</f>
        <v>326.2411347517733</v>
      </c>
      <c r="D10" s="202">
        <f>IFERROR('Tab 2'!$I$14/$N$5*D$5,0)</f>
        <v>375.1773049645393</v>
      </c>
      <c r="E10" s="202">
        <f>IFERROR('Tab 2'!$I$14/$N$5*E$5,0)</f>
        <v>342.55319148936201</v>
      </c>
      <c r="F10" s="202">
        <f>IFERROR('Tab 2'!$I$14/$N$5*F$5,0)</f>
        <v>342.55319148936201</v>
      </c>
      <c r="G10" s="202">
        <f>IFERROR('Tab 2'!$I$14/$N$5*G$5,0)</f>
        <v>358.86524822695065</v>
      </c>
      <c r="H10" s="202">
        <f>IFERROR('Tab 2'!$I$14/$N$5*H$5,0)</f>
        <v>358.86524822695065</v>
      </c>
      <c r="I10" s="202">
        <f>IFERROR('Tab 2'!$I$14/$N$5*I$5,0)</f>
        <v>195.744680851064</v>
      </c>
      <c r="J10" s="202">
        <f>IFERROR('Tab 2'!$I$14/$N$5*J$5,0)</f>
        <v>358.86524822695065</v>
      </c>
      <c r="K10" s="202">
        <f>IFERROR('Tab 2'!$I$14/$N$5*K$5,0)</f>
        <v>342.55319148936201</v>
      </c>
      <c r="L10" s="202">
        <f>IFERROR('Tab 2'!$I$14/$N$5*L$5,0)</f>
        <v>342.55319148936201</v>
      </c>
      <c r="M10" s="202">
        <f>IFERROR('Tab 2'!$I$14/$N$5*M$5,0)</f>
        <v>195.744680851064</v>
      </c>
      <c r="N10" s="5">
        <f>SUM(B10:M10)</f>
        <v>3833.3333333333367</v>
      </c>
    </row>
    <row r="11" spans="1:14" ht="17" thickBot="1" x14ac:dyDescent="0.25">
      <c r="A11" s="6" t="s">
        <v>3</v>
      </c>
      <c r="B11" s="7">
        <f>SUM(B8:B10)</f>
        <v>52287.943518874388</v>
      </c>
      <c r="C11" s="7">
        <f t="shared" ref="C11:N11" si="0">SUM(C8:C10)</f>
        <v>58097.71502097154</v>
      </c>
      <c r="D11" s="7">
        <f t="shared" si="0"/>
        <v>66812.372274117282</v>
      </c>
      <c r="E11" s="7">
        <f t="shared" si="0"/>
        <v>61002.600772020131</v>
      </c>
      <c r="F11" s="7">
        <f t="shared" si="0"/>
        <v>61002.600772020131</v>
      </c>
      <c r="G11" s="7">
        <f t="shared" si="0"/>
        <v>63907.486523068706</v>
      </c>
      <c r="H11" s="7">
        <f t="shared" si="0"/>
        <v>63907.486523068706</v>
      </c>
      <c r="I11" s="7">
        <f t="shared" si="0"/>
        <v>34858.629012582933</v>
      </c>
      <c r="J11" s="7">
        <f t="shared" si="0"/>
        <v>63907.486523068706</v>
      </c>
      <c r="K11" s="7">
        <f t="shared" si="0"/>
        <v>61002.600772020131</v>
      </c>
      <c r="L11" s="7">
        <f t="shared" si="0"/>
        <v>61002.600772020131</v>
      </c>
      <c r="M11" s="7">
        <f t="shared" si="0"/>
        <v>34858.629012582933</v>
      </c>
      <c r="N11" s="7">
        <f t="shared" si="0"/>
        <v>682648.15149641584</v>
      </c>
    </row>
    <row r="13" spans="1:14" ht="17" thickBot="1" x14ac:dyDescent="0.25"/>
    <row r="14" spans="1:14" x14ac:dyDescent="0.2">
      <c r="A14" s="2" t="s">
        <v>74</v>
      </c>
      <c r="B14" s="3" t="s">
        <v>6</v>
      </c>
      <c r="C14" s="3" t="s">
        <v>7</v>
      </c>
      <c r="D14" s="3" t="s">
        <v>8</v>
      </c>
      <c r="E14" s="3" t="s">
        <v>9</v>
      </c>
      <c r="F14" s="3" t="s">
        <v>10</v>
      </c>
      <c r="G14" s="3" t="s">
        <v>11</v>
      </c>
      <c r="H14" s="3" t="s">
        <v>12</v>
      </c>
      <c r="I14" s="3" t="s">
        <v>13</v>
      </c>
      <c r="J14" s="3" t="s">
        <v>14</v>
      </c>
      <c r="K14" s="3" t="s">
        <v>15</v>
      </c>
      <c r="L14" s="3" t="s">
        <v>16</v>
      </c>
      <c r="M14" s="3" t="s">
        <v>17</v>
      </c>
      <c r="N14" s="3" t="s">
        <v>5</v>
      </c>
    </row>
    <row r="15" spans="1:14" x14ac:dyDescent="0.2">
      <c r="A15" s="4" t="s">
        <v>50</v>
      </c>
      <c r="B15" s="202">
        <f>'Tab 2'!$C$15/$N$5*B$5</f>
        <v>1198.375657844887</v>
      </c>
      <c r="C15" s="202">
        <f>'Tab 2'!$C$15/$N$5*C$5</f>
        <v>1331.528508716541</v>
      </c>
      <c r="D15" s="202">
        <f>'Tab 2'!$C$15/$N$5*D$5</f>
        <v>1531.257785024022</v>
      </c>
      <c r="E15" s="202">
        <f>'Tab 2'!$C$15/$N$5*E$5</f>
        <v>1398.1049341523681</v>
      </c>
      <c r="F15" s="202">
        <f>'Tab 2'!$C$15/$N$5*F$5</f>
        <v>1398.1049341523681</v>
      </c>
      <c r="G15" s="202">
        <f>'Tab 2'!$C$15/$N$5*G$5</f>
        <v>1464.6813595881949</v>
      </c>
      <c r="H15" s="202">
        <f>'Tab 2'!$C$15/$N$5*H$5</f>
        <v>1464.6813595881949</v>
      </c>
      <c r="I15" s="202">
        <f>'Tab 2'!$C$15/$N$5*I$5</f>
        <v>798.91710522992457</v>
      </c>
      <c r="J15" s="202">
        <f>'Tab 2'!$C$15/$N$5*J$5</f>
        <v>1464.6813595881949</v>
      </c>
      <c r="K15" s="202">
        <f>'Tab 2'!$C$15/$N$5*K$5</f>
        <v>1398.1049341523681</v>
      </c>
      <c r="L15" s="202">
        <f>'Tab 2'!$C$15/$N$5*L$5</f>
        <v>1398.1049341523681</v>
      </c>
      <c r="M15" s="202">
        <f>'Tab 2'!$C$15/$N$5*M$5</f>
        <v>798.91710522992457</v>
      </c>
      <c r="N15" s="5">
        <f>SUM(B15:M15)</f>
        <v>15645.459977419356</v>
      </c>
    </row>
    <row r="16" spans="1:14" x14ac:dyDescent="0.2">
      <c r="A16" s="4" t="s">
        <v>82</v>
      </c>
      <c r="B16" s="202">
        <f>'Tab 2'!$F$15/$N$5*B$5</f>
        <v>0</v>
      </c>
      <c r="C16" s="202">
        <f>'Tab 2'!$F$15/$N$5*C$5</f>
        <v>0</v>
      </c>
      <c r="D16" s="202">
        <f>'Tab 2'!$F$15/$N$5*D$5</f>
        <v>0</v>
      </c>
      <c r="E16" s="202">
        <f>'Tab 2'!$F$15/$N$5*E$5</f>
        <v>0</v>
      </c>
      <c r="F16" s="202">
        <f>'Tab 2'!$F$15/$N$5*F$5</f>
        <v>0</v>
      </c>
      <c r="G16" s="202">
        <f>'Tab 2'!$F$15/$N$5*G$5</f>
        <v>0</v>
      </c>
      <c r="H16" s="202">
        <f>'Tab 2'!$F$15/$N$5*H$5</f>
        <v>0</v>
      </c>
      <c r="I16" s="202">
        <f>'Tab 2'!$F$15/$N$5*I$5</f>
        <v>0</v>
      </c>
      <c r="J16" s="202">
        <f>'Tab 2'!$F$15/$N$5*J$5</f>
        <v>0</v>
      </c>
      <c r="K16" s="202">
        <f>'Tab 2'!$F$15/$N$5*K$5</f>
        <v>0</v>
      </c>
      <c r="L16" s="202">
        <f>'Tab 2'!$F$15/$N$5*L$5</f>
        <v>0</v>
      </c>
      <c r="M16" s="202">
        <f>'Tab 2'!$F$15/$N$5*M$5</f>
        <v>0</v>
      </c>
      <c r="N16" s="5">
        <f>SUM(B16:M16)</f>
        <v>0</v>
      </c>
    </row>
    <row r="17" spans="1:14" x14ac:dyDescent="0.2">
      <c r="A17" s="4" t="s">
        <v>52</v>
      </c>
      <c r="B17" s="202">
        <f>'Tab 2'!$I$15/$N$5*B$5</f>
        <v>2008.3404255319151</v>
      </c>
      <c r="C17" s="202">
        <f>'Tab 2'!$I$15/$N$5*C$5</f>
        <v>2231.489361702128</v>
      </c>
      <c r="D17" s="202">
        <f>'Tab 2'!$I$15/$N$5*D$5</f>
        <v>2566.2127659574471</v>
      </c>
      <c r="E17" s="202">
        <f>'Tab 2'!$I$15/$N$5*E$5</f>
        <v>2343.0638297872342</v>
      </c>
      <c r="F17" s="202">
        <f>'Tab 2'!$I$15/$N$5*F$5</f>
        <v>2343.0638297872342</v>
      </c>
      <c r="G17" s="202">
        <f>'Tab 2'!$I$15/$N$5*G$5</f>
        <v>2454.6382978723404</v>
      </c>
      <c r="H17" s="202">
        <f>'Tab 2'!$I$15/$N$5*H$5</f>
        <v>2454.6382978723404</v>
      </c>
      <c r="I17" s="202">
        <f>'Tab 2'!$I$15/$N$5*I$5</f>
        <v>1338.8936170212767</v>
      </c>
      <c r="J17" s="202">
        <f>'Tab 2'!$I$15/$N$5*J$5</f>
        <v>2454.6382978723404</v>
      </c>
      <c r="K17" s="202">
        <f>'Tab 2'!$I$15/$N$5*K$5</f>
        <v>2343.0638297872342</v>
      </c>
      <c r="L17" s="202">
        <f>'Tab 2'!$I$15/$N$5*L$5</f>
        <v>2343.0638297872342</v>
      </c>
      <c r="M17" s="202">
        <f>'Tab 2'!$I$15/$N$5*M$5</f>
        <v>1338.8936170212767</v>
      </c>
      <c r="N17" s="5">
        <f>SUM(B17:M17)</f>
        <v>26220.000000000004</v>
      </c>
    </row>
    <row r="18" spans="1:14" ht="17" thickBot="1" x14ac:dyDescent="0.25">
      <c r="A18" s="6" t="s">
        <v>3</v>
      </c>
      <c r="B18" s="7">
        <f t="shared" ref="B18:N18" si="1">SUM(B15:B17)</f>
        <v>3206.7160833768021</v>
      </c>
      <c r="C18" s="7">
        <f t="shared" si="1"/>
        <v>3563.0178704186692</v>
      </c>
      <c r="D18" s="7">
        <f t="shared" si="1"/>
        <v>4097.4705509814694</v>
      </c>
      <c r="E18" s="7">
        <f t="shared" si="1"/>
        <v>3741.1687639396023</v>
      </c>
      <c r="F18" s="7">
        <f t="shared" si="1"/>
        <v>3741.1687639396023</v>
      </c>
      <c r="G18" s="7">
        <f t="shared" si="1"/>
        <v>3919.3196574605354</v>
      </c>
      <c r="H18" s="7">
        <f t="shared" si="1"/>
        <v>3919.3196574605354</v>
      </c>
      <c r="I18" s="7">
        <f t="shared" si="1"/>
        <v>2137.8107222512012</v>
      </c>
      <c r="J18" s="7">
        <f t="shared" si="1"/>
        <v>3919.3196574605354</v>
      </c>
      <c r="K18" s="7">
        <f t="shared" si="1"/>
        <v>3741.1687639396023</v>
      </c>
      <c r="L18" s="7">
        <f t="shared" si="1"/>
        <v>3741.1687639396023</v>
      </c>
      <c r="M18" s="7">
        <f t="shared" si="1"/>
        <v>2137.8107222512012</v>
      </c>
      <c r="N18" s="7">
        <f t="shared" si="1"/>
        <v>41865.459977419363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838C-D911-D347-B649-C01EDEEC66D0}">
  <sheetPr>
    <tabColor indexed="13"/>
  </sheetPr>
  <dimension ref="A2:M14"/>
  <sheetViews>
    <sheetView topLeftCell="A11" zoomScale="200" zoomScaleNormal="120" workbookViewId="0">
      <selection activeCell="M36" sqref="M36"/>
    </sheetView>
  </sheetViews>
  <sheetFormatPr baseColWidth="10" defaultRowHeight="13" x14ac:dyDescent="0.15"/>
  <sheetData>
    <row r="2" spans="1:13" ht="21" x14ac:dyDescent="0.25">
      <c r="A2" s="53" t="s">
        <v>33</v>
      </c>
    </row>
    <row r="3" spans="1:13" ht="14" thickBot="1" x14ac:dyDescent="0.2"/>
    <row r="4" spans="1:13" ht="16" x14ac:dyDescent="0.2">
      <c r="A4" s="203" t="s">
        <v>73</v>
      </c>
      <c r="B4" s="204" t="s">
        <v>6</v>
      </c>
      <c r="C4" s="204" t="s">
        <v>7</v>
      </c>
      <c r="D4" s="204" t="s">
        <v>8</v>
      </c>
      <c r="E4" s="204" t="s">
        <v>9</v>
      </c>
      <c r="F4" s="204" t="s">
        <v>10</v>
      </c>
      <c r="G4" s="204" t="s">
        <v>11</v>
      </c>
      <c r="H4" s="204" t="s">
        <v>12</v>
      </c>
      <c r="I4" s="204" t="s">
        <v>13</v>
      </c>
      <c r="J4" s="204" t="s">
        <v>14</v>
      </c>
      <c r="K4" s="204" t="s">
        <v>15</v>
      </c>
      <c r="L4" s="204" t="s">
        <v>16</v>
      </c>
      <c r="M4" s="205" t="s">
        <v>17</v>
      </c>
    </row>
    <row r="5" spans="1:13" ht="16" x14ac:dyDescent="0.2">
      <c r="A5" s="206" t="s">
        <v>50</v>
      </c>
      <c r="B5" s="54">
        <f>+'Tab 2'!$D$14</f>
        <v>180</v>
      </c>
      <c r="C5" s="54">
        <f>+'Tab 2'!$D$14</f>
        <v>180</v>
      </c>
      <c r="D5" s="54">
        <f>+'Tab 2'!$D$14</f>
        <v>180</v>
      </c>
      <c r="E5" s="54">
        <f>+'Tab 2'!$D$14</f>
        <v>180</v>
      </c>
      <c r="F5" s="54">
        <f>+'Tab 2'!$D$14</f>
        <v>180</v>
      </c>
      <c r="G5" s="54">
        <f>+'Tab 2'!$D$14</f>
        <v>180</v>
      </c>
      <c r="H5" s="54">
        <f>+'Tab 2'!$D$14</f>
        <v>180</v>
      </c>
      <c r="I5" s="54">
        <f>+'Tab 2'!$D$14</f>
        <v>180</v>
      </c>
      <c r="J5" s="54">
        <f>+'Tab 2'!$D$14</f>
        <v>180</v>
      </c>
      <c r="K5" s="54">
        <f>+'Tab 2'!$D$14</f>
        <v>180</v>
      </c>
      <c r="L5" s="54">
        <f>+'Tab 2'!$D$14</f>
        <v>180</v>
      </c>
      <c r="M5" s="208">
        <f>+'Tab 2'!$D$14</f>
        <v>180</v>
      </c>
    </row>
    <row r="6" spans="1:13" ht="16" x14ac:dyDescent="0.2">
      <c r="A6" s="206" t="s">
        <v>82</v>
      </c>
      <c r="B6" s="54">
        <f>'Tab 2'!$G$14</f>
        <v>180</v>
      </c>
      <c r="C6" s="54">
        <f>'Tab 2'!$G$14</f>
        <v>180</v>
      </c>
      <c r="D6" s="54">
        <f>'Tab 2'!$G$14</f>
        <v>180</v>
      </c>
      <c r="E6" s="54">
        <f>'Tab 2'!$G$14</f>
        <v>180</v>
      </c>
      <c r="F6" s="54">
        <f>'Tab 2'!$G$14</f>
        <v>180</v>
      </c>
      <c r="G6" s="54">
        <f>'Tab 2'!$G$14</f>
        <v>180</v>
      </c>
      <c r="H6" s="54">
        <f>'Tab 2'!$G$14</f>
        <v>180</v>
      </c>
      <c r="I6" s="54">
        <f>'Tab 2'!$G$14</f>
        <v>180</v>
      </c>
      <c r="J6" s="54">
        <f>'Tab 2'!$G$14</f>
        <v>180</v>
      </c>
      <c r="K6" s="54">
        <f>'Tab 2'!$G$14</f>
        <v>180</v>
      </c>
      <c r="L6" s="54">
        <f>'Tab 2'!$G$14</f>
        <v>180</v>
      </c>
      <c r="M6" s="208">
        <f>'Tab 2'!$G$14</f>
        <v>180</v>
      </c>
    </row>
    <row r="7" spans="1:13" ht="17" thickBot="1" x14ac:dyDescent="0.25">
      <c r="A7" s="207" t="s">
        <v>52</v>
      </c>
      <c r="B7" s="55">
        <f>'Tab 2'!$J$14</f>
        <v>180</v>
      </c>
      <c r="C7" s="55">
        <f>'Tab 2'!$J$14</f>
        <v>180</v>
      </c>
      <c r="D7" s="55">
        <f>'Tab 2'!$J$14</f>
        <v>180</v>
      </c>
      <c r="E7" s="55">
        <f>'Tab 2'!$J$14</f>
        <v>180</v>
      </c>
      <c r="F7" s="55">
        <f>'Tab 2'!$J$14</f>
        <v>180</v>
      </c>
      <c r="G7" s="55">
        <f>'Tab 2'!$J$14</f>
        <v>180</v>
      </c>
      <c r="H7" s="55">
        <f>'Tab 2'!$J$14</f>
        <v>180</v>
      </c>
      <c r="I7" s="55">
        <f>'Tab 2'!$J$14</f>
        <v>180</v>
      </c>
      <c r="J7" s="55">
        <f>'Tab 2'!$J$14</f>
        <v>180</v>
      </c>
      <c r="K7" s="55">
        <f>'Tab 2'!$J$14</f>
        <v>180</v>
      </c>
      <c r="L7" s="55">
        <f>'Tab 2'!$J$14</f>
        <v>180</v>
      </c>
      <c r="M7" s="209">
        <f>'Tab 2'!$J$14</f>
        <v>180</v>
      </c>
    </row>
    <row r="8" spans="1:13" ht="16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7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6" x14ac:dyDescent="0.2">
      <c r="A11" s="203" t="s">
        <v>74</v>
      </c>
      <c r="B11" s="204" t="s">
        <v>6</v>
      </c>
      <c r="C11" s="204" t="s">
        <v>7</v>
      </c>
      <c r="D11" s="204" t="s">
        <v>8</v>
      </c>
      <c r="E11" s="204" t="s">
        <v>9</v>
      </c>
      <c r="F11" s="204" t="s">
        <v>10</v>
      </c>
      <c r="G11" s="204" t="s">
        <v>11</v>
      </c>
      <c r="H11" s="204" t="s">
        <v>12</v>
      </c>
      <c r="I11" s="204" t="s">
        <v>13</v>
      </c>
      <c r="J11" s="204" t="s">
        <v>14</v>
      </c>
      <c r="K11" s="204" t="s">
        <v>15</v>
      </c>
      <c r="L11" s="204" t="s">
        <v>16</v>
      </c>
      <c r="M11" s="205" t="s">
        <v>17</v>
      </c>
    </row>
    <row r="12" spans="1:13" ht="16" x14ac:dyDescent="0.2">
      <c r="A12" s="206" t="s">
        <v>50</v>
      </c>
      <c r="B12" s="54">
        <f>'Tab 2'!$D$15</f>
        <v>500</v>
      </c>
      <c r="C12" s="54">
        <f>'Tab 2'!$D$15</f>
        <v>500</v>
      </c>
      <c r="D12" s="54">
        <f>'Tab 2'!$D$15</f>
        <v>500</v>
      </c>
      <c r="E12" s="54">
        <f>'Tab 2'!$D$15</f>
        <v>500</v>
      </c>
      <c r="F12" s="54">
        <f>'Tab 2'!$D$15</f>
        <v>500</v>
      </c>
      <c r="G12" s="54">
        <f>'Tab 2'!$D$15</f>
        <v>500</v>
      </c>
      <c r="H12" s="54">
        <f>'Tab 2'!$D$15</f>
        <v>500</v>
      </c>
      <c r="I12" s="54">
        <f>'Tab 2'!$D$15</f>
        <v>500</v>
      </c>
      <c r="J12" s="54">
        <f>'Tab 2'!$D$15</f>
        <v>500</v>
      </c>
      <c r="K12" s="54">
        <f>'Tab 2'!$D$15</f>
        <v>500</v>
      </c>
      <c r="L12" s="54">
        <f>'Tab 2'!$D$15</f>
        <v>500</v>
      </c>
      <c r="M12" s="208">
        <f>'Tab 2'!$D$15</f>
        <v>500</v>
      </c>
    </row>
    <row r="13" spans="1:13" ht="16" x14ac:dyDescent="0.2">
      <c r="A13" s="206" t="s">
        <v>82</v>
      </c>
      <c r="B13" s="54">
        <f>'Tab 2'!$G$15</f>
        <v>500</v>
      </c>
      <c r="C13" s="54">
        <f>'Tab 2'!$G$15</f>
        <v>500</v>
      </c>
      <c r="D13" s="54">
        <f>'Tab 2'!$G$15</f>
        <v>500</v>
      </c>
      <c r="E13" s="54">
        <f>'Tab 2'!$G$15</f>
        <v>500</v>
      </c>
      <c r="F13" s="54">
        <f>'Tab 2'!$G$15</f>
        <v>500</v>
      </c>
      <c r="G13" s="54">
        <f>'Tab 2'!$G$15</f>
        <v>500</v>
      </c>
      <c r="H13" s="54">
        <f>'Tab 2'!$G$15</f>
        <v>500</v>
      </c>
      <c r="I13" s="54">
        <f>'Tab 2'!$G$15</f>
        <v>500</v>
      </c>
      <c r="J13" s="54">
        <f>'Tab 2'!$G$15</f>
        <v>500</v>
      </c>
      <c r="K13" s="54">
        <f>'Tab 2'!$G$15</f>
        <v>500</v>
      </c>
      <c r="L13" s="54">
        <f>'Tab 2'!$G$15</f>
        <v>500</v>
      </c>
      <c r="M13" s="208">
        <f>'Tab 2'!$G$15</f>
        <v>500</v>
      </c>
    </row>
    <row r="14" spans="1:13" ht="17" thickBot="1" x14ac:dyDescent="0.25">
      <c r="A14" s="207" t="s">
        <v>52</v>
      </c>
      <c r="B14" s="55">
        <f>'Tab 2'!$J$15</f>
        <v>500</v>
      </c>
      <c r="C14" s="55">
        <f>'Tab 2'!$J$15</f>
        <v>500</v>
      </c>
      <c r="D14" s="55">
        <f>'Tab 2'!$J$15</f>
        <v>500</v>
      </c>
      <c r="E14" s="55">
        <f>'Tab 2'!$J$15</f>
        <v>500</v>
      </c>
      <c r="F14" s="55">
        <f>'Tab 2'!$J$15</f>
        <v>500</v>
      </c>
      <c r="G14" s="55">
        <f>'Tab 2'!$J$15</f>
        <v>500</v>
      </c>
      <c r="H14" s="55">
        <f>'Tab 2'!$J$15</f>
        <v>500</v>
      </c>
      <c r="I14" s="55">
        <f>'Tab 2'!$J$15</f>
        <v>500</v>
      </c>
      <c r="J14" s="55">
        <f>'Tab 2'!$J$15</f>
        <v>500</v>
      </c>
      <c r="K14" s="55">
        <f>'Tab 2'!$J$15</f>
        <v>500</v>
      </c>
      <c r="L14" s="55">
        <f>'Tab 2'!$J$15</f>
        <v>500</v>
      </c>
      <c r="M14" s="209">
        <f>'Tab 2'!$J$15</f>
        <v>500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2:P79"/>
  <sheetViews>
    <sheetView topLeftCell="A68" zoomScale="159" zoomScaleNormal="140" workbookViewId="0">
      <selection activeCell="B4" sqref="B4"/>
    </sheetView>
  </sheetViews>
  <sheetFormatPr baseColWidth="10" defaultColWidth="9.1640625" defaultRowHeight="16" x14ac:dyDescent="0.2"/>
  <cols>
    <col min="1" max="1" width="22.6640625" style="1" customWidth="1"/>
    <col min="2" max="2" width="11.1640625" style="1" bestFit="1" customWidth="1"/>
    <col min="3" max="13" width="12.83203125" style="1" customWidth="1"/>
    <col min="14" max="14" width="12.6640625" style="1" customWidth="1"/>
    <col min="15" max="15" width="9.1640625" style="1"/>
    <col min="16" max="16" width="12.33203125" style="1" customWidth="1"/>
    <col min="17" max="16384" width="9.1640625" style="1"/>
  </cols>
  <sheetData>
    <row r="2" spans="1:16" ht="17" thickBot="1" x14ac:dyDescent="0.25"/>
    <row r="3" spans="1:16" x14ac:dyDescent="0.2">
      <c r="A3" s="3" t="s">
        <v>91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47" t="s">
        <v>5</v>
      </c>
    </row>
    <row r="4" spans="1:16" x14ac:dyDescent="0.2">
      <c r="A4" s="1" t="s">
        <v>30</v>
      </c>
      <c r="B4" s="48">
        <f>B29+B77+B52</f>
        <v>52287.943518874396</v>
      </c>
      <c r="C4" s="48">
        <f t="shared" ref="C4:M4" si="0">C29+C77+C52</f>
        <v>58097.715020971547</v>
      </c>
      <c r="D4" s="48">
        <f t="shared" si="0"/>
        <v>66812.372274117282</v>
      </c>
      <c r="E4" s="48">
        <f t="shared" si="0"/>
        <v>61002.600772020123</v>
      </c>
      <c r="F4" s="48">
        <f t="shared" si="0"/>
        <v>61002.600772020123</v>
      </c>
      <c r="G4" s="48">
        <f t="shared" si="0"/>
        <v>63907.486523068699</v>
      </c>
      <c r="H4" s="48">
        <f t="shared" si="0"/>
        <v>63907.486523068699</v>
      </c>
      <c r="I4" s="48">
        <f t="shared" si="0"/>
        <v>34858.629012582925</v>
      </c>
      <c r="J4" s="48">
        <f t="shared" si="0"/>
        <v>63907.486523068699</v>
      </c>
      <c r="K4" s="48">
        <f t="shared" si="0"/>
        <v>61002.600772020123</v>
      </c>
      <c r="L4" s="48">
        <f t="shared" si="0"/>
        <v>61002.600772020123</v>
      </c>
      <c r="M4" s="48">
        <f t="shared" si="0"/>
        <v>34858.629012582925</v>
      </c>
      <c r="N4" s="49">
        <f>SUM(B4:M4)</f>
        <v>682648.15149641572</v>
      </c>
    </row>
    <row r="5" spans="1:16" x14ac:dyDescent="0.2">
      <c r="A5" s="1" t="s">
        <v>31</v>
      </c>
      <c r="B5" s="66">
        <f>B6/B4</f>
        <v>179.99999999999997</v>
      </c>
      <c r="C5" s="66">
        <f t="shared" ref="C5:M5" si="1">C6/C4</f>
        <v>180</v>
      </c>
      <c r="D5" s="66">
        <f t="shared" si="1"/>
        <v>179.99999999999997</v>
      </c>
      <c r="E5" s="66">
        <f t="shared" si="1"/>
        <v>180</v>
      </c>
      <c r="F5" s="66">
        <f t="shared" si="1"/>
        <v>180</v>
      </c>
      <c r="G5" s="66">
        <f t="shared" si="1"/>
        <v>180</v>
      </c>
      <c r="H5" s="66">
        <f t="shared" si="1"/>
        <v>180</v>
      </c>
      <c r="I5" s="66">
        <f t="shared" si="1"/>
        <v>180</v>
      </c>
      <c r="J5" s="66">
        <f t="shared" si="1"/>
        <v>180</v>
      </c>
      <c r="K5" s="66">
        <f t="shared" si="1"/>
        <v>180</v>
      </c>
      <c r="L5" s="66">
        <f t="shared" si="1"/>
        <v>180</v>
      </c>
      <c r="M5" s="66">
        <f t="shared" si="1"/>
        <v>180</v>
      </c>
      <c r="N5" s="67">
        <f>N6/N4</f>
        <v>180</v>
      </c>
      <c r="P5" s="1" t="s">
        <v>86</v>
      </c>
    </row>
    <row r="6" spans="1:16" x14ac:dyDescent="0.2">
      <c r="A6" s="10" t="s">
        <v>32</v>
      </c>
      <c r="B6" s="50">
        <f>B31+B79+B54</f>
        <v>9411829.8333973903</v>
      </c>
      <c r="C6" s="50">
        <f t="shared" ref="C6:M6" si="2">C31+C79+C54</f>
        <v>10457588.703774879</v>
      </c>
      <c r="D6" s="50">
        <f t="shared" si="2"/>
        <v>12026227.00934111</v>
      </c>
      <c r="E6" s="50">
        <f t="shared" si="2"/>
        <v>10980468.138963623</v>
      </c>
      <c r="F6" s="50">
        <f t="shared" si="2"/>
        <v>10980468.138963623</v>
      </c>
      <c r="G6" s="50">
        <f t="shared" si="2"/>
        <v>11503347.574152365</v>
      </c>
      <c r="H6" s="50">
        <f t="shared" si="2"/>
        <v>11503347.574152365</v>
      </c>
      <c r="I6" s="50">
        <f t="shared" si="2"/>
        <v>6274553.2222649269</v>
      </c>
      <c r="J6" s="50">
        <f t="shared" si="2"/>
        <v>11503347.574152365</v>
      </c>
      <c r="K6" s="50">
        <f t="shared" si="2"/>
        <v>10980468.138963623</v>
      </c>
      <c r="L6" s="50">
        <f t="shared" si="2"/>
        <v>10980468.138963623</v>
      </c>
      <c r="M6" s="50">
        <f t="shared" si="2"/>
        <v>6274553.2222649269</v>
      </c>
      <c r="N6" s="51">
        <f>SUM(B6:M6)</f>
        <v>122876667.26935484</v>
      </c>
      <c r="P6" s="73">
        <f>+N6-'Tab 3'!Z36</f>
        <v>0</v>
      </c>
    </row>
    <row r="27" spans="1:14" ht="17" thickBot="1" x14ac:dyDescent="0.25"/>
    <row r="28" spans="1:14" x14ac:dyDescent="0.2">
      <c r="A28" s="3" t="s">
        <v>114</v>
      </c>
      <c r="B28" s="3" t="s">
        <v>6</v>
      </c>
      <c r="C28" s="3" t="s">
        <v>7</v>
      </c>
      <c r="D28" s="3" t="s">
        <v>8</v>
      </c>
      <c r="E28" s="3" t="s">
        <v>9</v>
      </c>
      <c r="F28" s="3" t="s">
        <v>10</v>
      </c>
      <c r="G28" s="3" t="s">
        <v>11</v>
      </c>
      <c r="H28" s="3" t="s">
        <v>12</v>
      </c>
      <c r="I28" s="3" t="s">
        <v>13</v>
      </c>
      <c r="J28" s="3" t="s">
        <v>14</v>
      </c>
      <c r="K28" s="3" t="s">
        <v>15</v>
      </c>
      <c r="L28" s="3" t="s">
        <v>16</v>
      </c>
      <c r="M28" s="3" t="s">
        <v>17</v>
      </c>
      <c r="N28" s="47" t="s">
        <v>5</v>
      </c>
    </row>
    <row r="29" spans="1:14" x14ac:dyDescent="0.2">
      <c r="A29" s="1" t="s">
        <v>30</v>
      </c>
      <c r="B29" s="48">
        <f>QUANTITÀ!B8</f>
        <v>18863.320540150991</v>
      </c>
      <c r="C29" s="48">
        <f>QUANTITÀ!C8</f>
        <v>20959.245044612213</v>
      </c>
      <c r="D29" s="48">
        <f>QUANTITÀ!D8</f>
        <v>24103.131801304044</v>
      </c>
      <c r="E29" s="48">
        <f>QUANTITÀ!E8</f>
        <v>22007.207296842822</v>
      </c>
      <c r="F29" s="48">
        <f>QUANTITÀ!F8</f>
        <v>22007.207296842822</v>
      </c>
      <c r="G29" s="48">
        <f>QUANTITÀ!G8</f>
        <v>23055.169549073435</v>
      </c>
      <c r="H29" s="48">
        <f>QUANTITÀ!H8</f>
        <v>23055.169549073435</v>
      </c>
      <c r="I29" s="48">
        <f>QUANTITÀ!I8</f>
        <v>12575.547026767326</v>
      </c>
      <c r="J29" s="48">
        <f>QUANTITÀ!J8</f>
        <v>23055.169549073435</v>
      </c>
      <c r="K29" s="48">
        <f>QUANTITÀ!K8</f>
        <v>22007.207296842822</v>
      </c>
      <c r="L29" s="48">
        <f>QUANTITÀ!L8</f>
        <v>22007.207296842822</v>
      </c>
      <c r="M29" s="48">
        <f>QUANTITÀ!M8</f>
        <v>12575.547026767326</v>
      </c>
      <c r="N29" s="49">
        <f>SUM(B29:M29)</f>
        <v>246271.12927419355</v>
      </c>
    </row>
    <row r="30" spans="1:14" x14ac:dyDescent="0.2">
      <c r="A30" s="1" t="s">
        <v>31</v>
      </c>
      <c r="B30" s="66">
        <f>PREZZI!B5</f>
        <v>180</v>
      </c>
      <c r="C30" s="66">
        <f>PREZZI!C5</f>
        <v>180</v>
      </c>
      <c r="D30" s="66">
        <f>PREZZI!D5</f>
        <v>180</v>
      </c>
      <c r="E30" s="66">
        <f>PREZZI!E5</f>
        <v>180</v>
      </c>
      <c r="F30" s="66">
        <f>PREZZI!F5</f>
        <v>180</v>
      </c>
      <c r="G30" s="66">
        <f>PREZZI!G5</f>
        <v>180</v>
      </c>
      <c r="H30" s="66">
        <f>PREZZI!H5</f>
        <v>180</v>
      </c>
      <c r="I30" s="66">
        <f>PREZZI!I5</f>
        <v>180</v>
      </c>
      <c r="J30" s="66">
        <f>PREZZI!J5</f>
        <v>180</v>
      </c>
      <c r="K30" s="66">
        <f>PREZZI!K5</f>
        <v>180</v>
      </c>
      <c r="L30" s="66">
        <f>PREZZI!L5</f>
        <v>180</v>
      </c>
      <c r="M30" s="66">
        <f>PREZZI!M5</f>
        <v>180</v>
      </c>
      <c r="N30" s="67">
        <f>(N31)/N29</f>
        <v>180.00000000000003</v>
      </c>
    </row>
    <row r="31" spans="1:14" x14ac:dyDescent="0.2">
      <c r="A31" s="10" t="s">
        <v>32</v>
      </c>
      <c r="B31" s="50">
        <f>B29*B30</f>
        <v>3395397.6972271786</v>
      </c>
      <c r="C31" s="50">
        <f t="shared" ref="C31:M31" si="3">C29*C30</f>
        <v>3772664.1080301981</v>
      </c>
      <c r="D31" s="50">
        <f t="shared" si="3"/>
        <v>4338563.7242347281</v>
      </c>
      <c r="E31" s="50">
        <f t="shared" si="3"/>
        <v>3961297.3134317081</v>
      </c>
      <c r="F31" s="50">
        <f t="shared" si="3"/>
        <v>3961297.3134317081</v>
      </c>
      <c r="G31" s="50">
        <f t="shared" si="3"/>
        <v>4149930.5188332181</v>
      </c>
      <c r="H31" s="50">
        <f t="shared" si="3"/>
        <v>4149930.5188332181</v>
      </c>
      <c r="I31" s="50">
        <f t="shared" si="3"/>
        <v>2263598.4648181186</v>
      </c>
      <c r="J31" s="50">
        <f t="shared" si="3"/>
        <v>4149930.5188332181</v>
      </c>
      <c r="K31" s="50">
        <f t="shared" si="3"/>
        <v>3961297.3134317081</v>
      </c>
      <c r="L31" s="50">
        <f t="shared" si="3"/>
        <v>3961297.3134317081</v>
      </c>
      <c r="M31" s="50">
        <f t="shared" si="3"/>
        <v>2263598.4648181186</v>
      </c>
      <c r="N31" s="51">
        <f>SUM(B31:M31)</f>
        <v>44328803.269354843</v>
      </c>
    </row>
    <row r="50" spans="1:14" ht="17" thickBot="1" x14ac:dyDescent="0.25"/>
    <row r="51" spans="1:14" x14ac:dyDescent="0.2">
      <c r="A51" s="3" t="s">
        <v>92</v>
      </c>
      <c r="B51" s="3" t="s">
        <v>6</v>
      </c>
      <c r="C51" s="3" t="s">
        <v>7</v>
      </c>
      <c r="D51" s="3" t="s">
        <v>8</v>
      </c>
      <c r="E51" s="3" t="s">
        <v>9</v>
      </c>
      <c r="F51" s="3" t="s">
        <v>10</v>
      </c>
      <c r="G51" s="3" t="s">
        <v>11</v>
      </c>
      <c r="H51" s="3" t="s">
        <v>12</v>
      </c>
      <c r="I51" s="3" t="s">
        <v>13</v>
      </c>
      <c r="J51" s="3" t="s">
        <v>14</v>
      </c>
      <c r="K51" s="3" t="s">
        <v>15</v>
      </c>
      <c r="L51" s="3" t="s">
        <v>16</v>
      </c>
      <c r="M51" s="3" t="s">
        <v>17</v>
      </c>
      <c r="N51" s="47" t="s">
        <v>5</v>
      </c>
    </row>
    <row r="52" spans="1:14" x14ac:dyDescent="0.2">
      <c r="A52" s="1" t="s">
        <v>30</v>
      </c>
      <c r="B52" s="48">
        <f>+QUANTITÀ!B9</f>
        <v>33131.005957446803</v>
      </c>
      <c r="C52" s="48">
        <f>+QUANTITÀ!C9</f>
        <v>36812.228841607561</v>
      </c>
      <c r="D52" s="48">
        <f>+QUANTITÀ!D9</f>
        <v>42334.063167848697</v>
      </c>
      <c r="E52" s="48">
        <f>+QUANTITÀ!E9</f>
        <v>38652.84028368794</v>
      </c>
      <c r="F52" s="48">
        <f>+QUANTITÀ!F9</f>
        <v>38652.84028368794</v>
      </c>
      <c r="G52" s="48">
        <f>+QUANTITÀ!G9</f>
        <v>40493.451725768318</v>
      </c>
      <c r="H52" s="48">
        <f>+QUANTITÀ!H9</f>
        <v>40493.451725768318</v>
      </c>
      <c r="I52" s="48">
        <f>+QUANTITÀ!I9</f>
        <v>22087.337304964538</v>
      </c>
      <c r="J52" s="48">
        <f>+QUANTITÀ!J9</f>
        <v>40493.451725768318</v>
      </c>
      <c r="K52" s="48">
        <f>+QUANTITÀ!K9</f>
        <v>38652.84028368794</v>
      </c>
      <c r="L52" s="48">
        <f>+QUANTITÀ!L9</f>
        <v>38652.84028368794</v>
      </c>
      <c r="M52" s="48">
        <f>+QUANTITÀ!M9</f>
        <v>22087.337304964538</v>
      </c>
      <c r="N52" s="49">
        <f>SUM(B52:M52)</f>
        <v>432543.68888888886</v>
      </c>
    </row>
    <row r="53" spans="1:14" x14ac:dyDescent="0.2">
      <c r="A53" s="1" t="s">
        <v>31</v>
      </c>
      <c r="B53" s="66">
        <f>+PREZZI!B6</f>
        <v>180</v>
      </c>
      <c r="C53" s="66">
        <f>+PREZZI!C6</f>
        <v>180</v>
      </c>
      <c r="D53" s="66">
        <f>+PREZZI!D6</f>
        <v>180</v>
      </c>
      <c r="E53" s="66">
        <f>+PREZZI!E6</f>
        <v>180</v>
      </c>
      <c r="F53" s="66">
        <f>+PREZZI!F6</f>
        <v>180</v>
      </c>
      <c r="G53" s="66">
        <f>+PREZZI!G6</f>
        <v>180</v>
      </c>
      <c r="H53" s="66">
        <f>+PREZZI!H6</f>
        <v>180</v>
      </c>
      <c r="I53" s="66">
        <f>+PREZZI!I6</f>
        <v>180</v>
      </c>
      <c r="J53" s="66">
        <f>+PREZZI!J6</f>
        <v>180</v>
      </c>
      <c r="K53" s="66">
        <f>+PREZZI!K6</f>
        <v>180</v>
      </c>
      <c r="L53" s="66">
        <f>+PREZZI!L6</f>
        <v>180</v>
      </c>
      <c r="M53" s="66">
        <f>+PREZZI!M6</f>
        <v>180</v>
      </c>
      <c r="N53" s="67">
        <f>(N54)/N52</f>
        <v>180</v>
      </c>
    </row>
    <row r="54" spans="1:14" x14ac:dyDescent="0.2">
      <c r="A54" s="10" t="s">
        <v>32</v>
      </c>
      <c r="B54" s="50">
        <f>B52*B53</f>
        <v>5963581.0723404242</v>
      </c>
      <c r="C54" s="50">
        <f t="shared" ref="C54:M54" si="4">C52*C53</f>
        <v>6626201.1914893612</v>
      </c>
      <c r="D54" s="50">
        <f t="shared" si="4"/>
        <v>7620131.3702127654</v>
      </c>
      <c r="E54" s="50">
        <f t="shared" si="4"/>
        <v>6957511.2510638293</v>
      </c>
      <c r="F54" s="50">
        <f t="shared" si="4"/>
        <v>6957511.2510638293</v>
      </c>
      <c r="G54" s="50">
        <f t="shared" si="4"/>
        <v>7288821.3106382973</v>
      </c>
      <c r="H54" s="50">
        <f t="shared" si="4"/>
        <v>7288821.3106382973</v>
      </c>
      <c r="I54" s="50">
        <f t="shared" si="4"/>
        <v>3975720.7148936167</v>
      </c>
      <c r="J54" s="50">
        <f t="shared" si="4"/>
        <v>7288821.3106382973</v>
      </c>
      <c r="K54" s="50">
        <f t="shared" si="4"/>
        <v>6957511.2510638293</v>
      </c>
      <c r="L54" s="50">
        <f t="shared" si="4"/>
        <v>6957511.2510638293</v>
      </c>
      <c r="M54" s="50">
        <f t="shared" si="4"/>
        <v>3975720.7148936167</v>
      </c>
      <c r="N54" s="51">
        <f>SUM(B54:M54)</f>
        <v>77857864</v>
      </c>
    </row>
    <row r="75" spans="1:14" ht="17" thickBot="1" x14ac:dyDescent="0.25"/>
    <row r="76" spans="1:14" x14ac:dyDescent="0.2">
      <c r="A76" s="3" t="s">
        <v>93</v>
      </c>
      <c r="B76" s="3" t="s">
        <v>6</v>
      </c>
      <c r="C76" s="3" t="s">
        <v>7</v>
      </c>
      <c r="D76" s="3" t="s">
        <v>8</v>
      </c>
      <c r="E76" s="3" t="s">
        <v>9</v>
      </c>
      <c r="F76" s="3" t="s">
        <v>10</v>
      </c>
      <c r="G76" s="3" t="s">
        <v>11</v>
      </c>
      <c r="H76" s="3" t="s">
        <v>12</v>
      </c>
      <c r="I76" s="3" t="s">
        <v>13</v>
      </c>
      <c r="J76" s="3" t="s">
        <v>14</v>
      </c>
      <c r="K76" s="3" t="s">
        <v>15</v>
      </c>
      <c r="L76" s="3" t="s">
        <v>16</v>
      </c>
      <c r="M76" s="3" t="s">
        <v>17</v>
      </c>
      <c r="N76" s="47" t="s">
        <v>5</v>
      </c>
    </row>
    <row r="77" spans="1:14" x14ac:dyDescent="0.2">
      <c r="A77" s="1" t="s">
        <v>30</v>
      </c>
      <c r="B77" s="48">
        <f>QUANTITÀ!B10</f>
        <v>293.61702127659601</v>
      </c>
      <c r="C77" s="48">
        <f>QUANTITÀ!C10</f>
        <v>326.2411347517733</v>
      </c>
      <c r="D77" s="48">
        <f>QUANTITÀ!D10</f>
        <v>375.1773049645393</v>
      </c>
      <c r="E77" s="48">
        <f>QUANTITÀ!E10</f>
        <v>342.55319148936201</v>
      </c>
      <c r="F77" s="48">
        <f>QUANTITÀ!F10</f>
        <v>342.55319148936201</v>
      </c>
      <c r="G77" s="48">
        <f>QUANTITÀ!G10</f>
        <v>358.86524822695065</v>
      </c>
      <c r="H77" s="48">
        <f>QUANTITÀ!H10</f>
        <v>358.86524822695065</v>
      </c>
      <c r="I77" s="48">
        <f>QUANTITÀ!I10</f>
        <v>195.744680851064</v>
      </c>
      <c r="J77" s="48">
        <f>QUANTITÀ!J10</f>
        <v>358.86524822695065</v>
      </c>
      <c r="K77" s="48">
        <f>QUANTITÀ!K10</f>
        <v>342.55319148936201</v>
      </c>
      <c r="L77" s="48">
        <f>QUANTITÀ!L10</f>
        <v>342.55319148936201</v>
      </c>
      <c r="M77" s="48">
        <f>QUANTITÀ!M10</f>
        <v>195.744680851064</v>
      </c>
      <c r="N77" s="49">
        <f>SUM(B77:M77)</f>
        <v>3833.3333333333367</v>
      </c>
    </row>
    <row r="78" spans="1:14" x14ac:dyDescent="0.2">
      <c r="A78" s="1" t="s">
        <v>31</v>
      </c>
      <c r="B78" s="66">
        <f>PREZZI!B7</f>
        <v>180</v>
      </c>
      <c r="C78" s="66">
        <f>PREZZI!C7</f>
        <v>180</v>
      </c>
      <c r="D78" s="66">
        <f>PREZZI!D7</f>
        <v>180</v>
      </c>
      <c r="E78" s="66">
        <f>PREZZI!E7</f>
        <v>180</v>
      </c>
      <c r="F78" s="66">
        <f>PREZZI!F7</f>
        <v>180</v>
      </c>
      <c r="G78" s="66">
        <f>PREZZI!G7</f>
        <v>180</v>
      </c>
      <c r="H78" s="66">
        <f>PREZZI!H7</f>
        <v>180</v>
      </c>
      <c r="I78" s="66">
        <f>PREZZI!I7</f>
        <v>180</v>
      </c>
      <c r="J78" s="66">
        <f>PREZZI!J7</f>
        <v>180</v>
      </c>
      <c r="K78" s="66">
        <f>PREZZI!K7</f>
        <v>180</v>
      </c>
      <c r="L78" s="66">
        <f>PREZZI!L7</f>
        <v>180</v>
      </c>
      <c r="M78" s="66">
        <f>PREZZI!M7</f>
        <v>180</v>
      </c>
      <c r="N78" s="67">
        <f>(N79*1000)/N77</f>
        <v>180000.00000000003</v>
      </c>
    </row>
    <row r="79" spans="1:14" x14ac:dyDescent="0.2">
      <c r="A79" s="10" t="s">
        <v>32</v>
      </c>
      <c r="B79" s="50">
        <f>B77*B78</f>
        <v>52851.063829787279</v>
      </c>
      <c r="C79" s="50">
        <f t="shared" ref="C79:M79" si="5">C77*C78</f>
        <v>58723.404255319198</v>
      </c>
      <c r="D79" s="50">
        <f t="shared" si="5"/>
        <v>67531.914893617068</v>
      </c>
      <c r="E79" s="50">
        <f t="shared" si="5"/>
        <v>61659.574468085164</v>
      </c>
      <c r="F79" s="50">
        <f t="shared" si="5"/>
        <v>61659.574468085164</v>
      </c>
      <c r="G79" s="50">
        <f t="shared" si="5"/>
        <v>64595.744680851116</v>
      </c>
      <c r="H79" s="50">
        <f t="shared" si="5"/>
        <v>64595.744680851116</v>
      </c>
      <c r="I79" s="50">
        <f t="shared" si="5"/>
        <v>35234.042553191524</v>
      </c>
      <c r="J79" s="50">
        <f t="shared" si="5"/>
        <v>64595.744680851116</v>
      </c>
      <c r="K79" s="50">
        <f t="shared" si="5"/>
        <v>61659.574468085164</v>
      </c>
      <c r="L79" s="50">
        <f t="shared" si="5"/>
        <v>61659.574468085164</v>
      </c>
      <c r="M79" s="50">
        <f t="shared" si="5"/>
        <v>35234.042553191524</v>
      </c>
      <c r="N79" s="51">
        <f>SUM(B79:M79)</f>
        <v>690000.0000000007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2:P84"/>
  <sheetViews>
    <sheetView zoomScale="150" zoomScaleNormal="140" workbookViewId="0">
      <selection activeCell="P6" sqref="P6"/>
    </sheetView>
  </sheetViews>
  <sheetFormatPr baseColWidth="10" defaultColWidth="9.1640625" defaultRowHeight="16" x14ac:dyDescent="0.2"/>
  <cols>
    <col min="1" max="1" width="23.5" style="4" bestFit="1" customWidth="1"/>
    <col min="2" max="5" width="11.6640625" style="1" bestFit="1" customWidth="1"/>
    <col min="6" max="13" width="12.83203125" style="1" customWidth="1"/>
    <col min="14" max="14" width="13.6640625" style="1" bestFit="1" customWidth="1"/>
    <col min="15" max="16384" width="9.1640625" style="1"/>
  </cols>
  <sheetData>
    <row r="2" spans="1:16" ht="17" thickBot="1" x14ac:dyDescent="0.25"/>
    <row r="3" spans="1:16" x14ac:dyDescent="0.2">
      <c r="A3" s="203" t="s">
        <v>87</v>
      </c>
      <c r="B3" s="204" t="s">
        <v>6</v>
      </c>
      <c r="C3" s="204" t="s">
        <v>7</v>
      </c>
      <c r="D3" s="204" t="s">
        <v>8</v>
      </c>
      <c r="E3" s="204" t="s">
        <v>9</v>
      </c>
      <c r="F3" s="204" t="s">
        <v>10</v>
      </c>
      <c r="G3" s="204" t="s">
        <v>11</v>
      </c>
      <c r="H3" s="204" t="s">
        <v>12</v>
      </c>
      <c r="I3" s="204" t="s">
        <v>13</v>
      </c>
      <c r="J3" s="204" t="s">
        <v>14</v>
      </c>
      <c r="K3" s="204" t="s">
        <v>15</v>
      </c>
      <c r="L3" s="204" t="s">
        <v>16</v>
      </c>
      <c r="M3" s="204" t="s">
        <v>17</v>
      </c>
      <c r="N3" s="210" t="s">
        <v>5</v>
      </c>
    </row>
    <row r="4" spans="1:16" x14ac:dyDescent="0.2">
      <c r="A4" s="206" t="s">
        <v>30</v>
      </c>
      <c r="B4" s="48">
        <f t="shared" ref="B4:M4" si="0">B29+B54+B79</f>
        <v>3206.7160833768021</v>
      </c>
      <c r="C4" s="48">
        <f t="shared" si="0"/>
        <v>3563.0178704186692</v>
      </c>
      <c r="D4" s="48">
        <f t="shared" si="0"/>
        <v>4097.4705509814694</v>
      </c>
      <c r="E4" s="48">
        <f t="shared" si="0"/>
        <v>3741.1687639396023</v>
      </c>
      <c r="F4" s="48">
        <f t="shared" si="0"/>
        <v>3741.1687639396023</v>
      </c>
      <c r="G4" s="48">
        <f t="shared" si="0"/>
        <v>3919.3196574605354</v>
      </c>
      <c r="H4" s="48">
        <f t="shared" si="0"/>
        <v>3919.3196574605354</v>
      </c>
      <c r="I4" s="48">
        <f t="shared" si="0"/>
        <v>2137.8107222512012</v>
      </c>
      <c r="J4" s="48">
        <f t="shared" si="0"/>
        <v>3919.3196574605354</v>
      </c>
      <c r="K4" s="48">
        <f t="shared" si="0"/>
        <v>3741.1687639396023</v>
      </c>
      <c r="L4" s="48">
        <f t="shared" si="0"/>
        <v>3741.1687639396023</v>
      </c>
      <c r="M4" s="48">
        <f t="shared" si="0"/>
        <v>2137.8107222512012</v>
      </c>
      <c r="N4" s="211">
        <f>SUM(B4:M4)</f>
        <v>41865.459977419363</v>
      </c>
    </row>
    <row r="5" spans="1:16" x14ac:dyDescent="0.2">
      <c r="A5" s="206" t="s">
        <v>31</v>
      </c>
      <c r="B5" s="56">
        <f>B6/B4</f>
        <v>500</v>
      </c>
      <c r="C5" s="56">
        <f t="shared" ref="C5:M5" si="1">C6/C4</f>
        <v>499.99999999999994</v>
      </c>
      <c r="D5" s="56">
        <f t="shared" si="1"/>
        <v>500</v>
      </c>
      <c r="E5" s="56">
        <f t="shared" si="1"/>
        <v>500</v>
      </c>
      <c r="F5" s="56">
        <f t="shared" si="1"/>
        <v>500</v>
      </c>
      <c r="G5" s="56">
        <f t="shared" si="1"/>
        <v>499.99999999999994</v>
      </c>
      <c r="H5" s="56">
        <f t="shared" si="1"/>
        <v>499.99999999999994</v>
      </c>
      <c r="I5" s="56">
        <f t="shared" si="1"/>
        <v>499.99999999999994</v>
      </c>
      <c r="J5" s="56">
        <f t="shared" si="1"/>
        <v>499.99999999999994</v>
      </c>
      <c r="K5" s="56">
        <f t="shared" si="1"/>
        <v>500</v>
      </c>
      <c r="L5" s="56">
        <f t="shared" si="1"/>
        <v>500</v>
      </c>
      <c r="M5" s="56">
        <f t="shared" si="1"/>
        <v>499.99999999999994</v>
      </c>
      <c r="N5" s="212">
        <f>N6/N4</f>
        <v>499.99999999999989</v>
      </c>
      <c r="P5" s="1" t="s">
        <v>86</v>
      </c>
    </row>
    <row r="6" spans="1:16" ht="17" thickBot="1" x14ac:dyDescent="0.25">
      <c r="A6" s="35" t="s">
        <v>32</v>
      </c>
      <c r="B6" s="213">
        <f t="shared" ref="B6:M6" si="2">B31+B56+B81</f>
        <v>1603358.041688401</v>
      </c>
      <c r="C6" s="213">
        <f t="shared" si="2"/>
        <v>1781508.9352093344</v>
      </c>
      <c r="D6" s="213">
        <f t="shared" si="2"/>
        <v>2048735.2754907347</v>
      </c>
      <c r="E6" s="213">
        <f t="shared" si="2"/>
        <v>1870584.3819698012</v>
      </c>
      <c r="F6" s="213">
        <f t="shared" si="2"/>
        <v>1870584.3819698012</v>
      </c>
      <c r="G6" s="213">
        <f t="shared" si="2"/>
        <v>1959659.8287302675</v>
      </c>
      <c r="H6" s="213">
        <f t="shared" si="2"/>
        <v>1959659.8287302675</v>
      </c>
      <c r="I6" s="213">
        <f t="shared" si="2"/>
        <v>1068905.3611256005</v>
      </c>
      <c r="J6" s="213">
        <f t="shared" si="2"/>
        <v>1959659.8287302675</v>
      </c>
      <c r="K6" s="213">
        <f t="shared" si="2"/>
        <v>1870584.3819698012</v>
      </c>
      <c r="L6" s="213">
        <f t="shared" si="2"/>
        <v>1870584.3819698012</v>
      </c>
      <c r="M6" s="213">
        <f t="shared" si="2"/>
        <v>1068905.3611256005</v>
      </c>
      <c r="N6" s="214">
        <f>SUM(B6:M6)</f>
        <v>20932729.988709677</v>
      </c>
      <c r="P6" s="73">
        <f>+N6-'Tab 3'!Z42</f>
        <v>0</v>
      </c>
    </row>
    <row r="25" spans="1:14" ht="17" thickBot="1" x14ac:dyDescent="0.25">
      <c r="A25" s="69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4" ht="17" thickTop="1" x14ac:dyDescent="0.2"/>
    <row r="27" spans="1:14" ht="17" thickBot="1" x14ac:dyDescent="0.25"/>
    <row r="28" spans="1:14" x14ac:dyDescent="0.2">
      <c r="A28" s="203" t="s">
        <v>88</v>
      </c>
      <c r="B28" s="204" t="s">
        <v>6</v>
      </c>
      <c r="C28" s="204" t="s">
        <v>7</v>
      </c>
      <c r="D28" s="204" t="s">
        <v>8</v>
      </c>
      <c r="E28" s="204" t="s">
        <v>9</v>
      </c>
      <c r="F28" s="204" t="s">
        <v>10</v>
      </c>
      <c r="G28" s="204" t="s">
        <v>11</v>
      </c>
      <c r="H28" s="204" t="s">
        <v>12</v>
      </c>
      <c r="I28" s="204" t="s">
        <v>13</v>
      </c>
      <c r="J28" s="204" t="s">
        <v>14</v>
      </c>
      <c r="K28" s="204" t="s">
        <v>15</v>
      </c>
      <c r="L28" s="204" t="s">
        <v>16</v>
      </c>
      <c r="M28" s="204" t="s">
        <v>17</v>
      </c>
      <c r="N28" s="210" t="s">
        <v>5</v>
      </c>
    </row>
    <row r="29" spans="1:14" x14ac:dyDescent="0.2">
      <c r="A29" s="206" t="s">
        <v>30</v>
      </c>
      <c r="B29" s="48">
        <f>QUANTITÀ!B15</f>
        <v>1198.375657844887</v>
      </c>
      <c r="C29" s="48">
        <f>QUANTITÀ!C15</f>
        <v>1331.528508716541</v>
      </c>
      <c r="D29" s="48">
        <f>QUANTITÀ!D15</f>
        <v>1531.257785024022</v>
      </c>
      <c r="E29" s="48">
        <f>QUANTITÀ!E15</f>
        <v>1398.1049341523681</v>
      </c>
      <c r="F29" s="48">
        <f>QUANTITÀ!F15</f>
        <v>1398.1049341523681</v>
      </c>
      <c r="G29" s="48">
        <f>QUANTITÀ!G15</f>
        <v>1464.6813595881949</v>
      </c>
      <c r="H29" s="48">
        <f>QUANTITÀ!H15</f>
        <v>1464.6813595881949</v>
      </c>
      <c r="I29" s="48">
        <f>QUANTITÀ!I15</f>
        <v>798.91710522992457</v>
      </c>
      <c r="J29" s="48">
        <f>QUANTITÀ!J15</f>
        <v>1464.6813595881949</v>
      </c>
      <c r="K29" s="48">
        <f>QUANTITÀ!K15</f>
        <v>1398.1049341523681</v>
      </c>
      <c r="L29" s="48">
        <f>QUANTITÀ!L15</f>
        <v>1398.1049341523681</v>
      </c>
      <c r="M29" s="48">
        <f>QUANTITÀ!M15</f>
        <v>798.91710522992457</v>
      </c>
      <c r="N29" s="211">
        <f>SUM(B29:M29)</f>
        <v>15645.459977419356</v>
      </c>
    </row>
    <row r="30" spans="1:14" x14ac:dyDescent="0.2">
      <c r="A30" s="206" t="s">
        <v>31</v>
      </c>
      <c r="B30" s="56">
        <f>PREZZI!B12</f>
        <v>500</v>
      </c>
      <c r="C30" s="56">
        <f>PREZZI!C12</f>
        <v>500</v>
      </c>
      <c r="D30" s="56">
        <f>PREZZI!D12</f>
        <v>500</v>
      </c>
      <c r="E30" s="56">
        <f>PREZZI!E12</f>
        <v>500</v>
      </c>
      <c r="F30" s="56">
        <f>PREZZI!F12</f>
        <v>500</v>
      </c>
      <c r="G30" s="56">
        <f>PREZZI!G12</f>
        <v>500</v>
      </c>
      <c r="H30" s="56">
        <f>PREZZI!H12</f>
        <v>500</v>
      </c>
      <c r="I30" s="56">
        <f>PREZZI!I12</f>
        <v>500</v>
      </c>
      <c r="J30" s="56">
        <f>PREZZI!J12</f>
        <v>500</v>
      </c>
      <c r="K30" s="56">
        <f>PREZZI!K12</f>
        <v>500</v>
      </c>
      <c r="L30" s="56">
        <f>PREZZI!L12</f>
        <v>500</v>
      </c>
      <c r="M30" s="56">
        <f>PREZZI!M12</f>
        <v>500</v>
      </c>
      <c r="N30" s="212">
        <f>N31/N29</f>
        <v>500.00000000000006</v>
      </c>
    </row>
    <row r="31" spans="1:14" ht="17" thickBot="1" x14ac:dyDescent="0.25">
      <c r="A31" s="35" t="s">
        <v>32</v>
      </c>
      <c r="B31" s="213">
        <f>B29*B30</f>
        <v>599187.82892244344</v>
      </c>
      <c r="C31" s="213">
        <f t="shared" ref="C31:M31" si="3">C29*C30</f>
        <v>665764.25435827044</v>
      </c>
      <c r="D31" s="213">
        <f t="shared" si="3"/>
        <v>765628.89251201099</v>
      </c>
      <c r="E31" s="213">
        <f t="shared" si="3"/>
        <v>699052.467076184</v>
      </c>
      <c r="F31" s="213">
        <f t="shared" si="3"/>
        <v>699052.467076184</v>
      </c>
      <c r="G31" s="213">
        <f t="shared" si="3"/>
        <v>732340.67979409744</v>
      </c>
      <c r="H31" s="213">
        <f t="shared" si="3"/>
        <v>732340.67979409744</v>
      </c>
      <c r="I31" s="213">
        <f t="shared" si="3"/>
        <v>399458.55261496227</v>
      </c>
      <c r="J31" s="213">
        <f t="shared" si="3"/>
        <v>732340.67979409744</v>
      </c>
      <c r="K31" s="213">
        <f t="shared" si="3"/>
        <v>699052.467076184</v>
      </c>
      <c r="L31" s="213">
        <f t="shared" si="3"/>
        <v>699052.467076184</v>
      </c>
      <c r="M31" s="213">
        <f t="shared" si="3"/>
        <v>399458.55261496227</v>
      </c>
      <c r="N31" s="214">
        <f>SUM(B31:M31)</f>
        <v>7822729.9887096789</v>
      </c>
    </row>
    <row r="52" spans="1:14" ht="17" thickBot="1" x14ac:dyDescent="0.25"/>
    <row r="53" spans="1:14" x14ac:dyDescent="0.2">
      <c r="A53" s="203" t="s">
        <v>89</v>
      </c>
      <c r="B53" s="204" t="s">
        <v>6</v>
      </c>
      <c r="C53" s="204" t="s">
        <v>7</v>
      </c>
      <c r="D53" s="204" t="s">
        <v>8</v>
      </c>
      <c r="E53" s="204" t="s">
        <v>9</v>
      </c>
      <c r="F53" s="204" t="s">
        <v>10</v>
      </c>
      <c r="G53" s="204" t="s">
        <v>11</v>
      </c>
      <c r="H53" s="204" t="s">
        <v>12</v>
      </c>
      <c r="I53" s="204" t="s">
        <v>13</v>
      </c>
      <c r="J53" s="204" t="s">
        <v>14</v>
      </c>
      <c r="K53" s="204" t="s">
        <v>15</v>
      </c>
      <c r="L53" s="204" t="s">
        <v>16</v>
      </c>
      <c r="M53" s="204" t="s">
        <v>17</v>
      </c>
      <c r="N53" s="210" t="s">
        <v>5</v>
      </c>
    </row>
    <row r="54" spans="1:14" x14ac:dyDescent="0.2">
      <c r="A54" s="206" t="s">
        <v>30</v>
      </c>
      <c r="B54" s="48">
        <f>QUANTITÀ!B16</f>
        <v>0</v>
      </c>
      <c r="C54" s="48">
        <f>QUANTITÀ!C16</f>
        <v>0</v>
      </c>
      <c r="D54" s="48">
        <f>QUANTITÀ!D16</f>
        <v>0</v>
      </c>
      <c r="E54" s="48">
        <f>QUANTITÀ!E16</f>
        <v>0</v>
      </c>
      <c r="F54" s="48">
        <f>QUANTITÀ!F16</f>
        <v>0</v>
      </c>
      <c r="G54" s="48">
        <f>QUANTITÀ!G16</f>
        <v>0</v>
      </c>
      <c r="H54" s="48">
        <f>QUANTITÀ!H16</f>
        <v>0</v>
      </c>
      <c r="I54" s="48">
        <f>QUANTITÀ!I16</f>
        <v>0</v>
      </c>
      <c r="J54" s="48">
        <f>QUANTITÀ!J16</f>
        <v>0</v>
      </c>
      <c r="K54" s="48">
        <f>QUANTITÀ!K16</f>
        <v>0</v>
      </c>
      <c r="L54" s="48">
        <f>QUANTITÀ!L16</f>
        <v>0</v>
      </c>
      <c r="M54" s="48">
        <f>QUANTITÀ!M16</f>
        <v>0</v>
      </c>
      <c r="N54" s="211">
        <f>SUM(B54:M54)</f>
        <v>0</v>
      </c>
    </row>
    <row r="55" spans="1:14" x14ac:dyDescent="0.2">
      <c r="A55" s="206" t="s">
        <v>31</v>
      </c>
      <c r="B55" s="56">
        <f>PREZZI!B13</f>
        <v>500</v>
      </c>
      <c r="C55" s="56">
        <f>PREZZI!C13</f>
        <v>500</v>
      </c>
      <c r="D55" s="56">
        <f>PREZZI!D13</f>
        <v>500</v>
      </c>
      <c r="E55" s="56">
        <f>PREZZI!E13</f>
        <v>500</v>
      </c>
      <c r="F55" s="56">
        <f>PREZZI!F13</f>
        <v>500</v>
      </c>
      <c r="G55" s="56">
        <f>PREZZI!G13</f>
        <v>500</v>
      </c>
      <c r="H55" s="56">
        <f>PREZZI!H13</f>
        <v>500</v>
      </c>
      <c r="I55" s="56">
        <f>PREZZI!I13</f>
        <v>500</v>
      </c>
      <c r="J55" s="56">
        <f>PREZZI!J13</f>
        <v>500</v>
      </c>
      <c r="K55" s="56">
        <f>PREZZI!K13</f>
        <v>500</v>
      </c>
      <c r="L55" s="56">
        <f>PREZZI!L13</f>
        <v>500</v>
      </c>
      <c r="M55" s="56">
        <f>PREZZI!M13</f>
        <v>500</v>
      </c>
      <c r="N55" s="212">
        <f>IFERROR(N56/N54,0)</f>
        <v>0</v>
      </c>
    </row>
    <row r="56" spans="1:14" ht="17" thickBot="1" x14ac:dyDescent="0.25">
      <c r="A56" s="35" t="s">
        <v>32</v>
      </c>
      <c r="B56" s="213">
        <f>B54*B55</f>
        <v>0</v>
      </c>
      <c r="C56" s="213">
        <f t="shared" ref="C56:M56" si="4">C54*C55</f>
        <v>0</v>
      </c>
      <c r="D56" s="213">
        <f t="shared" si="4"/>
        <v>0</v>
      </c>
      <c r="E56" s="213">
        <f t="shared" si="4"/>
        <v>0</v>
      </c>
      <c r="F56" s="213">
        <f t="shared" si="4"/>
        <v>0</v>
      </c>
      <c r="G56" s="213">
        <f t="shared" si="4"/>
        <v>0</v>
      </c>
      <c r="H56" s="213">
        <f t="shared" si="4"/>
        <v>0</v>
      </c>
      <c r="I56" s="213">
        <f t="shared" si="4"/>
        <v>0</v>
      </c>
      <c r="J56" s="213">
        <f t="shared" si="4"/>
        <v>0</v>
      </c>
      <c r="K56" s="213">
        <f t="shared" si="4"/>
        <v>0</v>
      </c>
      <c r="L56" s="213">
        <f t="shared" si="4"/>
        <v>0</v>
      </c>
      <c r="M56" s="213">
        <f t="shared" si="4"/>
        <v>0</v>
      </c>
      <c r="N56" s="214">
        <f>SUM(B56:M56)</f>
        <v>0</v>
      </c>
    </row>
    <row r="77" spans="1:14" ht="17" thickBot="1" x14ac:dyDescent="0.25"/>
    <row r="78" spans="1:14" x14ac:dyDescent="0.2">
      <c r="A78" s="203" t="s">
        <v>90</v>
      </c>
      <c r="B78" s="204" t="s">
        <v>6</v>
      </c>
      <c r="C78" s="204" t="s">
        <v>7</v>
      </c>
      <c r="D78" s="204" t="s">
        <v>8</v>
      </c>
      <c r="E78" s="204" t="s">
        <v>9</v>
      </c>
      <c r="F78" s="204" t="s">
        <v>10</v>
      </c>
      <c r="G78" s="204" t="s">
        <v>11</v>
      </c>
      <c r="H78" s="204" t="s">
        <v>12</v>
      </c>
      <c r="I78" s="204" t="s">
        <v>13</v>
      </c>
      <c r="J78" s="204" t="s">
        <v>14</v>
      </c>
      <c r="K78" s="204" t="s">
        <v>15</v>
      </c>
      <c r="L78" s="204" t="s">
        <v>16</v>
      </c>
      <c r="M78" s="204" t="s">
        <v>17</v>
      </c>
      <c r="N78" s="210" t="s">
        <v>5</v>
      </c>
    </row>
    <row r="79" spans="1:14" x14ac:dyDescent="0.2">
      <c r="A79" s="206" t="s">
        <v>30</v>
      </c>
      <c r="B79" s="48">
        <f>QUANTITÀ!B17</f>
        <v>2008.3404255319151</v>
      </c>
      <c r="C79" s="48">
        <f>QUANTITÀ!C17</f>
        <v>2231.489361702128</v>
      </c>
      <c r="D79" s="48">
        <f>QUANTITÀ!D17</f>
        <v>2566.2127659574471</v>
      </c>
      <c r="E79" s="48">
        <f>QUANTITÀ!E17</f>
        <v>2343.0638297872342</v>
      </c>
      <c r="F79" s="48">
        <f>QUANTITÀ!F17</f>
        <v>2343.0638297872342</v>
      </c>
      <c r="G79" s="48">
        <f>QUANTITÀ!G17</f>
        <v>2454.6382978723404</v>
      </c>
      <c r="H79" s="48">
        <f>QUANTITÀ!H17</f>
        <v>2454.6382978723404</v>
      </c>
      <c r="I79" s="48">
        <f>QUANTITÀ!I17</f>
        <v>1338.8936170212767</v>
      </c>
      <c r="J79" s="48">
        <f>QUANTITÀ!J17</f>
        <v>2454.6382978723404</v>
      </c>
      <c r="K79" s="48">
        <f>QUANTITÀ!K17</f>
        <v>2343.0638297872342</v>
      </c>
      <c r="L79" s="48">
        <f>QUANTITÀ!L17</f>
        <v>2343.0638297872342</v>
      </c>
      <c r="M79" s="48">
        <f>QUANTITÀ!M17</f>
        <v>1338.8936170212767</v>
      </c>
      <c r="N79" s="211">
        <f>SUM(B79:M79)</f>
        <v>26220.000000000004</v>
      </c>
    </row>
    <row r="80" spans="1:14" x14ac:dyDescent="0.2">
      <c r="A80" s="206" t="s">
        <v>31</v>
      </c>
      <c r="B80" s="56">
        <f>PREZZI!B14</f>
        <v>500</v>
      </c>
      <c r="C80" s="56">
        <f>PREZZI!C14</f>
        <v>500</v>
      </c>
      <c r="D80" s="56">
        <f>PREZZI!D14</f>
        <v>500</v>
      </c>
      <c r="E80" s="56">
        <f>PREZZI!E14</f>
        <v>500</v>
      </c>
      <c r="F80" s="56">
        <f>PREZZI!F14</f>
        <v>500</v>
      </c>
      <c r="G80" s="56">
        <f>PREZZI!G14</f>
        <v>500</v>
      </c>
      <c r="H80" s="56">
        <f>PREZZI!H14</f>
        <v>500</v>
      </c>
      <c r="I80" s="56">
        <f>PREZZI!I14</f>
        <v>500</v>
      </c>
      <c r="J80" s="56">
        <f>PREZZI!J14</f>
        <v>500</v>
      </c>
      <c r="K80" s="56">
        <f>PREZZI!K14</f>
        <v>500</v>
      </c>
      <c r="L80" s="56">
        <f>PREZZI!L14</f>
        <v>500</v>
      </c>
      <c r="M80" s="56">
        <f>PREZZI!M14</f>
        <v>500</v>
      </c>
      <c r="N80" s="212">
        <f>(N81*1000)/N79</f>
        <v>500000.00000000006</v>
      </c>
    </row>
    <row r="81" spans="1:14" ht="17" thickBot="1" x14ac:dyDescent="0.25">
      <c r="A81" s="35" t="s">
        <v>32</v>
      </c>
      <c r="B81" s="213">
        <f>B79*B80</f>
        <v>1004170.2127659576</v>
      </c>
      <c r="C81" s="213">
        <f t="shared" ref="C81:M81" si="5">C79*C80</f>
        <v>1115744.6808510639</v>
      </c>
      <c r="D81" s="213">
        <f t="shared" si="5"/>
        <v>1283106.3829787236</v>
      </c>
      <c r="E81" s="213">
        <f t="shared" si="5"/>
        <v>1171531.9148936172</v>
      </c>
      <c r="F81" s="213">
        <f t="shared" si="5"/>
        <v>1171531.9148936172</v>
      </c>
      <c r="G81" s="213">
        <f t="shared" si="5"/>
        <v>1227319.1489361702</v>
      </c>
      <c r="H81" s="213">
        <f t="shared" si="5"/>
        <v>1227319.1489361702</v>
      </c>
      <c r="I81" s="213">
        <f t="shared" si="5"/>
        <v>669446.80851063831</v>
      </c>
      <c r="J81" s="213">
        <f t="shared" si="5"/>
        <v>1227319.1489361702</v>
      </c>
      <c r="K81" s="213">
        <f t="shared" si="5"/>
        <v>1171531.9148936172</v>
      </c>
      <c r="L81" s="213">
        <f t="shared" si="5"/>
        <v>1171531.9148936172</v>
      </c>
      <c r="M81" s="213">
        <f t="shared" si="5"/>
        <v>669446.80851063831</v>
      </c>
      <c r="N81" s="214">
        <f>SUM(B81:M81)</f>
        <v>13110000.000000004</v>
      </c>
    </row>
    <row r="84" spans="1:14" x14ac:dyDescent="0.2">
      <c r="N84" s="52"/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B88E-9545-244E-8F0A-82F16023F649}">
  <sheetPr>
    <pageSetUpPr fitToPage="1"/>
  </sheetPr>
  <dimension ref="B2:O13"/>
  <sheetViews>
    <sheetView zoomScale="200" zoomScaleNormal="180" workbookViewId="0">
      <selection activeCell="C10" sqref="C10"/>
    </sheetView>
  </sheetViews>
  <sheetFormatPr baseColWidth="10" defaultRowHeight="16" x14ac:dyDescent="0.2"/>
  <cols>
    <col min="1" max="1" width="10.83203125" style="1"/>
    <col min="2" max="2" width="19" style="1" customWidth="1"/>
    <col min="3" max="14" width="12.33203125" style="1" customWidth="1"/>
    <col min="15" max="15" width="15" style="1" customWidth="1"/>
    <col min="16" max="16384" width="10.83203125" style="1"/>
  </cols>
  <sheetData>
    <row r="2" spans="2:15" x14ac:dyDescent="0.2">
      <c r="B2" s="1" t="s">
        <v>112</v>
      </c>
    </row>
    <row r="3" spans="2:15" ht="17" thickBot="1" x14ac:dyDescent="0.25"/>
    <row r="4" spans="2:15" x14ac:dyDescent="0.2">
      <c r="B4" s="11"/>
      <c r="C4" s="270" t="s">
        <v>106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9"/>
    </row>
    <row r="5" spans="2:15" x14ac:dyDescent="0.2">
      <c r="B5" s="219"/>
      <c r="C5" s="20" t="s">
        <v>94</v>
      </c>
      <c r="D5" s="18" t="s">
        <v>95</v>
      </c>
      <c r="E5" s="18" t="s">
        <v>96</v>
      </c>
      <c r="F5" s="18" t="s">
        <v>97</v>
      </c>
      <c r="G5" s="18" t="s">
        <v>98</v>
      </c>
      <c r="H5" s="18" t="s">
        <v>99</v>
      </c>
      <c r="I5" s="18" t="s">
        <v>100</v>
      </c>
      <c r="J5" s="18" t="s">
        <v>101</v>
      </c>
      <c r="K5" s="18" t="s">
        <v>102</v>
      </c>
      <c r="L5" s="18" t="s">
        <v>103</v>
      </c>
      <c r="M5" s="18" t="s">
        <v>104</v>
      </c>
      <c r="N5" s="18" t="s">
        <v>105</v>
      </c>
      <c r="O5" s="220" t="s">
        <v>63</v>
      </c>
    </row>
    <row r="6" spans="2:15" x14ac:dyDescent="0.2">
      <c r="B6" s="221" t="s">
        <v>83</v>
      </c>
      <c r="C6" s="216">
        <f>MOLLE!B31+POLIUR!B31</f>
        <v>3994585.5261496222</v>
      </c>
      <c r="D6" s="181">
        <f>MOLLE!C31+POLIUR!C31</f>
        <v>4438428.3623884683</v>
      </c>
      <c r="E6" s="181">
        <f>MOLLE!D31+POLIUR!D31</f>
        <v>5104192.6167467395</v>
      </c>
      <c r="F6" s="181">
        <f>MOLLE!E31+POLIUR!E31</f>
        <v>4660349.7805078924</v>
      </c>
      <c r="G6" s="181">
        <f>MOLLE!F31+POLIUR!F31</f>
        <v>4660349.7805078924</v>
      </c>
      <c r="H6" s="181">
        <f>MOLLE!G31+POLIUR!G31</f>
        <v>4882271.1986273155</v>
      </c>
      <c r="I6" s="181">
        <f>MOLLE!H31+POLIUR!H31</f>
        <v>4882271.1986273155</v>
      </c>
      <c r="J6" s="181">
        <f>MOLLE!I31+POLIUR!I31</f>
        <v>2663057.0174330808</v>
      </c>
      <c r="K6" s="181">
        <f>MOLLE!J31+POLIUR!J31</f>
        <v>4882271.1986273155</v>
      </c>
      <c r="L6" s="181">
        <f>MOLLE!K31+POLIUR!K31</f>
        <v>4660349.7805078924</v>
      </c>
      <c r="M6" s="181">
        <f>MOLLE!L31+POLIUR!L31</f>
        <v>4660349.7805078924</v>
      </c>
      <c r="N6" s="181">
        <f>MOLLE!M31+POLIUR!M31</f>
        <v>2663057.0174330808</v>
      </c>
      <c r="O6" s="222">
        <f>SUM(C6:N6)</f>
        <v>52151533.258064508</v>
      </c>
    </row>
    <row r="7" spans="2:15" x14ac:dyDescent="0.2">
      <c r="B7" s="76" t="s">
        <v>84</v>
      </c>
      <c r="C7" s="215">
        <f>MOLLE!B54+POLIUR!B56</f>
        <v>5963581.0723404242</v>
      </c>
      <c r="D7" s="72">
        <f>MOLLE!C54+POLIUR!C56</f>
        <v>6626201.1914893612</v>
      </c>
      <c r="E7" s="72">
        <f>MOLLE!D54+POLIUR!D56</f>
        <v>7620131.3702127654</v>
      </c>
      <c r="F7" s="72">
        <f>MOLLE!E54+POLIUR!E56</f>
        <v>6957511.2510638293</v>
      </c>
      <c r="G7" s="72">
        <f>MOLLE!F54+POLIUR!F56</f>
        <v>6957511.2510638293</v>
      </c>
      <c r="H7" s="72">
        <f>MOLLE!G54+POLIUR!G56</f>
        <v>7288821.3106382973</v>
      </c>
      <c r="I7" s="72">
        <f>MOLLE!H54+POLIUR!H56</f>
        <v>7288821.3106382973</v>
      </c>
      <c r="J7" s="72">
        <f>MOLLE!I54+POLIUR!I56</f>
        <v>3975720.7148936167</v>
      </c>
      <c r="K7" s="72">
        <f>MOLLE!J54+POLIUR!J56</f>
        <v>7288821.3106382973</v>
      </c>
      <c r="L7" s="72">
        <f>MOLLE!K54+POLIUR!K56</f>
        <v>6957511.2510638293</v>
      </c>
      <c r="M7" s="72">
        <f>MOLLE!L54+POLIUR!L56</f>
        <v>6957511.2510638293</v>
      </c>
      <c r="N7" s="72">
        <f>MOLLE!M54+POLIUR!M56</f>
        <v>3975720.7148936167</v>
      </c>
      <c r="O7" s="223">
        <f t="shared" ref="O7:O8" si="0">SUM(C7:N7)</f>
        <v>77857864</v>
      </c>
    </row>
    <row r="8" spans="2:15" x14ac:dyDescent="0.2">
      <c r="B8" s="15" t="s">
        <v>85</v>
      </c>
      <c r="C8" s="217">
        <f>MOLLE!B79+POLIUR!B81</f>
        <v>1057021.2765957448</v>
      </c>
      <c r="D8" s="218">
        <f>MOLLE!C79+POLIUR!C81</f>
        <v>1174468.0851063831</v>
      </c>
      <c r="E8" s="218">
        <f>MOLLE!D79+POLIUR!D81</f>
        <v>1350638.2978723408</v>
      </c>
      <c r="F8" s="218">
        <f>MOLLE!E79+POLIUR!E81</f>
        <v>1233191.4893617022</v>
      </c>
      <c r="G8" s="218">
        <f>MOLLE!F79+POLIUR!F81</f>
        <v>1233191.4893617022</v>
      </c>
      <c r="H8" s="218">
        <f>MOLLE!G79+POLIUR!G81</f>
        <v>1291914.8936170214</v>
      </c>
      <c r="I8" s="218">
        <f>MOLLE!H79+POLIUR!H81</f>
        <v>1291914.8936170214</v>
      </c>
      <c r="J8" s="218">
        <f>MOLLE!I79+POLIUR!I81</f>
        <v>704680.85106382985</v>
      </c>
      <c r="K8" s="218">
        <f>MOLLE!J79+POLIUR!J81</f>
        <v>1291914.8936170214</v>
      </c>
      <c r="L8" s="218">
        <f>MOLLE!K79+POLIUR!K81</f>
        <v>1233191.4893617022</v>
      </c>
      <c r="M8" s="218">
        <f>MOLLE!L79+POLIUR!L81</f>
        <v>1233191.4893617022</v>
      </c>
      <c r="N8" s="218">
        <f>MOLLE!M79+POLIUR!M81</f>
        <v>704680.85106382985</v>
      </c>
      <c r="O8" s="224">
        <f t="shared" si="0"/>
        <v>13800000</v>
      </c>
    </row>
    <row r="9" spans="2:15" ht="17" thickBot="1" x14ac:dyDescent="0.25">
      <c r="B9" s="225" t="s">
        <v>32</v>
      </c>
      <c r="C9" s="226">
        <f>SUM(C6:C8)</f>
        <v>11015187.875085792</v>
      </c>
      <c r="D9" s="213">
        <f t="shared" ref="D9:O9" si="1">SUM(D6:D8)</f>
        <v>12239097.638984215</v>
      </c>
      <c r="E9" s="213">
        <f t="shared" si="1"/>
        <v>14074962.284831846</v>
      </c>
      <c r="F9" s="213">
        <f t="shared" si="1"/>
        <v>12851052.520933423</v>
      </c>
      <c r="G9" s="213">
        <f t="shared" si="1"/>
        <v>12851052.520933423</v>
      </c>
      <c r="H9" s="213">
        <f t="shared" si="1"/>
        <v>13463007.402882634</v>
      </c>
      <c r="I9" s="213">
        <f t="shared" si="1"/>
        <v>13463007.402882634</v>
      </c>
      <c r="J9" s="213">
        <f t="shared" si="1"/>
        <v>7343458.5833905274</v>
      </c>
      <c r="K9" s="213">
        <f t="shared" si="1"/>
        <v>13463007.402882634</v>
      </c>
      <c r="L9" s="213">
        <f t="shared" si="1"/>
        <v>12851052.520933423</v>
      </c>
      <c r="M9" s="213">
        <f t="shared" si="1"/>
        <v>12851052.520933423</v>
      </c>
      <c r="N9" s="213">
        <f t="shared" si="1"/>
        <v>7343458.5833905274</v>
      </c>
      <c r="O9" s="227">
        <f t="shared" si="1"/>
        <v>143809397.25806451</v>
      </c>
    </row>
    <row r="10" spans="2:15" x14ac:dyDescent="0.2">
      <c r="B10" s="221" t="s">
        <v>83</v>
      </c>
      <c r="C10" s="216">
        <f>C6*'Tab 0'!$B$46</f>
        <v>39945.855261496225</v>
      </c>
      <c r="D10" s="181">
        <f>D6*'Tab 0'!$B$46</f>
        <v>44384.283623884687</v>
      </c>
      <c r="E10" s="181">
        <f>E6*'Tab 0'!$B$46</f>
        <v>51041.926167467398</v>
      </c>
      <c r="F10" s="181">
        <f>F6*'Tab 0'!$B$46</f>
        <v>46603.497805078921</v>
      </c>
      <c r="G10" s="181">
        <f>G6*'Tab 0'!$B$46</f>
        <v>46603.497805078921</v>
      </c>
      <c r="H10" s="181">
        <f>H6*'Tab 0'!$B$46</f>
        <v>48822.711986273156</v>
      </c>
      <c r="I10" s="181">
        <f>I6*'Tab 0'!$B$46</f>
        <v>48822.711986273156</v>
      </c>
      <c r="J10" s="181">
        <f>J6*'Tab 0'!$B$46</f>
        <v>26630.570174330809</v>
      </c>
      <c r="K10" s="181">
        <f>K6*'Tab 0'!$B$46</f>
        <v>48822.711986273156</v>
      </c>
      <c r="L10" s="181">
        <f>L6*'Tab 0'!$B$46</f>
        <v>46603.497805078921</v>
      </c>
      <c r="M10" s="181">
        <f>M6*'Tab 0'!$B$46</f>
        <v>46603.497805078921</v>
      </c>
      <c r="N10" s="181">
        <f>N6*'Tab 0'!$B$46</f>
        <v>26630.570174330809</v>
      </c>
      <c r="O10" s="222">
        <f>SUM(C10:N10)</f>
        <v>521515.3325806451</v>
      </c>
    </row>
    <row r="11" spans="2:15" x14ac:dyDescent="0.2">
      <c r="B11" s="76" t="s">
        <v>84</v>
      </c>
      <c r="C11" s="215">
        <f>C7*'Tab 0'!$C$46</f>
        <v>0</v>
      </c>
      <c r="D11" s="72">
        <f>D7*'Tab 0'!$C$46</f>
        <v>0</v>
      </c>
      <c r="E11" s="72">
        <f>E7*'Tab 0'!$C$46</f>
        <v>0</v>
      </c>
      <c r="F11" s="72">
        <f>F7*'Tab 0'!$C$46</f>
        <v>0</v>
      </c>
      <c r="G11" s="72">
        <f>G7*'Tab 0'!$C$46</f>
        <v>0</v>
      </c>
      <c r="H11" s="72">
        <f>H7*'Tab 0'!$C$46</f>
        <v>0</v>
      </c>
      <c r="I11" s="72">
        <f>I7*'Tab 0'!$C$46</f>
        <v>0</v>
      </c>
      <c r="J11" s="72">
        <f>J7*'Tab 0'!$C$46</f>
        <v>0</v>
      </c>
      <c r="K11" s="72">
        <f>K7*'Tab 0'!$C$46</f>
        <v>0</v>
      </c>
      <c r="L11" s="72">
        <f>L7*'Tab 0'!$C$46</f>
        <v>0</v>
      </c>
      <c r="M11" s="72">
        <f>M7*'Tab 0'!$C$46</f>
        <v>0</v>
      </c>
      <c r="N11" s="72">
        <f>N7*'Tab 0'!$C$46</f>
        <v>0</v>
      </c>
      <c r="O11" s="223">
        <f t="shared" ref="O11:O12" si="2">SUM(C11:N11)</f>
        <v>0</v>
      </c>
    </row>
    <row r="12" spans="2:15" x14ac:dyDescent="0.2">
      <c r="B12" s="15" t="s">
        <v>85</v>
      </c>
      <c r="C12" s="217">
        <f>C8*'Tab 0'!$D$46</f>
        <v>105702.12765957449</v>
      </c>
      <c r="D12" s="218">
        <f>D8*'Tab 0'!$D$46</f>
        <v>117446.80851063831</v>
      </c>
      <c r="E12" s="218">
        <f>E8*'Tab 0'!$D$46</f>
        <v>135063.82978723408</v>
      </c>
      <c r="F12" s="218">
        <f>F8*'Tab 0'!$D$46</f>
        <v>123319.14893617023</v>
      </c>
      <c r="G12" s="218">
        <f>G8*'Tab 0'!$D$46</f>
        <v>123319.14893617023</v>
      </c>
      <c r="H12" s="218">
        <f>H8*'Tab 0'!$D$46</f>
        <v>129191.48936170214</v>
      </c>
      <c r="I12" s="218">
        <f>I8*'Tab 0'!$D$46</f>
        <v>129191.48936170214</v>
      </c>
      <c r="J12" s="218">
        <f>J8*'Tab 0'!$D$46</f>
        <v>70468.08510638299</v>
      </c>
      <c r="K12" s="218">
        <f>K8*'Tab 0'!$D$46</f>
        <v>129191.48936170214</v>
      </c>
      <c r="L12" s="218">
        <f>L8*'Tab 0'!$D$46</f>
        <v>123319.14893617023</v>
      </c>
      <c r="M12" s="218">
        <f>M8*'Tab 0'!$D$46</f>
        <v>123319.14893617023</v>
      </c>
      <c r="N12" s="218">
        <f>N8*'Tab 0'!$D$46</f>
        <v>70468.08510638299</v>
      </c>
      <c r="O12" s="224">
        <f t="shared" si="2"/>
        <v>1380000</v>
      </c>
    </row>
    <row r="13" spans="2:15" ht="17" thickBot="1" x14ac:dyDescent="0.25">
      <c r="B13" s="225" t="s">
        <v>107</v>
      </c>
      <c r="C13" s="226">
        <f>SUM(C10:C12)</f>
        <v>145647.98292107071</v>
      </c>
      <c r="D13" s="213">
        <f t="shared" ref="D13" si="3">SUM(D10:D12)</f>
        <v>161831.092134523</v>
      </c>
      <c r="E13" s="213">
        <f t="shared" ref="E13" si="4">SUM(E10:E12)</f>
        <v>186105.75595470148</v>
      </c>
      <c r="F13" s="213">
        <f t="shared" ref="F13" si="5">SUM(F10:F12)</f>
        <v>169922.64674124913</v>
      </c>
      <c r="G13" s="213">
        <f t="shared" ref="G13" si="6">SUM(G10:G12)</f>
        <v>169922.64674124913</v>
      </c>
      <c r="H13" s="213">
        <f t="shared" ref="H13" si="7">SUM(H10:H12)</f>
        <v>178014.20134797529</v>
      </c>
      <c r="I13" s="213">
        <f t="shared" ref="I13" si="8">SUM(I10:I12)</f>
        <v>178014.20134797529</v>
      </c>
      <c r="J13" s="213">
        <f t="shared" ref="J13" si="9">SUM(J10:J12)</f>
        <v>97098.655280713807</v>
      </c>
      <c r="K13" s="213">
        <f t="shared" ref="K13" si="10">SUM(K10:K12)</f>
        <v>178014.20134797529</v>
      </c>
      <c r="L13" s="213">
        <f t="shared" ref="L13" si="11">SUM(L10:L12)</f>
        <v>169922.64674124913</v>
      </c>
      <c r="M13" s="213">
        <f t="shared" ref="M13" si="12">SUM(M10:M12)</f>
        <v>169922.64674124913</v>
      </c>
      <c r="N13" s="213">
        <f t="shared" ref="N13" si="13">SUM(N10:N12)</f>
        <v>97098.655280713807</v>
      </c>
      <c r="O13" s="227">
        <f t="shared" ref="O13" si="14">SUM(O10:O12)</f>
        <v>1901515.3325806451</v>
      </c>
    </row>
  </sheetData>
  <mergeCells count="1">
    <mergeCell ref="C4:O4"/>
  </mergeCells>
  <phoneticPr fontId="4" type="noConversion"/>
  <pageMargins left="0.25" right="0.25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Tab 0</vt:lpstr>
      <vt:lpstr>Tab 1</vt:lpstr>
      <vt:lpstr>Tab 2</vt:lpstr>
      <vt:lpstr>Tab 3</vt:lpstr>
      <vt:lpstr>QUANTITÀ</vt:lpstr>
      <vt:lpstr>PREZZI</vt:lpstr>
      <vt:lpstr>MOLLE</vt:lpstr>
      <vt:lpstr>POLIUR</vt:lpstr>
      <vt:lpstr>Tab.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01) Mozart vendite</dc:title>
  <dc:subject>budget vendite- provv - costo vend - premi</dc:subject>
  <dc:creator>barbara</dc:creator>
  <cp:lastModifiedBy>Federica Marini</cp:lastModifiedBy>
  <cp:lastPrinted>2022-03-18T18:41:57Z</cp:lastPrinted>
  <dcterms:created xsi:type="dcterms:W3CDTF">2004-01-02T13:31:21Z</dcterms:created>
  <dcterms:modified xsi:type="dcterms:W3CDTF">2023-05-18T11:48:02Z</dcterms:modified>
</cp:coreProperties>
</file>