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VR2016\doc_catmau\DOC MAURI\DOVIER MAURIZIO\UNIVERSITA' TS CORSO IMPRENDITORE SOCIALE\001  LEZIONII\010 BILANCIO D'ESERCIZIO  - ANALISI BILANCIO\"/>
    </mc:Choice>
  </mc:AlternateContent>
  <xr:revisionPtr revIDLastSave="0" documentId="13_ncr:1_{76CB131D-4567-41E6-8789-375140E1AE4E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SP" sheetId="6" r:id="rId1"/>
    <sheet name="CE" sheetId="7" r:id="rId2"/>
    <sheet name="ANALISI BILANCIO 20-22" sheetId="2" r:id="rId3"/>
    <sheet name="ANALISI BILANCIO VUOTO" sheetId="8" r:id="rId4"/>
  </sheets>
  <externalReferences>
    <externalReference r:id="rId5"/>
  </externalReferences>
  <definedNames>
    <definedName name="_Fill" hidden="1">#REF!</definedName>
    <definedName name="_xlnm.Print_Area" localSheetId="1">CE!$A$7:$F$136</definedName>
    <definedName name="_xlnm.Print_Area" localSheetId="0">SP!$A$7:$F$290</definedName>
    <definedName name="BILANCIO">#REF!</definedName>
    <definedName name="Conti">#REF!</definedName>
    <definedName name="Rettifiche">#REF!</definedName>
  </definedNames>
  <calcPr calcId="181029" iterate="1"/>
</workbook>
</file>

<file path=xl/calcChain.xml><?xml version="1.0" encoding="utf-8"?>
<calcChain xmlns="http://schemas.openxmlformats.org/spreadsheetml/2006/main">
  <c r="D145" i="8" l="1"/>
  <c r="D147" i="8" s="1"/>
  <c r="C120" i="8"/>
  <c r="D117" i="8"/>
  <c r="D87" i="8"/>
  <c r="D86" i="8"/>
  <c r="C86" i="8"/>
  <c r="B86" i="8"/>
  <c r="C87" i="8"/>
  <c r="C129" i="8" s="1"/>
  <c r="B87" i="8"/>
  <c r="D84" i="8"/>
  <c r="C84" i="8"/>
  <c r="B84" i="8"/>
  <c r="D70" i="8"/>
  <c r="I70" i="8" s="1"/>
  <c r="H70" i="8"/>
  <c r="I67" i="8"/>
  <c r="H67" i="8"/>
  <c r="I66" i="8"/>
  <c r="H66" i="8"/>
  <c r="B68" i="8"/>
  <c r="D64" i="8"/>
  <c r="I64" i="8" s="1"/>
  <c r="C64" i="8"/>
  <c r="H64" i="8" s="1"/>
  <c r="B64" i="8"/>
  <c r="I63" i="8"/>
  <c r="H63" i="8"/>
  <c r="I62" i="8"/>
  <c r="H62" i="8"/>
  <c r="I61" i="8"/>
  <c r="H61" i="8"/>
  <c r="G61" i="8"/>
  <c r="F61" i="8"/>
  <c r="E61" i="8"/>
  <c r="D61" i="8"/>
  <c r="C61" i="8"/>
  <c r="B61" i="8"/>
  <c r="H57" i="8"/>
  <c r="I57" i="8"/>
  <c r="C145" i="8"/>
  <c r="C147" i="8" s="1"/>
  <c r="B145" i="8"/>
  <c r="B147" i="8" s="1"/>
  <c r="H56" i="8"/>
  <c r="D58" i="8"/>
  <c r="C58" i="8"/>
  <c r="B58" i="8"/>
  <c r="H54" i="8"/>
  <c r="I54" i="8"/>
  <c r="I53" i="8"/>
  <c r="H53" i="8"/>
  <c r="I52" i="8"/>
  <c r="H52" i="8"/>
  <c r="I50" i="8"/>
  <c r="H50" i="8"/>
  <c r="I47" i="8"/>
  <c r="H47" i="8"/>
  <c r="I46" i="8"/>
  <c r="H46" i="8"/>
  <c r="I45" i="8"/>
  <c r="H45" i="8"/>
  <c r="I44" i="8"/>
  <c r="C48" i="8"/>
  <c r="B83" i="8"/>
  <c r="I42" i="8"/>
  <c r="H42" i="8"/>
  <c r="I41" i="8"/>
  <c r="H41" i="8"/>
  <c r="I40" i="8"/>
  <c r="H40" i="8"/>
  <c r="D137" i="8"/>
  <c r="C132" i="8"/>
  <c r="B132" i="8"/>
  <c r="D37" i="8"/>
  <c r="D144" i="8" s="1"/>
  <c r="C37" i="8"/>
  <c r="C144" i="8" s="1"/>
  <c r="B37" i="8"/>
  <c r="B76" i="8" s="1"/>
  <c r="B89" i="8" s="1"/>
  <c r="B95" i="8" s="1"/>
  <c r="D33" i="8"/>
  <c r="C33" i="8"/>
  <c r="B33" i="8"/>
  <c r="H25" i="8"/>
  <c r="D23" i="8"/>
  <c r="C23" i="8"/>
  <c r="I20" i="8"/>
  <c r="I19" i="8"/>
  <c r="D18" i="8"/>
  <c r="C18" i="8"/>
  <c r="B18" i="8"/>
  <c r="D17" i="8"/>
  <c r="C17" i="8"/>
  <c r="B17" i="8"/>
  <c r="H13" i="8"/>
  <c r="G13" i="8"/>
  <c r="D119" i="8"/>
  <c r="C119" i="8"/>
  <c r="B117" i="8"/>
  <c r="H12" i="8"/>
  <c r="I12" i="8"/>
  <c r="H11" i="8"/>
  <c r="G11" i="8"/>
  <c r="I11" i="8"/>
  <c r="B10" i="8"/>
  <c r="D10" i="8"/>
  <c r="D160" i="8" s="1"/>
  <c r="D162" i="8" s="1"/>
  <c r="C10" i="8"/>
  <c r="C114" i="8" s="1"/>
  <c r="H7" i="8"/>
  <c r="G6" i="8"/>
  <c r="H6" i="8"/>
  <c r="G5" i="8"/>
  <c r="H5" i="8"/>
  <c r="C4" i="8"/>
  <c r="D151" i="2"/>
  <c r="C132" i="2"/>
  <c r="D132" i="2"/>
  <c r="D123" i="2"/>
  <c r="D124" i="2"/>
  <c r="D125" i="2"/>
  <c r="D126" i="2"/>
  <c r="D127" i="2"/>
  <c r="D128" i="2"/>
  <c r="C129" i="2"/>
  <c r="D129" i="2"/>
  <c r="C119" i="2"/>
  <c r="D119" i="2"/>
  <c r="C120" i="2"/>
  <c r="D120" i="2"/>
  <c r="C117" i="2"/>
  <c r="D117" i="2"/>
  <c r="D115" i="2"/>
  <c r="C86" i="2"/>
  <c r="D86" i="2"/>
  <c r="B86" i="2"/>
  <c r="C85" i="2"/>
  <c r="D85" i="2"/>
  <c r="B85" i="2"/>
  <c r="C84" i="2"/>
  <c r="D84" i="2"/>
  <c r="B84" i="2"/>
  <c r="C83" i="2"/>
  <c r="D83" i="2"/>
  <c r="C82" i="2"/>
  <c r="D82" i="2"/>
  <c r="B82" i="2"/>
  <c r="C81" i="2"/>
  <c r="D81" i="2"/>
  <c r="B81" i="2"/>
  <c r="C80" i="2"/>
  <c r="D80" i="2"/>
  <c r="B80" i="2"/>
  <c r="C32" i="2"/>
  <c r="D32" i="2"/>
  <c r="D33" i="2" s="1"/>
  <c r="B32" i="2"/>
  <c r="C31" i="2"/>
  <c r="D31" i="2"/>
  <c r="B31" i="2"/>
  <c r="C42" i="2"/>
  <c r="D42" i="2"/>
  <c r="I42" i="2" s="1"/>
  <c r="B42" i="2"/>
  <c r="C70" i="2"/>
  <c r="I70" i="2" s="1"/>
  <c r="D70" i="2"/>
  <c r="B70" i="2"/>
  <c r="C67" i="2"/>
  <c r="D67" i="2"/>
  <c r="B67" i="2"/>
  <c r="C66" i="2"/>
  <c r="H66" i="2" s="1"/>
  <c r="D66" i="2"/>
  <c r="B66" i="2"/>
  <c r="B68" i="2" s="1"/>
  <c r="C57" i="2"/>
  <c r="D57" i="2"/>
  <c r="B57" i="2"/>
  <c r="C56" i="2"/>
  <c r="D56" i="2"/>
  <c r="I56" i="2" s="1"/>
  <c r="B56" i="2"/>
  <c r="B58" i="2" s="1"/>
  <c r="C54" i="2"/>
  <c r="D54" i="2"/>
  <c r="I54" i="2" s="1"/>
  <c r="B54" i="2"/>
  <c r="C52" i="2"/>
  <c r="D52" i="2"/>
  <c r="B52" i="2"/>
  <c r="C50" i="2"/>
  <c r="D50" i="2"/>
  <c r="I50" i="2" s="1"/>
  <c r="B50" i="2"/>
  <c r="C47" i="2"/>
  <c r="I47" i="2" s="1"/>
  <c r="D47" i="2"/>
  <c r="B47" i="2"/>
  <c r="C45" i="2"/>
  <c r="D45" i="2"/>
  <c r="B45" i="2"/>
  <c r="C46" i="2"/>
  <c r="I46" i="2" s="1"/>
  <c r="D46" i="2"/>
  <c r="B46" i="2"/>
  <c r="C44" i="2"/>
  <c r="D44" i="2"/>
  <c r="B44" i="2"/>
  <c r="C41" i="2"/>
  <c r="D41" i="2"/>
  <c r="B41" i="2"/>
  <c r="C40" i="2"/>
  <c r="D40" i="2"/>
  <c r="B40" i="2"/>
  <c r="C39" i="2"/>
  <c r="D39" i="2"/>
  <c r="B39" i="2"/>
  <c r="C24" i="2"/>
  <c r="D24" i="2"/>
  <c r="C25" i="2"/>
  <c r="D25" i="2"/>
  <c r="B24" i="2"/>
  <c r="C9" i="2"/>
  <c r="D9" i="2"/>
  <c r="B9" i="2"/>
  <c r="B25" i="2"/>
  <c r="D21" i="2"/>
  <c r="C21" i="2"/>
  <c r="B21" i="2"/>
  <c r="C20" i="2"/>
  <c r="H20" i="2" s="1"/>
  <c r="D20" i="2"/>
  <c r="B20" i="2"/>
  <c r="C19" i="2"/>
  <c r="D19" i="2"/>
  <c r="B19" i="2"/>
  <c r="C12" i="2"/>
  <c r="D12" i="2"/>
  <c r="B12" i="2"/>
  <c r="B10" i="2" s="1"/>
  <c r="C13" i="2"/>
  <c r="D13" i="2"/>
  <c r="D118" i="2" s="1"/>
  <c r="B13" i="2"/>
  <c r="C11" i="2"/>
  <c r="D11" i="2"/>
  <c r="B11" i="2"/>
  <c r="C7" i="2"/>
  <c r="D7" i="2"/>
  <c r="B7" i="2"/>
  <c r="C6" i="2"/>
  <c r="D6" i="2"/>
  <c r="B6" i="2"/>
  <c r="C5" i="2"/>
  <c r="C4" i="2" s="1"/>
  <c r="D5" i="2"/>
  <c r="D4" i="2" s="1"/>
  <c r="B5" i="2"/>
  <c r="B4" i="2" s="1"/>
  <c r="F113" i="7"/>
  <c r="E113" i="7"/>
  <c r="D113" i="7"/>
  <c r="C113" i="7"/>
  <c r="B113" i="7"/>
  <c r="F107" i="7"/>
  <c r="E107" i="7"/>
  <c r="D107" i="7"/>
  <c r="C107" i="7"/>
  <c r="B107" i="7"/>
  <c r="F103" i="7"/>
  <c r="E103" i="7"/>
  <c r="D103" i="7"/>
  <c r="C103" i="7"/>
  <c r="B103" i="7"/>
  <c r="F99" i="7"/>
  <c r="E99" i="7"/>
  <c r="D99" i="7"/>
  <c r="C99" i="7"/>
  <c r="B99" i="7"/>
  <c r="F98" i="7"/>
  <c r="E98" i="7"/>
  <c r="D98" i="7"/>
  <c r="C98" i="7"/>
  <c r="B98" i="7"/>
  <c r="F97" i="7"/>
  <c r="E97" i="7"/>
  <c r="D97" i="7"/>
  <c r="C97" i="7"/>
  <c r="B97" i="7"/>
  <c r="F96" i="7"/>
  <c r="E96" i="7"/>
  <c r="D96" i="7"/>
  <c r="C96" i="7"/>
  <c r="B96" i="7"/>
  <c r="F95" i="7"/>
  <c r="E95" i="7"/>
  <c r="D95" i="7"/>
  <c r="C95" i="7"/>
  <c r="B95" i="7"/>
  <c r="F92" i="7"/>
  <c r="D92" i="7"/>
  <c r="C92" i="7"/>
  <c r="B92" i="7"/>
  <c r="F89" i="7"/>
  <c r="E89" i="7"/>
  <c r="D89" i="7"/>
  <c r="C89" i="7"/>
  <c r="B89" i="7"/>
  <c r="F88" i="7"/>
  <c r="E88" i="7"/>
  <c r="D88" i="7"/>
  <c r="C88" i="7"/>
  <c r="B88" i="7"/>
  <c r="F87" i="7"/>
  <c r="E87" i="7"/>
  <c r="D87" i="7"/>
  <c r="C87" i="7"/>
  <c r="B87" i="7"/>
  <c r="F86" i="7"/>
  <c r="E86" i="7"/>
  <c r="D86" i="7"/>
  <c r="C86" i="7"/>
  <c r="B86" i="7"/>
  <c r="F85" i="7"/>
  <c r="E85" i="7"/>
  <c r="D85" i="7"/>
  <c r="C85" i="7"/>
  <c r="B85" i="7"/>
  <c r="F82" i="7"/>
  <c r="E82" i="7"/>
  <c r="D82" i="7"/>
  <c r="C82" i="7"/>
  <c r="B82" i="7"/>
  <c r="F81" i="7"/>
  <c r="E81" i="7"/>
  <c r="D81" i="7"/>
  <c r="C81" i="7"/>
  <c r="B81" i="7"/>
  <c r="F80" i="7"/>
  <c r="E80" i="7"/>
  <c r="D80" i="7"/>
  <c r="C80" i="7"/>
  <c r="B80" i="7"/>
  <c r="F79" i="7"/>
  <c r="E79" i="7"/>
  <c r="D79" i="7"/>
  <c r="C79" i="7"/>
  <c r="B79" i="7"/>
  <c r="F78" i="7"/>
  <c r="F83" i="7" s="1"/>
  <c r="F90" i="7" s="1"/>
  <c r="F93" i="7" s="1"/>
  <c r="F100" i="7" s="1"/>
  <c r="E78" i="7"/>
  <c r="E83" i="7" s="1"/>
  <c r="E90" i="7" s="1"/>
  <c r="D78" i="7"/>
  <c r="D83" i="7" s="1"/>
  <c r="D90" i="7" s="1"/>
  <c r="D93" i="7" s="1"/>
  <c r="D100" i="7" s="1"/>
  <c r="C78" i="7"/>
  <c r="C83" i="7" s="1"/>
  <c r="C90" i="7" s="1"/>
  <c r="C93" i="7" s="1"/>
  <c r="C100" i="7" s="1"/>
  <c r="B78" i="7"/>
  <c r="B83" i="7" s="1"/>
  <c r="B90" i="7" s="1"/>
  <c r="B93" i="7" s="1"/>
  <c r="B100" i="7" s="1"/>
  <c r="F64" i="7"/>
  <c r="E64" i="7"/>
  <c r="D64" i="7"/>
  <c r="C64" i="7"/>
  <c r="B64" i="7"/>
  <c r="F62" i="7"/>
  <c r="F61" i="7" s="1"/>
  <c r="F110" i="7" s="1"/>
  <c r="E62" i="7"/>
  <c r="E61" i="7" s="1"/>
  <c r="E110" i="7" s="1"/>
  <c r="D62" i="7"/>
  <c r="D61" i="7" s="1"/>
  <c r="D110" i="7" s="1"/>
  <c r="C62" i="7"/>
  <c r="B62" i="7"/>
  <c r="C61" i="7"/>
  <c r="C110" i="7" s="1"/>
  <c r="B61" i="7"/>
  <c r="B110" i="7" s="1"/>
  <c r="F56" i="7"/>
  <c r="E56" i="7"/>
  <c r="D56" i="7"/>
  <c r="C56" i="7"/>
  <c r="B56" i="7"/>
  <c r="F52" i="7"/>
  <c r="E52" i="7"/>
  <c r="E51" i="7" s="1"/>
  <c r="E104" i="7" s="1"/>
  <c r="D52" i="7"/>
  <c r="D51" i="7" s="1"/>
  <c r="D104" i="7" s="1"/>
  <c r="C52" i="7"/>
  <c r="C51" i="7" s="1"/>
  <c r="C104" i="7" s="1"/>
  <c r="B52" i="7"/>
  <c r="F51" i="7"/>
  <c r="F104" i="7" s="1"/>
  <c r="B51" i="7"/>
  <c r="B104" i="7" s="1"/>
  <c r="F46" i="7"/>
  <c r="F39" i="7" s="1"/>
  <c r="E46" i="7"/>
  <c r="D46" i="7"/>
  <c r="C46" i="7"/>
  <c r="B46" i="7"/>
  <c r="F41" i="7"/>
  <c r="F102" i="7" s="1"/>
  <c r="E41" i="7"/>
  <c r="E102" i="7" s="1"/>
  <c r="D41" i="7"/>
  <c r="D102" i="7" s="1"/>
  <c r="C41" i="7"/>
  <c r="C102" i="7" s="1"/>
  <c r="B41" i="7"/>
  <c r="B102" i="7" s="1"/>
  <c r="E39" i="7"/>
  <c r="F37" i="7"/>
  <c r="F27" i="7"/>
  <c r="E27" i="7"/>
  <c r="D27" i="7"/>
  <c r="C27" i="7"/>
  <c r="B27" i="7"/>
  <c r="E26" i="7"/>
  <c r="E23" i="7"/>
  <c r="E22" i="7"/>
  <c r="E21" i="7" s="1"/>
  <c r="E17" i="7" s="1"/>
  <c r="F21" i="7"/>
  <c r="D21" i="7"/>
  <c r="C21" i="7"/>
  <c r="C17" i="7" s="1"/>
  <c r="B21" i="7"/>
  <c r="B17" i="7" s="1"/>
  <c r="F17" i="7"/>
  <c r="D17" i="7"/>
  <c r="F10" i="7"/>
  <c r="E10" i="7"/>
  <c r="E37" i="7" s="1"/>
  <c r="E68" i="7" s="1"/>
  <c r="E70" i="7" s="1"/>
  <c r="E72" i="7" s="1"/>
  <c r="D10" i="7"/>
  <c r="D37" i="7" s="1"/>
  <c r="C10" i="7"/>
  <c r="B10" i="7"/>
  <c r="B8" i="7"/>
  <c r="B76" i="7" s="1"/>
  <c r="C76" i="7" s="1"/>
  <c r="D76" i="7" s="1"/>
  <c r="E76" i="7" s="1"/>
  <c r="F76" i="7" s="1"/>
  <c r="C265" i="6"/>
  <c r="B261" i="6"/>
  <c r="B260" i="6" s="1"/>
  <c r="F256" i="6"/>
  <c r="E252" i="6"/>
  <c r="E240" i="6"/>
  <c r="C232" i="6"/>
  <c r="F183" i="6"/>
  <c r="F182" i="6"/>
  <c r="F257" i="6" s="1"/>
  <c r="E182" i="6"/>
  <c r="E257" i="6" s="1"/>
  <c r="D182" i="6"/>
  <c r="D257" i="6" s="1"/>
  <c r="C182" i="6"/>
  <c r="B182" i="6"/>
  <c r="F181" i="6"/>
  <c r="D181" i="6"/>
  <c r="C181" i="6"/>
  <c r="C256" i="6" s="1"/>
  <c r="B181" i="6"/>
  <c r="B256" i="6" s="1"/>
  <c r="F180" i="6"/>
  <c r="F265" i="6" s="1"/>
  <c r="E180" i="6"/>
  <c r="D180" i="6"/>
  <c r="C180" i="6"/>
  <c r="B180" i="6"/>
  <c r="F179" i="6"/>
  <c r="E179" i="6"/>
  <c r="E264" i="6" s="1"/>
  <c r="D179" i="6"/>
  <c r="D264" i="6" s="1"/>
  <c r="C179" i="6"/>
  <c r="C264" i="6" s="1"/>
  <c r="C263" i="6" s="1"/>
  <c r="F178" i="6"/>
  <c r="F176" i="6"/>
  <c r="F261" i="6" s="1"/>
  <c r="F260" i="6" s="1"/>
  <c r="E176" i="6"/>
  <c r="E261" i="6" s="1"/>
  <c r="E260" i="6" s="1"/>
  <c r="D176" i="6"/>
  <c r="C176" i="6"/>
  <c r="B176" i="6"/>
  <c r="F175" i="6"/>
  <c r="E175" i="6"/>
  <c r="E253" i="6" s="1"/>
  <c r="D175" i="6"/>
  <c r="D253" i="6" s="1"/>
  <c r="C175" i="6"/>
  <c r="C253" i="6" s="1"/>
  <c r="B175" i="6"/>
  <c r="B253" i="6" s="1"/>
  <c r="F174" i="6"/>
  <c r="E174" i="6"/>
  <c r="D174" i="6"/>
  <c r="C174" i="6"/>
  <c r="B174" i="6"/>
  <c r="B252" i="6" s="1"/>
  <c r="E173" i="6"/>
  <c r="E251" i="6" s="1"/>
  <c r="F165" i="6"/>
  <c r="F243" i="6" s="1"/>
  <c r="C164" i="6"/>
  <c r="C236" i="6" s="1"/>
  <c r="B163" i="6"/>
  <c r="B235" i="6" s="1"/>
  <c r="F160" i="6"/>
  <c r="F232" i="6" s="1"/>
  <c r="E160" i="6"/>
  <c r="E232" i="6" s="1"/>
  <c r="D160" i="6"/>
  <c r="D232" i="6" s="1"/>
  <c r="C160" i="6"/>
  <c r="B160" i="6"/>
  <c r="B232" i="6" s="1"/>
  <c r="F159" i="6"/>
  <c r="F240" i="6" s="1"/>
  <c r="E159" i="6"/>
  <c r="D159" i="6"/>
  <c r="C159" i="6"/>
  <c r="B159" i="6"/>
  <c r="B240" i="6" s="1"/>
  <c r="D158" i="6"/>
  <c r="D157" i="6" s="1"/>
  <c r="E147" i="6"/>
  <c r="D147" i="6"/>
  <c r="C147" i="6"/>
  <c r="B147" i="6"/>
  <c r="E139" i="6"/>
  <c r="E183" i="6" s="1"/>
  <c r="D139" i="6"/>
  <c r="D183" i="6" s="1"/>
  <c r="C139" i="6"/>
  <c r="C112" i="6" s="1"/>
  <c r="C144" i="6" s="1"/>
  <c r="B139" i="6"/>
  <c r="B183" i="6" s="1"/>
  <c r="C137" i="6"/>
  <c r="C183" i="6" s="1"/>
  <c r="E125" i="6"/>
  <c r="E112" i="6" s="1"/>
  <c r="B125" i="6"/>
  <c r="B119" i="6"/>
  <c r="B179" i="6" s="1"/>
  <c r="F112" i="6"/>
  <c r="D112" i="6"/>
  <c r="B112" i="6"/>
  <c r="F105" i="6"/>
  <c r="F173" i="6" s="1"/>
  <c r="E105" i="6"/>
  <c r="D105" i="6"/>
  <c r="D173" i="6" s="1"/>
  <c r="C105" i="6"/>
  <c r="C173" i="6" s="1"/>
  <c r="B105" i="6"/>
  <c r="B173" i="6" s="1"/>
  <c r="E99" i="6"/>
  <c r="E94" i="6" s="1"/>
  <c r="F94" i="6"/>
  <c r="F144" i="6" s="1"/>
  <c r="D94" i="6"/>
  <c r="D170" i="6" s="1"/>
  <c r="C94" i="6"/>
  <c r="C170" i="6" s="1"/>
  <c r="B94" i="6"/>
  <c r="B170" i="6" s="1"/>
  <c r="F93" i="6"/>
  <c r="E93" i="6"/>
  <c r="D93" i="6"/>
  <c r="C93" i="6"/>
  <c r="I84" i="6"/>
  <c r="F83" i="6"/>
  <c r="F166" i="6" s="1"/>
  <c r="E83" i="6"/>
  <c r="E166" i="6" s="1"/>
  <c r="D83" i="6"/>
  <c r="D166" i="6" s="1"/>
  <c r="C83" i="6"/>
  <c r="C166" i="6" s="1"/>
  <c r="B83" i="6"/>
  <c r="B166" i="6" s="1"/>
  <c r="F74" i="6"/>
  <c r="E74" i="6"/>
  <c r="E165" i="6" s="1"/>
  <c r="D74" i="6"/>
  <c r="D165" i="6" s="1"/>
  <c r="C74" i="6"/>
  <c r="C165" i="6" s="1"/>
  <c r="B74" i="6"/>
  <c r="B165" i="6" s="1"/>
  <c r="E71" i="6"/>
  <c r="D71" i="6"/>
  <c r="C71" i="6"/>
  <c r="B71" i="6"/>
  <c r="E59" i="6"/>
  <c r="E164" i="6" s="1"/>
  <c r="D59" i="6"/>
  <c r="D164" i="6" s="1"/>
  <c r="C59" i="6"/>
  <c r="C58" i="6" s="1"/>
  <c r="C49" i="6" s="1"/>
  <c r="B59" i="6"/>
  <c r="B58" i="6" s="1"/>
  <c r="B49" i="6" s="1"/>
  <c r="F58" i="6"/>
  <c r="D58" i="6"/>
  <c r="F51" i="6"/>
  <c r="F163" i="6" s="1"/>
  <c r="E51" i="6"/>
  <c r="E163" i="6" s="1"/>
  <c r="D51" i="6"/>
  <c r="D163" i="6" s="1"/>
  <c r="C51" i="6"/>
  <c r="C163" i="6" s="1"/>
  <c r="F49" i="6"/>
  <c r="F37" i="6"/>
  <c r="E37" i="6"/>
  <c r="E31" i="6" s="1"/>
  <c r="D37" i="6"/>
  <c r="C37" i="6"/>
  <c r="C31" i="6" s="1"/>
  <c r="F32" i="6"/>
  <c r="F158" i="6" s="1"/>
  <c r="E32" i="6"/>
  <c r="E158" i="6" s="1"/>
  <c r="D32" i="6"/>
  <c r="D31" i="6" s="1"/>
  <c r="C32" i="6"/>
  <c r="C158" i="6" s="1"/>
  <c r="B32" i="6"/>
  <c r="B31" i="6" s="1"/>
  <c r="F31" i="6"/>
  <c r="F28" i="6"/>
  <c r="F24" i="6" s="1"/>
  <c r="F156" i="6" s="1"/>
  <c r="E28" i="6"/>
  <c r="E24" i="6"/>
  <c r="D24" i="6"/>
  <c r="D156" i="6" s="1"/>
  <c r="C24" i="6"/>
  <c r="C156" i="6" s="1"/>
  <c r="B24" i="6"/>
  <c r="B156" i="6" s="1"/>
  <c r="F15" i="6"/>
  <c r="F155" i="6" s="1"/>
  <c r="E15" i="6"/>
  <c r="D15" i="6"/>
  <c r="C15" i="6"/>
  <c r="C155" i="6" s="1"/>
  <c r="B15" i="6"/>
  <c r="B13" i="6" s="1"/>
  <c r="B90" i="6" s="1"/>
  <c r="F10" i="6"/>
  <c r="F164" i="6" s="1"/>
  <c r="E10" i="6"/>
  <c r="D10" i="6"/>
  <c r="C10" i="6"/>
  <c r="B8" i="6"/>
  <c r="B152" i="6" s="1"/>
  <c r="B87" i="2"/>
  <c r="B61" i="2"/>
  <c r="I52" i="2"/>
  <c r="H45" i="2"/>
  <c r="I41" i="2"/>
  <c r="C134" i="2"/>
  <c r="B23" i="2"/>
  <c r="I11" i="2"/>
  <c r="D18" i="2"/>
  <c r="G7" i="2" s="1"/>
  <c r="C17" i="2"/>
  <c r="D17" i="2"/>
  <c r="B17" i="2"/>
  <c r="D145" i="2"/>
  <c r="D147" i="2" s="1"/>
  <c r="I7" i="2"/>
  <c r="I19" i="2"/>
  <c r="B37" i="2"/>
  <c r="B76" i="2" s="1"/>
  <c r="B89" i="2" s="1"/>
  <c r="B95" i="2" s="1"/>
  <c r="C37" i="2"/>
  <c r="C76" i="2" s="1"/>
  <c r="C89" i="2" s="1"/>
  <c r="C95" i="2" s="1"/>
  <c r="D37" i="2"/>
  <c r="D76" i="2" s="1"/>
  <c r="D89" i="2" s="1"/>
  <c r="D95" i="2" s="1"/>
  <c r="I44" i="2"/>
  <c r="I45" i="2"/>
  <c r="D48" i="2"/>
  <c r="H53" i="2"/>
  <c r="I53" i="2"/>
  <c r="D58" i="2"/>
  <c r="C61" i="2"/>
  <c r="D61" i="2"/>
  <c r="E61" i="2"/>
  <c r="F61" i="2"/>
  <c r="G61" i="2"/>
  <c r="H61" i="2"/>
  <c r="I61" i="2"/>
  <c r="H62" i="2"/>
  <c r="I62" i="2"/>
  <c r="H63" i="2"/>
  <c r="I63" i="2"/>
  <c r="B64" i="2"/>
  <c r="C64" i="2"/>
  <c r="D64" i="2"/>
  <c r="H67" i="2"/>
  <c r="I67" i="2"/>
  <c r="C68" i="2"/>
  <c r="D68" i="2"/>
  <c r="D134" i="2"/>
  <c r="D135" i="2"/>
  <c r="D140" i="2" s="1"/>
  <c r="L88" i="2"/>
  <c r="D137" i="2"/>
  <c r="D138" i="2"/>
  <c r="B144" i="2"/>
  <c r="I64" i="2"/>
  <c r="D76" i="8" l="1"/>
  <c r="D89" i="8" s="1"/>
  <c r="D95" i="8" s="1"/>
  <c r="D107" i="8" s="1"/>
  <c r="D113" i="8" s="1"/>
  <c r="D122" i="8" s="1"/>
  <c r="D131" i="8" s="1"/>
  <c r="B135" i="8"/>
  <c r="B140" i="8" s="1"/>
  <c r="C149" i="8"/>
  <c r="C151" i="8" s="1"/>
  <c r="D149" i="8"/>
  <c r="D151" i="8" s="1"/>
  <c r="C102" i="8"/>
  <c r="I18" i="8"/>
  <c r="G7" i="8"/>
  <c r="G12" i="8"/>
  <c r="B102" i="8"/>
  <c r="G10" i="8"/>
  <c r="I10" i="8"/>
  <c r="B107" i="8"/>
  <c r="B113" i="8" s="1"/>
  <c r="B122" i="8" s="1"/>
  <c r="B131" i="8" s="1"/>
  <c r="B100" i="8"/>
  <c r="E47" i="8"/>
  <c r="H58" i="8"/>
  <c r="B114" i="8"/>
  <c r="B160" i="8"/>
  <c r="B162" i="8" s="1"/>
  <c r="H10" i="8"/>
  <c r="B115" i="8"/>
  <c r="I48" i="8"/>
  <c r="I58" i="8"/>
  <c r="E45" i="8"/>
  <c r="B4" i="8"/>
  <c r="B15" i="8" s="1"/>
  <c r="I5" i="8"/>
  <c r="I6" i="8"/>
  <c r="I7" i="8"/>
  <c r="H18" i="8"/>
  <c r="H19" i="8"/>
  <c r="H20" i="8"/>
  <c r="H21" i="8"/>
  <c r="I23" i="8"/>
  <c r="I24" i="8"/>
  <c r="I25" i="8"/>
  <c r="B43" i="8"/>
  <c r="E52" i="8" s="1"/>
  <c r="B48" i="8"/>
  <c r="C68" i="8"/>
  <c r="C76" i="8"/>
  <c r="C89" i="8" s="1"/>
  <c r="C95" i="8" s="1"/>
  <c r="B82" i="8"/>
  <c r="B133" i="8" s="1"/>
  <c r="D102" i="8"/>
  <c r="C108" i="8"/>
  <c r="D114" i="8"/>
  <c r="C117" i="8"/>
  <c r="B120" i="8"/>
  <c r="B129" i="8"/>
  <c r="D132" i="8"/>
  <c r="B138" i="8"/>
  <c r="C43" i="8"/>
  <c r="F58" i="8" s="1"/>
  <c r="D68" i="8"/>
  <c r="D4" i="8"/>
  <c r="C27" i="8"/>
  <c r="F20" i="8" s="1"/>
  <c r="D43" i="8"/>
  <c r="G64" i="8" s="1"/>
  <c r="D48" i="8"/>
  <c r="D82" i="8"/>
  <c r="D133" i="8" s="1"/>
  <c r="B109" i="8"/>
  <c r="C115" i="8"/>
  <c r="B118" i="8"/>
  <c r="D120" i="8"/>
  <c r="D129" i="8"/>
  <c r="B136" i="8"/>
  <c r="D138" i="8"/>
  <c r="D27" i="8"/>
  <c r="E39" i="8"/>
  <c r="E44" i="8"/>
  <c r="C97" i="8"/>
  <c r="C109" i="8"/>
  <c r="D115" i="8"/>
  <c r="C118" i="8"/>
  <c r="C136" i="8"/>
  <c r="F40" i="8"/>
  <c r="F41" i="8"/>
  <c r="F42" i="8"/>
  <c r="F44" i="8"/>
  <c r="F48" i="8" s="1"/>
  <c r="F45" i="8"/>
  <c r="F46" i="8"/>
  <c r="F47" i="8"/>
  <c r="F52" i="8"/>
  <c r="I56" i="8"/>
  <c r="G66" i="8"/>
  <c r="C83" i="8"/>
  <c r="C135" i="8" s="1"/>
  <c r="C140" i="8" s="1"/>
  <c r="D97" i="8"/>
  <c r="D109" i="8"/>
  <c r="B116" i="8"/>
  <c r="D118" i="8"/>
  <c r="D136" i="8"/>
  <c r="B144" i="8"/>
  <c r="I13" i="8"/>
  <c r="G45" i="8"/>
  <c r="D83" i="8"/>
  <c r="D135" i="8" s="1"/>
  <c r="D140" i="8" s="1"/>
  <c r="C116" i="8"/>
  <c r="B119" i="8"/>
  <c r="B137" i="8"/>
  <c r="C160" i="8"/>
  <c r="C162" i="8" s="1"/>
  <c r="B23" i="8"/>
  <c r="B97" i="8" s="1"/>
  <c r="C82" i="8"/>
  <c r="C133" i="8" s="1"/>
  <c r="C138" i="8"/>
  <c r="H4" i="8"/>
  <c r="H39" i="8"/>
  <c r="H44" i="8"/>
  <c r="H48" i="8" s="1"/>
  <c r="C110" i="8"/>
  <c r="D116" i="8"/>
  <c r="C137" i="8"/>
  <c r="C111" i="8"/>
  <c r="C15" i="8"/>
  <c r="F6" i="8" s="1"/>
  <c r="H24" i="8"/>
  <c r="I39" i="8"/>
  <c r="D110" i="8"/>
  <c r="D87" i="2"/>
  <c r="I66" i="2"/>
  <c r="I12" i="2"/>
  <c r="B120" i="2"/>
  <c r="I13" i="2"/>
  <c r="D43" i="2"/>
  <c r="G47" i="2" s="1"/>
  <c r="H42" i="2"/>
  <c r="I68" i="2"/>
  <c r="I5" i="2"/>
  <c r="D23" i="2"/>
  <c r="D97" i="2" s="1"/>
  <c r="D116" i="2"/>
  <c r="D10" i="2"/>
  <c r="B105" i="7"/>
  <c r="B108" i="7" s="1"/>
  <c r="B111" i="7" s="1"/>
  <c r="B114" i="7" s="1"/>
  <c r="B37" i="7"/>
  <c r="C105" i="7"/>
  <c r="C108" i="7" s="1"/>
  <c r="C111" i="7" s="1"/>
  <c r="C114" i="7" s="1"/>
  <c r="C37" i="7"/>
  <c r="D105" i="7"/>
  <c r="D108" i="7" s="1"/>
  <c r="D111" i="7" s="1"/>
  <c r="D114" i="7" s="1"/>
  <c r="F68" i="7"/>
  <c r="F70" i="7" s="1"/>
  <c r="F72" i="7" s="1"/>
  <c r="F105" i="7"/>
  <c r="F108" i="7" s="1"/>
  <c r="F111" i="7" s="1"/>
  <c r="F114" i="7" s="1"/>
  <c r="C8" i="7"/>
  <c r="D8" i="7" s="1"/>
  <c r="E8" i="7" s="1"/>
  <c r="F8" i="7" s="1"/>
  <c r="B39" i="7"/>
  <c r="E92" i="7"/>
  <c r="E93" i="7" s="1"/>
  <c r="E100" i="7" s="1"/>
  <c r="E105" i="7" s="1"/>
  <c r="E108" i="7" s="1"/>
  <c r="E111" i="7" s="1"/>
  <c r="E114" i="7" s="1"/>
  <c r="C39" i="7"/>
  <c r="D39" i="7"/>
  <c r="D68" i="7" s="1"/>
  <c r="D70" i="7" s="1"/>
  <c r="D72" i="7" s="1"/>
  <c r="F230" i="6"/>
  <c r="B243" i="6"/>
  <c r="B242" i="6" s="1"/>
  <c r="B283" i="6" s="1"/>
  <c r="E244" i="6"/>
  <c r="C248" i="6"/>
  <c r="F251" i="6"/>
  <c r="F172" i="6"/>
  <c r="B258" i="6"/>
  <c r="B231" i="6"/>
  <c r="C157" i="6"/>
  <c r="C239" i="6"/>
  <c r="C243" i="6"/>
  <c r="F244" i="6"/>
  <c r="D248" i="6"/>
  <c r="C235" i="6"/>
  <c r="C234" i="6" s="1"/>
  <c r="C162" i="6"/>
  <c r="D236" i="6"/>
  <c r="D243" i="6"/>
  <c r="D242" i="6" s="1"/>
  <c r="D283" i="6" s="1"/>
  <c r="D258" i="6"/>
  <c r="F236" i="6"/>
  <c r="D231" i="6"/>
  <c r="E157" i="6"/>
  <c r="E239" i="6"/>
  <c r="E238" i="6" s="1"/>
  <c r="E282" i="6" s="1"/>
  <c r="D235" i="6"/>
  <c r="D234" i="6" s="1"/>
  <c r="D162" i="6"/>
  <c r="E236" i="6"/>
  <c r="E243" i="6"/>
  <c r="E144" i="6"/>
  <c r="E170" i="6"/>
  <c r="E258" i="6"/>
  <c r="E13" i="6"/>
  <c r="F157" i="6"/>
  <c r="F239" i="6"/>
  <c r="F238" i="6" s="1"/>
  <c r="F282" i="6" s="1"/>
  <c r="E235" i="6"/>
  <c r="E162" i="6"/>
  <c r="B251" i="6"/>
  <c r="B250" i="6" s="1"/>
  <c r="B172" i="6"/>
  <c r="B264" i="6"/>
  <c r="B178" i="6"/>
  <c r="E286" i="6"/>
  <c r="E274" i="6"/>
  <c r="C231" i="6"/>
  <c r="C154" i="6"/>
  <c r="C230" i="6"/>
  <c r="C229" i="6" s="1"/>
  <c r="F235" i="6"/>
  <c r="F234" i="6" s="1"/>
  <c r="F162" i="6"/>
  <c r="B244" i="6"/>
  <c r="C251" i="6"/>
  <c r="C250" i="6" s="1"/>
  <c r="C172" i="6"/>
  <c r="F242" i="6"/>
  <c r="F283" i="6" s="1"/>
  <c r="F286" i="6"/>
  <c r="F274" i="6"/>
  <c r="D13" i="6"/>
  <c r="D90" i="6" s="1"/>
  <c r="D146" i="6" s="1"/>
  <c r="F231" i="6"/>
  <c r="C244" i="6"/>
  <c r="D251" i="6"/>
  <c r="D172" i="6"/>
  <c r="E250" i="6"/>
  <c r="B286" i="6"/>
  <c r="B188" i="6"/>
  <c r="C152" i="6"/>
  <c r="D152" i="6" s="1"/>
  <c r="E152" i="6" s="1"/>
  <c r="F152" i="6" s="1"/>
  <c r="D244" i="6"/>
  <c r="B248" i="6"/>
  <c r="C178" i="6"/>
  <c r="C258" i="6"/>
  <c r="C287" i="6"/>
  <c r="F13" i="6"/>
  <c r="F90" i="6" s="1"/>
  <c r="F146" i="6" s="1"/>
  <c r="E58" i="6"/>
  <c r="E49" i="6" s="1"/>
  <c r="E90" i="6" s="1"/>
  <c r="H140" i="6"/>
  <c r="B158" i="6"/>
  <c r="C240" i="6"/>
  <c r="C252" i="6"/>
  <c r="F253" i="6"/>
  <c r="D256" i="6"/>
  <c r="F264" i="6"/>
  <c r="F263" i="6" s="1"/>
  <c r="B144" i="6"/>
  <c r="B146" i="6" s="1"/>
  <c r="B155" i="6"/>
  <c r="E156" i="6"/>
  <c r="B164" i="6"/>
  <c r="F170" i="6"/>
  <c r="D240" i="6"/>
  <c r="D252" i="6"/>
  <c r="B265" i="6"/>
  <c r="D144" i="6"/>
  <c r="D155" i="6"/>
  <c r="F252" i="6"/>
  <c r="B257" i="6"/>
  <c r="B255" i="6" s="1"/>
  <c r="C261" i="6"/>
  <c r="C260" i="6" s="1"/>
  <c r="D265" i="6"/>
  <c r="D263" i="6" s="1"/>
  <c r="C8" i="6"/>
  <c r="D8" i="6" s="1"/>
  <c r="E8" i="6" s="1"/>
  <c r="F8" i="6" s="1"/>
  <c r="E155" i="6"/>
  <c r="D239" i="6"/>
  <c r="D238" i="6" s="1"/>
  <c r="D282" i="6" s="1"/>
  <c r="C257" i="6"/>
  <c r="C255" i="6" s="1"/>
  <c r="F258" i="6"/>
  <c r="F255" i="6" s="1"/>
  <c r="D261" i="6"/>
  <c r="D260" i="6" s="1"/>
  <c r="E265" i="6"/>
  <c r="E263" i="6" s="1"/>
  <c r="C13" i="6"/>
  <c r="C90" i="6" s="1"/>
  <c r="C146" i="6" s="1"/>
  <c r="E172" i="6"/>
  <c r="D178" i="6"/>
  <c r="E181" i="6"/>
  <c r="D49" i="6"/>
  <c r="B145" i="2"/>
  <c r="B147" i="2" s="1"/>
  <c r="H54" i="2"/>
  <c r="C138" i="2"/>
  <c r="C139" i="2" s="1"/>
  <c r="D133" i="2"/>
  <c r="H21" i="2"/>
  <c r="H47" i="2"/>
  <c r="H44" i="2"/>
  <c r="G43" i="2"/>
  <c r="B33" i="2"/>
  <c r="H24" i="2"/>
  <c r="C145" i="2"/>
  <c r="C147" i="2" s="1"/>
  <c r="D108" i="2"/>
  <c r="H25" i="2"/>
  <c r="H40" i="2"/>
  <c r="G46" i="2"/>
  <c r="H13" i="2"/>
  <c r="H5" i="2"/>
  <c r="D139" i="2"/>
  <c r="D141" i="2" s="1"/>
  <c r="I57" i="2"/>
  <c r="H7" i="2"/>
  <c r="B118" i="2"/>
  <c r="H57" i="2"/>
  <c r="B48" i="2"/>
  <c r="B43" i="2"/>
  <c r="E63" i="2" s="1"/>
  <c r="I24" i="2"/>
  <c r="C118" i="2"/>
  <c r="G6" i="2"/>
  <c r="C137" i="2"/>
  <c r="H6" i="2"/>
  <c r="C10" i="2"/>
  <c r="C115" i="2" s="1"/>
  <c r="H11" i="2"/>
  <c r="H50" i="2"/>
  <c r="C135" i="2"/>
  <c r="C140" i="2" s="1"/>
  <c r="B138" i="2"/>
  <c r="D110" i="2"/>
  <c r="G11" i="2"/>
  <c r="H64" i="2"/>
  <c r="C18" i="2"/>
  <c r="I18" i="2" s="1"/>
  <c r="G13" i="2"/>
  <c r="C144" i="2"/>
  <c r="B132" i="2"/>
  <c r="I39" i="2"/>
  <c r="B83" i="2"/>
  <c r="B135" i="2" s="1"/>
  <c r="B140" i="2" s="1"/>
  <c r="G5" i="2"/>
  <c r="G12" i="2"/>
  <c r="H39" i="2"/>
  <c r="D100" i="2"/>
  <c r="D107" i="2"/>
  <c r="D113" i="2" s="1"/>
  <c r="D122" i="2" s="1"/>
  <c r="D131" i="2" s="1"/>
  <c r="D144" i="2"/>
  <c r="H41" i="2"/>
  <c r="H70" i="2"/>
  <c r="G4" i="2"/>
  <c r="D109" i="2"/>
  <c r="D111" i="2"/>
  <c r="G40" i="2"/>
  <c r="H46" i="2"/>
  <c r="B119" i="2"/>
  <c r="I20" i="2"/>
  <c r="D102" i="2"/>
  <c r="H68" i="2"/>
  <c r="H52" i="2"/>
  <c r="C48" i="2"/>
  <c r="C87" i="2"/>
  <c r="C133" i="2"/>
  <c r="C58" i="2"/>
  <c r="I58" i="2" s="1"/>
  <c r="B129" i="2"/>
  <c r="H56" i="2"/>
  <c r="I48" i="2"/>
  <c r="C43" i="2"/>
  <c r="F64" i="2" s="1"/>
  <c r="I40" i="2"/>
  <c r="C33" i="2"/>
  <c r="C116" i="2"/>
  <c r="C23" i="2"/>
  <c r="I23" i="2" s="1"/>
  <c r="I25" i="2"/>
  <c r="H19" i="2"/>
  <c r="B18" i="2"/>
  <c r="B116" i="2"/>
  <c r="H12" i="2"/>
  <c r="B117" i="2"/>
  <c r="B137" i="2"/>
  <c r="I6" i="2"/>
  <c r="C100" i="2"/>
  <c r="C107" i="2"/>
  <c r="C113" i="2" s="1"/>
  <c r="C122" i="2" s="1"/>
  <c r="C131" i="2" s="1"/>
  <c r="B107" i="2"/>
  <c r="B113" i="2" s="1"/>
  <c r="B122" i="2" s="1"/>
  <c r="B131" i="2" s="1"/>
  <c r="B100" i="2"/>
  <c r="D100" i="8" l="1"/>
  <c r="D134" i="8"/>
  <c r="D139" i="8" s="1"/>
  <c r="D141" i="8" s="1"/>
  <c r="G44" i="8"/>
  <c r="E41" i="8"/>
  <c r="E54" i="8"/>
  <c r="F50" i="8"/>
  <c r="F39" i="8"/>
  <c r="E50" i="8"/>
  <c r="H23" i="8"/>
  <c r="F23" i="8"/>
  <c r="C103" i="8"/>
  <c r="C128" i="8"/>
  <c r="C165" i="8"/>
  <c r="C167" i="8" s="1"/>
  <c r="C92" i="8"/>
  <c r="E15" i="8"/>
  <c r="E13" i="8"/>
  <c r="E11" i="8"/>
  <c r="B101" i="8"/>
  <c r="E12" i="8"/>
  <c r="B128" i="8"/>
  <c r="B93" i="8"/>
  <c r="B103" i="8"/>
  <c r="E6" i="8"/>
  <c r="B96" i="8"/>
  <c r="E10" i="8"/>
  <c r="E7" i="8"/>
  <c r="E5" i="8"/>
  <c r="B165" i="8"/>
  <c r="B167" i="8" s="1"/>
  <c r="G62" i="8"/>
  <c r="I43" i="8"/>
  <c r="G43" i="8"/>
  <c r="G63" i="8"/>
  <c r="G53" i="8"/>
  <c r="D49" i="8"/>
  <c r="C98" i="8"/>
  <c r="B27" i="8"/>
  <c r="E23" i="8" s="1"/>
  <c r="B98" i="8"/>
  <c r="G41" i="8"/>
  <c r="F7" i="8"/>
  <c r="C93" i="8"/>
  <c r="I4" i="8"/>
  <c r="D108" i="8"/>
  <c r="G4" i="8"/>
  <c r="B108" i="8"/>
  <c r="G27" i="8"/>
  <c r="I27" i="8"/>
  <c r="G42" i="8"/>
  <c r="H68" i="8"/>
  <c r="F68" i="8"/>
  <c r="G18" i="8"/>
  <c r="G52" i="8"/>
  <c r="G40" i="8"/>
  <c r="I68" i="8"/>
  <c r="G68" i="8"/>
  <c r="B111" i="8"/>
  <c r="E62" i="8"/>
  <c r="E43" i="8"/>
  <c r="E70" i="8"/>
  <c r="E67" i="8"/>
  <c r="E66" i="8"/>
  <c r="E64" i="8"/>
  <c r="E63" i="8"/>
  <c r="E57" i="8"/>
  <c r="E56" i="8"/>
  <c r="E53" i="8"/>
  <c r="B49" i="8"/>
  <c r="D15" i="8"/>
  <c r="C134" i="8"/>
  <c r="C139" i="8" s="1"/>
  <c r="C141" i="8" s="1"/>
  <c r="E68" i="8"/>
  <c r="E58" i="8"/>
  <c r="E46" i="8"/>
  <c r="B110" i="8"/>
  <c r="C101" i="8"/>
  <c r="H15" i="8"/>
  <c r="C35" i="8"/>
  <c r="F8" i="8"/>
  <c r="F15" i="8"/>
  <c r="F13" i="8"/>
  <c r="F12" i="8"/>
  <c r="F11" i="8"/>
  <c r="F10" i="8"/>
  <c r="B149" i="8"/>
  <c r="B151" i="8" s="1"/>
  <c r="G50" i="8"/>
  <c r="G39" i="8"/>
  <c r="F5" i="8"/>
  <c r="G57" i="8"/>
  <c r="F62" i="8"/>
  <c r="H43" i="8"/>
  <c r="F56" i="8"/>
  <c r="F53" i="8"/>
  <c r="F43" i="8"/>
  <c r="F70" i="8"/>
  <c r="F67" i="8"/>
  <c r="F66" i="8"/>
  <c r="F64" i="8"/>
  <c r="F63" i="8"/>
  <c r="F54" i="8"/>
  <c r="C49" i="8"/>
  <c r="F57" i="8"/>
  <c r="G58" i="8"/>
  <c r="E40" i="8"/>
  <c r="G25" i="8"/>
  <c r="C107" i="8"/>
  <c r="C113" i="8" s="1"/>
  <c r="C122" i="8" s="1"/>
  <c r="C131" i="8" s="1"/>
  <c r="C100" i="8"/>
  <c r="H27" i="8"/>
  <c r="F27" i="8"/>
  <c r="G23" i="8"/>
  <c r="G47" i="8"/>
  <c r="F25" i="8"/>
  <c r="G70" i="8"/>
  <c r="F4" i="8"/>
  <c r="E48" i="8"/>
  <c r="G56" i="8"/>
  <c r="G21" i="8"/>
  <c r="F21" i="8"/>
  <c r="E42" i="8"/>
  <c r="B92" i="8"/>
  <c r="E4" i="8"/>
  <c r="G24" i="8"/>
  <c r="F18" i="8"/>
  <c r="G46" i="8"/>
  <c r="F24" i="8"/>
  <c r="G67" i="8"/>
  <c r="D111" i="8"/>
  <c r="G54" i="8"/>
  <c r="C96" i="8"/>
  <c r="B134" i="8"/>
  <c r="B139" i="8" s="1"/>
  <c r="B141" i="8" s="1"/>
  <c r="G19" i="8"/>
  <c r="F19" i="8"/>
  <c r="G20" i="8"/>
  <c r="G67" i="2"/>
  <c r="G44" i="2"/>
  <c r="G39" i="2"/>
  <c r="G63" i="2"/>
  <c r="G45" i="2"/>
  <c r="G48" i="2" s="1"/>
  <c r="G68" i="2"/>
  <c r="G56" i="2"/>
  <c r="G42" i="2"/>
  <c r="G58" i="2"/>
  <c r="G50" i="2"/>
  <c r="G64" i="2"/>
  <c r="G54" i="2"/>
  <c r="D49" i="2"/>
  <c r="D51" i="2" s="1"/>
  <c r="G53" i="2"/>
  <c r="G70" i="2"/>
  <c r="G57" i="2"/>
  <c r="G66" i="2"/>
  <c r="G52" i="2"/>
  <c r="G41" i="2"/>
  <c r="G62" i="2"/>
  <c r="E52" i="2"/>
  <c r="E68" i="2"/>
  <c r="E66" i="2"/>
  <c r="E46" i="2"/>
  <c r="E54" i="2"/>
  <c r="E42" i="2"/>
  <c r="E67" i="2"/>
  <c r="E53" i="2"/>
  <c r="E57" i="2"/>
  <c r="E50" i="2"/>
  <c r="E62" i="2"/>
  <c r="E58" i="2"/>
  <c r="B49" i="2"/>
  <c r="E49" i="2" s="1"/>
  <c r="E45" i="2"/>
  <c r="E56" i="2"/>
  <c r="E64" i="2"/>
  <c r="E41" i="2"/>
  <c r="D149" i="2"/>
  <c r="D27" i="2"/>
  <c r="G20" i="2" s="1"/>
  <c r="E44" i="2"/>
  <c r="D136" i="2"/>
  <c r="D15" i="2"/>
  <c r="D92" i="2" s="1"/>
  <c r="G10" i="2"/>
  <c r="D160" i="2"/>
  <c r="D162" i="2" s="1"/>
  <c r="D114" i="2"/>
  <c r="C160" i="2"/>
  <c r="C162" i="2" s="1"/>
  <c r="C136" i="2"/>
  <c r="C114" i="2"/>
  <c r="I10" i="2"/>
  <c r="C68" i="7"/>
  <c r="C70" i="7" s="1"/>
  <c r="C72" i="7" s="1"/>
  <c r="B68" i="7"/>
  <c r="B70" i="7" s="1"/>
  <c r="B72" i="7" s="1"/>
  <c r="E287" i="6"/>
  <c r="D275" i="6"/>
  <c r="D287" i="6"/>
  <c r="I93" i="6"/>
  <c r="I90" i="6"/>
  <c r="E146" i="6"/>
  <c r="B208" i="6"/>
  <c r="B230" i="6"/>
  <c r="B229" i="6" s="1"/>
  <c r="B185" i="6"/>
  <c r="F271" i="6"/>
  <c r="F280" i="6" s="1"/>
  <c r="E231" i="6"/>
  <c r="E256" i="6"/>
  <c r="E255" i="6" s="1"/>
  <c r="C270" i="6"/>
  <c r="C246" i="6"/>
  <c r="E248" i="6"/>
  <c r="C271" i="6"/>
  <c r="C280" i="6" s="1"/>
  <c r="F287" i="6"/>
  <c r="F275" i="6"/>
  <c r="C242" i="6"/>
  <c r="F250" i="6"/>
  <c r="F154" i="6"/>
  <c r="B285" i="6"/>
  <c r="B273" i="6"/>
  <c r="E154" i="6"/>
  <c r="E230" i="6"/>
  <c r="E229" i="6" s="1"/>
  <c r="D255" i="6"/>
  <c r="D271" i="6" s="1"/>
  <c r="D280" i="6" s="1"/>
  <c r="C168" i="6"/>
  <c r="B214" i="6"/>
  <c r="E234" i="6"/>
  <c r="C267" i="6"/>
  <c r="C285" i="6"/>
  <c r="C273" i="6"/>
  <c r="F229" i="6"/>
  <c r="C286" i="6"/>
  <c r="C274" i="6"/>
  <c r="F185" i="6"/>
  <c r="F248" i="6"/>
  <c r="C188" i="6"/>
  <c r="D188" i="6" s="1"/>
  <c r="E188" i="6" s="1"/>
  <c r="F188" i="6" s="1"/>
  <c r="B227" i="6"/>
  <c r="C227" i="6" s="1"/>
  <c r="D227" i="6" s="1"/>
  <c r="E227" i="6" s="1"/>
  <c r="F227" i="6" s="1"/>
  <c r="D250" i="6"/>
  <c r="B263" i="6"/>
  <c r="E242" i="6"/>
  <c r="E283" i="6" s="1"/>
  <c r="D285" i="6"/>
  <c r="D288" i="6" s="1"/>
  <c r="D273" i="6"/>
  <c r="D276" i="6" s="1"/>
  <c r="D267" i="6"/>
  <c r="C238" i="6"/>
  <c r="C282" i="6" s="1"/>
  <c r="C185" i="6"/>
  <c r="E178" i="6"/>
  <c r="E185" i="6" s="1"/>
  <c r="D286" i="6"/>
  <c r="D274" i="6"/>
  <c r="D154" i="6"/>
  <c r="D230" i="6"/>
  <c r="D229" i="6" s="1"/>
  <c r="B162" i="6"/>
  <c r="B236" i="6"/>
  <c r="B234" i="6" s="1"/>
  <c r="B271" i="6" s="1"/>
  <c r="B280" i="6" s="1"/>
  <c r="B157" i="6"/>
  <c r="B154" i="6" s="1"/>
  <c r="B239" i="6"/>
  <c r="B238" i="6" s="1"/>
  <c r="D185" i="6"/>
  <c r="D214" i="6" s="1"/>
  <c r="C193" i="6"/>
  <c r="E47" i="2"/>
  <c r="E70" i="2"/>
  <c r="H48" i="2"/>
  <c r="C49" i="2"/>
  <c r="F49" i="2" s="1"/>
  <c r="C111" i="2"/>
  <c r="I4" i="2"/>
  <c r="C102" i="2"/>
  <c r="F66" i="2"/>
  <c r="C141" i="2"/>
  <c r="C108" i="2"/>
  <c r="H4" i="2"/>
  <c r="C109" i="2"/>
  <c r="E39" i="2"/>
  <c r="E40" i="2"/>
  <c r="E43" i="2"/>
  <c r="C110" i="2"/>
  <c r="F54" i="2"/>
  <c r="H58" i="2"/>
  <c r="C15" i="2"/>
  <c r="F45" i="2"/>
  <c r="F52" i="2"/>
  <c r="B108" i="2"/>
  <c r="C149" i="2"/>
  <c r="C151" i="2" s="1"/>
  <c r="F63" i="2"/>
  <c r="D96" i="2"/>
  <c r="F56" i="2"/>
  <c r="B134" i="2"/>
  <c r="B139" i="2" s="1"/>
  <c r="B141" i="2" s="1"/>
  <c r="B133" i="2"/>
  <c r="F50" i="2"/>
  <c r="F39" i="2"/>
  <c r="H43" i="2"/>
  <c r="F46" i="2"/>
  <c r="F47" i="2"/>
  <c r="F57" i="2"/>
  <c r="F42" i="2"/>
  <c r="F41" i="2"/>
  <c r="F62" i="2"/>
  <c r="F53" i="2"/>
  <c r="F68" i="2"/>
  <c r="F43" i="2"/>
  <c r="F67" i="2"/>
  <c r="F40" i="2"/>
  <c r="F44" i="2"/>
  <c r="F70" i="2"/>
  <c r="I43" i="2"/>
  <c r="F58" i="2"/>
  <c r="C97" i="2"/>
  <c r="C27" i="2"/>
  <c r="F20" i="2" s="1"/>
  <c r="H23" i="2"/>
  <c r="B109" i="2"/>
  <c r="B111" i="2"/>
  <c r="H18" i="2"/>
  <c r="B97" i="2"/>
  <c r="B27" i="2"/>
  <c r="E18" i="2" s="1"/>
  <c r="B110" i="2"/>
  <c r="B149" i="2"/>
  <c r="B151" i="2" s="1"/>
  <c r="B102" i="2"/>
  <c r="B114" i="2"/>
  <c r="B136" i="2"/>
  <c r="B160" i="2"/>
  <c r="B162" i="2" s="1"/>
  <c r="B115" i="2"/>
  <c r="H10" i="2"/>
  <c r="B15" i="2"/>
  <c r="E4" i="2" s="1"/>
  <c r="G48" i="8" l="1"/>
  <c r="I49" i="8"/>
  <c r="G49" i="8"/>
  <c r="D51" i="8"/>
  <c r="B35" i="8"/>
  <c r="D101" i="8"/>
  <c r="I15" i="8"/>
  <c r="D35" i="8"/>
  <c r="G15" i="8"/>
  <c r="D96" i="8"/>
  <c r="D128" i="8"/>
  <c r="D98" i="8"/>
  <c r="D165" i="8"/>
  <c r="D167" i="8" s="1"/>
  <c r="D93" i="8"/>
  <c r="D103" i="8"/>
  <c r="D92" i="8"/>
  <c r="H49" i="8"/>
  <c r="C51" i="8"/>
  <c r="F49" i="8"/>
  <c r="E49" i="8"/>
  <c r="B51" i="8"/>
  <c r="E27" i="8"/>
  <c r="E20" i="8"/>
  <c r="E25" i="8"/>
  <c r="E24" i="8"/>
  <c r="E19" i="8"/>
  <c r="E21" i="8"/>
  <c r="E18" i="8"/>
  <c r="C93" i="2"/>
  <c r="C128" i="2"/>
  <c r="G49" i="2"/>
  <c r="E48" i="2"/>
  <c r="C51" i="2"/>
  <c r="I51" i="2" s="1"/>
  <c r="H49" i="2"/>
  <c r="B51" i="2"/>
  <c r="B55" i="2" s="1"/>
  <c r="B125" i="2" s="1"/>
  <c r="I49" i="2"/>
  <c r="G25" i="2"/>
  <c r="G27" i="2"/>
  <c r="G18" i="2"/>
  <c r="G23" i="2"/>
  <c r="G24" i="2"/>
  <c r="G19" i="2"/>
  <c r="G21" i="2"/>
  <c r="D98" i="2"/>
  <c r="D35" i="2"/>
  <c r="D165" i="2"/>
  <c r="D167" i="2" s="1"/>
  <c r="D103" i="2"/>
  <c r="D93" i="2"/>
  <c r="G15" i="2"/>
  <c r="D101" i="2"/>
  <c r="F13" i="2"/>
  <c r="B168" i="6"/>
  <c r="E215" i="6"/>
  <c r="E210" i="6"/>
  <c r="E212" i="6"/>
  <c r="E218" i="6"/>
  <c r="E211" i="6"/>
  <c r="E219" i="6"/>
  <c r="E216" i="6"/>
  <c r="E209" i="6"/>
  <c r="E206" i="6"/>
  <c r="E217" i="6"/>
  <c r="E208" i="6"/>
  <c r="B287" i="6"/>
  <c r="B288" i="6" s="1"/>
  <c r="B275" i="6"/>
  <c r="C196" i="6"/>
  <c r="C199" i="6"/>
  <c r="C195" i="6"/>
  <c r="C192" i="6"/>
  <c r="C202" i="6"/>
  <c r="C194" i="6"/>
  <c r="C191" i="6"/>
  <c r="C201" i="6"/>
  <c r="C200" i="6"/>
  <c r="C279" i="6"/>
  <c r="C281" i="6" s="1"/>
  <c r="C272" i="6"/>
  <c r="F218" i="6"/>
  <c r="F212" i="6"/>
  <c r="F210" i="6"/>
  <c r="F211" i="6"/>
  <c r="F215" i="6"/>
  <c r="F217" i="6"/>
  <c r="F216" i="6"/>
  <c r="F209" i="6"/>
  <c r="F214" i="6"/>
  <c r="F219" i="6"/>
  <c r="C217" i="6"/>
  <c r="C206" i="6"/>
  <c r="C219" i="6"/>
  <c r="C210" i="6"/>
  <c r="C218" i="6"/>
  <c r="C212" i="6"/>
  <c r="C209" i="6"/>
  <c r="C215" i="6"/>
  <c r="C211" i="6"/>
  <c r="C216" i="6"/>
  <c r="B198" i="6"/>
  <c r="C190" i="6"/>
  <c r="B267" i="6"/>
  <c r="F208" i="6"/>
  <c r="C208" i="6"/>
  <c r="F270" i="6"/>
  <c r="F246" i="6"/>
  <c r="D208" i="6"/>
  <c r="F190" i="6"/>
  <c r="F168" i="6"/>
  <c r="B215" i="6"/>
  <c r="B211" i="6"/>
  <c r="B217" i="6"/>
  <c r="B218" i="6"/>
  <c r="B212" i="6"/>
  <c r="B216" i="6"/>
  <c r="B210" i="6"/>
  <c r="B206" i="6"/>
  <c r="B221" i="6" s="1"/>
  <c r="B219" i="6"/>
  <c r="B209" i="6"/>
  <c r="E285" i="6"/>
  <c r="E288" i="6" s="1"/>
  <c r="E273" i="6"/>
  <c r="E276" i="6" s="1"/>
  <c r="E267" i="6"/>
  <c r="D270" i="6"/>
  <c r="D246" i="6"/>
  <c r="D211" i="6"/>
  <c r="D216" i="6"/>
  <c r="D215" i="6"/>
  <c r="D206" i="6"/>
  <c r="D210" i="6"/>
  <c r="D212" i="6"/>
  <c r="D209" i="6"/>
  <c r="D217" i="6"/>
  <c r="D219" i="6"/>
  <c r="D218" i="6"/>
  <c r="B282" i="6"/>
  <c r="B274" i="6"/>
  <c r="B276" i="6" s="1"/>
  <c r="D168" i="6"/>
  <c r="D190" i="6" s="1"/>
  <c r="C214" i="6"/>
  <c r="C288" i="6"/>
  <c r="C283" i="6"/>
  <c r="C275" i="6"/>
  <c r="C276" i="6" s="1"/>
  <c r="B193" i="6"/>
  <c r="C198" i="6"/>
  <c r="F206" i="6"/>
  <c r="F221" i="6" s="1"/>
  <c r="E270" i="6"/>
  <c r="E246" i="6"/>
  <c r="B270" i="6"/>
  <c r="B246" i="6"/>
  <c r="E214" i="6"/>
  <c r="F267" i="6"/>
  <c r="F273" i="6"/>
  <c r="F276" i="6" s="1"/>
  <c r="F285" i="6"/>
  <c r="F288" i="6" s="1"/>
  <c r="E271" i="6"/>
  <c r="E280" i="6" s="1"/>
  <c r="E168" i="6"/>
  <c r="E275" i="6"/>
  <c r="F6" i="2"/>
  <c r="F5" i="2"/>
  <c r="C96" i="2"/>
  <c r="C101" i="2"/>
  <c r="F15" i="2"/>
  <c r="F7" i="2"/>
  <c r="I15" i="2"/>
  <c r="F11" i="2"/>
  <c r="C103" i="2"/>
  <c r="F10" i="2"/>
  <c r="C98" i="2"/>
  <c r="F4" i="2"/>
  <c r="C35" i="2"/>
  <c r="F12" i="2"/>
  <c r="C92" i="2"/>
  <c r="F8" i="2"/>
  <c r="C165" i="2"/>
  <c r="C167" i="2" s="1"/>
  <c r="F18" i="2"/>
  <c r="G51" i="2"/>
  <c r="D55" i="2"/>
  <c r="F48" i="2"/>
  <c r="F19" i="2"/>
  <c r="F27" i="2"/>
  <c r="F25" i="2"/>
  <c r="F23" i="2"/>
  <c r="F24" i="2"/>
  <c r="I27" i="2"/>
  <c r="F21" i="2"/>
  <c r="E24" i="2"/>
  <c r="H27" i="2"/>
  <c r="E25" i="2"/>
  <c r="E20" i="2"/>
  <c r="E27" i="2"/>
  <c r="E23" i="2"/>
  <c r="E21" i="2"/>
  <c r="E19" i="2"/>
  <c r="B101" i="2"/>
  <c r="B92" i="2"/>
  <c r="B103" i="2"/>
  <c r="B98" i="2"/>
  <c r="B128" i="2"/>
  <c r="B35" i="2"/>
  <c r="B96" i="2"/>
  <c r="E5" i="2"/>
  <c r="E10" i="2"/>
  <c r="E7" i="2"/>
  <c r="E12" i="2"/>
  <c r="E6" i="2"/>
  <c r="E11" i="2"/>
  <c r="B93" i="2"/>
  <c r="E13" i="2"/>
  <c r="E15" i="2"/>
  <c r="H15" i="2"/>
  <c r="K10" i="2"/>
  <c r="B165" i="2"/>
  <c r="B167" i="2" s="1"/>
  <c r="K4" i="2"/>
  <c r="B55" i="8" l="1"/>
  <c r="E51" i="8"/>
  <c r="D55" i="8"/>
  <c r="I51" i="8"/>
  <c r="G51" i="8"/>
  <c r="C55" i="8"/>
  <c r="H51" i="8"/>
  <c r="F51" i="8"/>
  <c r="C55" i="2"/>
  <c r="F51" i="2"/>
  <c r="E51" i="2"/>
  <c r="E55" i="2"/>
  <c r="B65" i="2"/>
  <c r="B69" i="2" s="1"/>
  <c r="B127" i="2"/>
  <c r="H51" i="2"/>
  <c r="C221" i="6"/>
  <c r="D193" i="6"/>
  <c r="D196" i="6"/>
  <c r="D194" i="6"/>
  <c r="D192" i="6"/>
  <c r="D200" i="6"/>
  <c r="D202" i="6"/>
  <c r="D201" i="6"/>
  <c r="D199" i="6"/>
  <c r="D195" i="6"/>
  <c r="D191" i="6"/>
  <c r="D198" i="6"/>
  <c r="D204" i="6" s="1"/>
  <c r="F272" i="6"/>
  <c r="F279" i="6"/>
  <c r="F281" i="6" s="1"/>
  <c r="F284" i="6" s="1"/>
  <c r="D272" i="6"/>
  <c r="D279" i="6"/>
  <c r="D281" i="6" s="1"/>
  <c r="D284" i="6" s="1"/>
  <c r="D221" i="6"/>
  <c r="E221" i="6"/>
  <c r="E279" i="6"/>
  <c r="E281" i="6" s="1"/>
  <c r="E284" i="6" s="1"/>
  <c r="E272" i="6"/>
  <c r="E200" i="6"/>
  <c r="E201" i="6"/>
  <c r="E194" i="6"/>
  <c r="E199" i="6"/>
  <c r="E195" i="6"/>
  <c r="E196" i="6"/>
  <c r="E202" i="6"/>
  <c r="E198" i="6"/>
  <c r="E193" i="6"/>
  <c r="E192" i="6"/>
  <c r="E191" i="6"/>
  <c r="B279" i="6"/>
  <c r="B281" i="6" s="1"/>
  <c r="B284" i="6" s="1"/>
  <c r="B272" i="6"/>
  <c r="C284" i="6"/>
  <c r="B202" i="6"/>
  <c r="B199" i="6"/>
  <c r="B196" i="6"/>
  <c r="B195" i="6"/>
  <c r="B201" i="6"/>
  <c r="B192" i="6"/>
  <c r="B194" i="6"/>
  <c r="B191" i="6"/>
  <c r="B200" i="6"/>
  <c r="E190" i="6"/>
  <c r="E204" i="6" s="1"/>
  <c r="F191" i="6"/>
  <c r="F194" i="6"/>
  <c r="F195" i="6"/>
  <c r="F201" i="6"/>
  <c r="F202" i="6"/>
  <c r="F192" i="6"/>
  <c r="F200" i="6"/>
  <c r="F199" i="6"/>
  <c r="F196" i="6"/>
  <c r="F193" i="6"/>
  <c r="F198" i="6"/>
  <c r="F204" i="6" s="1"/>
  <c r="C204" i="6"/>
  <c r="B190" i="6"/>
  <c r="B204" i="6" s="1"/>
  <c r="D65" i="2"/>
  <c r="G55" i="2"/>
  <c r="K15" i="2"/>
  <c r="D125" i="8" l="1"/>
  <c r="D127" i="8"/>
  <c r="I55" i="8"/>
  <c r="G55" i="8"/>
  <c r="D65" i="8"/>
  <c r="F55" i="8"/>
  <c r="C125" i="8"/>
  <c r="C127" i="8"/>
  <c r="H55" i="8"/>
  <c r="C65" i="8"/>
  <c r="B65" i="8"/>
  <c r="B125" i="8"/>
  <c r="B127" i="8"/>
  <c r="E55" i="8"/>
  <c r="C125" i="2"/>
  <c r="C127" i="2"/>
  <c r="C65" i="2"/>
  <c r="H65" i="2" s="1"/>
  <c r="I55" i="2"/>
  <c r="F55" i="2"/>
  <c r="H55" i="2"/>
  <c r="E65" i="2"/>
  <c r="D69" i="2"/>
  <c r="G65" i="2"/>
  <c r="B71" i="2"/>
  <c r="E69" i="2"/>
  <c r="I65" i="8" l="1"/>
  <c r="D69" i="8"/>
  <c r="G65" i="8"/>
  <c r="B69" i="8"/>
  <c r="E65" i="8"/>
  <c r="H65" i="8"/>
  <c r="F65" i="8"/>
  <c r="C69" i="8"/>
  <c r="F65" i="2"/>
  <c r="C69" i="2"/>
  <c r="H69" i="2" s="1"/>
  <c r="I65" i="2"/>
  <c r="D71" i="2"/>
  <c r="G69" i="2"/>
  <c r="B123" i="2"/>
  <c r="B124" i="2"/>
  <c r="B126" i="2"/>
  <c r="B155" i="2"/>
  <c r="B154" i="2" s="1"/>
  <c r="B157" i="2" s="1"/>
  <c r="E71" i="2"/>
  <c r="H69" i="8" l="1"/>
  <c r="F69" i="8"/>
  <c r="C71" i="8"/>
  <c r="B71" i="8"/>
  <c r="E69" i="8"/>
  <c r="I69" i="8"/>
  <c r="D71" i="8"/>
  <c r="G69" i="8"/>
  <c r="I69" i="2"/>
  <c r="C71" i="2"/>
  <c r="F69" i="2"/>
  <c r="G71" i="2"/>
  <c r="D155" i="2"/>
  <c r="D154" i="2" s="1"/>
  <c r="D157" i="2" s="1"/>
  <c r="I71" i="8" l="1"/>
  <c r="G71" i="8"/>
  <c r="D124" i="8"/>
  <c r="D126" i="8"/>
  <c r="D155" i="8"/>
  <c r="D154" i="8" s="1"/>
  <c r="D157" i="8" s="1"/>
  <c r="D123" i="8"/>
  <c r="B126" i="8"/>
  <c r="B155" i="8"/>
  <c r="B154" i="8" s="1"/>
  <c r="B157" i="8" s="1"/>
  <c r="B123" i="8"/>
  <c r="E71" i="8"/>
  <c r="B124" i="8"/>
  <c r="C155" i="8"/>
  <c r="C154" i="8" s="1"/>
  <c r="C157" i="8" s="1"/>
  <c r="C123" i="8"/>
  <c r="H71" i="8"/>
  <c r="F71" i="8"/>
  <c r="C124" i="8"/>
  <c r="C126" i="8"/>
  <c r="C155" i="2"/>
  <c r="C154" i="2" s="1"/>
  <c r="C157" i="2" s="1"/>
  <c r="C126" i="2"/>
  <c r="C123" i="2"/>
  <c r="C124" i="2"/>
  <c r="F71" i="2"/>
  <c r="H71" i="2"/>
  <c r="I71" i="2"/>
</calcChain>
</file>

<file path=xl/sharedStrings.xml><?xml version="1.0" encoding="utf-8"?>
<sst xmlns="http://schemas.openxmlformats.org/spreadsheetml/2006/main" count="651" uniqueCount="400">
  <si>
    <t xml:space="preserve">ANNI </t>
  </si>
  <si>
    <t>IMPIEGHI = INVESTIMENTI = ATTIVITA'</t>
  </si>
  <si>
    <t>ANNO N+2</t>
  </si>
  <si>
    <t>Immobilizzazioni immateriali</t>
  </si>
  <si>
    <t>Immobilizzazioni materiali</t>
  </si>
  <si>
    <t>Immobilizzazioni finanziarie</t>
  </si>
  <si>
    <t>Rimanenze ( Ri)</t>
  </si>
  <si>
    <t>Disponibilita' finanziarie ( Df)</t>
  </si>
  <si>
    <t>Disponibità liquide (Dl)</t>
  </si>
  <si>
    <t>FONTI DI FINANZIAMENTO</t>
  </si>
  <si>
    <t>Utile d'esercizio/ perdita d'esercizio</t>
  </si>
  <si>
    <t>PASSIVITA' (P)</t>
  </si>
  <si>
    <t>TOTALE FONTI DI FINANZIAMENTO</t>
  </si>
  <si>
    <t>ANALISI DI BILANCIO</t>
  </si>
  <si>
    <t>DATI IN PERCENTUALE</t>
  </si>
  <si>
    <t>VARIAZIONI</t>
  </si>
  <si>
    <t>ANNO N</t>
  </si>
  <si>
    <t>ANNO N+1</t>
  </si>
  <si>
    <t>VAR N/N+1</t>
  </si>
  <si>
    <t>VAR N+1/N+2</t>
  </si>
  <si>
    <t xml:space="preserve"> </t>
  </si>
  <si>
    <t>Capitale</t>
  </si>
  <si>
    <t>Capitale sociale</t>
  </si>
  <si>
    <t>Utile/perdite a nuovo+ riserve</t>
  </si>
  <si>
    <t>Controllo Stato patrimoniale</t>
  </si>
  <si>
    <t>CONTO ECONOMICO A VALORE AGGIUNTO</t>
  </si>
  <si>
    <t>Ricavi netti di vendita (A1)</t>
  </si>
  <si>
    <t>=+ Costi patrimonializzati per lavori interni - (A4)</t>
  </si>
  <si>
    <t>+/-Var. Rim. Prod. Fin., semil, prod. In corso (A2)</t>
  </si>
  <si>
    <t>+Altri ricavi e proventi di gestione (A5)</t>
  </si>
  <si>
    <t>VALORE DELLA PRODUZIONE</t>
  </si>
  <si>
    <t>- Costi materie prime, consumo, merci B6</t>
  </si>
  <si>
    <t>-Costi per servizi e godimento beni di terzi (B7+B8)</t>
  </si>
  <si>
    <t>+/- Var. Rim. Mat. Prime, consumo, merci (B11)</t>
  </si>
  <si>
    <t>-Altri costi diversi di gestione B14</t>
  </si>
  <si>
    <t>COSTI DELLA PRODUZIONE</t>
  </si>
  <si>
    <t>VALORE AGGIUNTO</t>
  </si>
  <si>
    <t>-Costi del personale</t>
  </si>
  <si>
    <t>MAGINE OPERATIVO LORDO (EBITDA)</t>
  </si>
  <si>
    <t>-Amortamenti (B10)</t>
  </si>
  <si>
    <t>-Accantonamento a fondi rischi e oneri (B12+B13)</t>
  </si>
  <si>
    <t>-Svalutazione crediti</t>
  </si>
  <si>
    <t>REDDITO OPERATIVO (EBIT)</t>
  </si>
  <si>
    <t>+ Proventi finanziari</t>
  </si>
  <si>
    <t>-Oneri finanziari</t>
  </si>
  <si>
    <t>+/- RISULTATO GESTIONE FINANZIARIA</t>
  </si>
  <si>
    <t>+ Proventi Patrimoniali</t>
  </si>
  <si>
    <t>.- Oneri patrimoniali</t>
  </si>
  <si>
    <t>RISULTATO GESTIONE PATRIMONIALE</t>
  </si>
  <si>
    <t>+ Proventi accessori (atipici)</t>
  </si>
  <si>
    <t>-Oneri Acessori</t>
  </si>
  <si>
    <t>+/- RISULTATO GESTIONE ACCESSORIA</t>
  </si>
  <si>
    <t>RISULTATO DELLA GESTIONE ORDINARIA</t>
  </si>
  <si>
    <t>+Proventi straordinari</t>
  </si>
  <si>
    <t>-Oneri straordinari</t>
  </si>
  <si>
    <t>+/-RISULTATO GESTIONE STRAORDINARIA</t>
  </si>
  <si>
    <t>RISULTATO ECONOMICO AL LORDO IMP.</t>
  </si>
  <si>
    <t>-Imposte dell'esercizio</t>
  </si>
  <si>
    <t>UTILE/PERDITA DELL'ESERCIZIO</t>
  </si>
  <si>
    <t>dati integratrivi per analisi bilancio</t>
  </si>
  <si>
    <t>Passività immediate ( Pi&lt;=Pb)-(scadenti &lt;=60gg)</t>
  </si>
  <si>
    <t>Numero dei dipendenti</t>
  </si>
  <si>
    <t>crediti commerciali</t>
  </si>
  <si>
    <t>debiti commerciali</t>
  </si>
  <si>
    <t>fatture di vendita iva compresa</t>
  </si>
  <si>
    <t>fatture di acquisto</t>
  </si>
  <si>
    <t>Crediti finanziari a breve</t>
  </si>
  <si>
    <t>Debiti finanziari a breve</t>
  </si>
  <si>
    <t>Debiti finanziari a lungo termine</t>
  </si>
  <si>
    <t>Totale debiti finanziari per calcolo ROD (deb fin breve/deb fin M/L)</t>
  </si>
  <si>
    <t>INDICI STRUTTURALI</t>
  </si>
  <si>
    <t>Analisi degli impieghi</t>
  </si>
  <si>
    <t>Rigidità degli impieghi (Ai/TI)</t>
  </si>
  <si>
    <t>Elasticità degli impieghi ( Ac/TI)</t>
  </si>
  <si>
    <t>Analisi delle fonti</t>
  </si>
  <si>
    <t>Indice di indipendenza finanziaria (Cp/TI)</t>
  </si>
  <si>
    <t>Grado di capitalizzazione (Cp/(Pc+Pb))</t>
  </si>
  <si>
    <t>Indice di dipendenza finanziaria ((Pc+Pb)/TI)</t>
  </si>
  <si>
    <t>Correlazione tra impieghi e fonti</t>
  </si>
  <si>
    <t>Indice di indebitamento (TI/Cp) LEVERAGE</t>
  </si>
  <si>
    <t>Quoziente di indebitamento ( Pc+Pb)/Cp</t>
  </si>
  <si>
    <t>Indice di rigidità delle fonti ( Cp+Pc)/Ci</t>
  </si>
  <si>
    <t>ANALISI DELLA SOLIDITA' AZIENDALE</t>
  </si>
  <si>
    <t>Margine di struttura/ autocoperutra (Cp-Ai)</t>
  </si>
  <si>
    <t>Margine di copertura delle immobilizzazioni (Cp+Pc)-Ai</t>
  </si>
  <si>
    <t>Indice di autocopertura delle immobilizzazioni (Cp/Ai)</t>
  </si>
  <si>
    <t>Indice di copertura delle immobilizzazioni (Cp+Pc)/Ai</t>
  </si>
  <si>
    <t>ANALISI DELLA SOLVIBILITA' DELL'AZIENDA</t>
  </si>
  <si>
    <t>Capitale circolante netto  ( Ac - Pb)</t>
  </si>
  <si>
    <t>Indice di disponibilità (Current Ratio) ( Ac/Pb)</t>
  </si>
  <si>
    <t>Margine di tesoreria ((Dl+Df)-Pb)</t>
  </si>
  <si>
    <t>Indice liquidità primaria (Dl/Pb)</t>
  </si>
  <si>
    <t>Indice secco di liquidità (Dl/(Pb immediate)</t>
  </si>
  <si>
    <t>Indice di liquidità secondaria (Quick ratio) ((Dl+DF)/Pb)</t>
  </si>
  <si>
    <t>Posizione finanziaria netta ( Dl+Cr. Fin breve)- Deb fin. Breve +medio lungo</t>
  </si>
  <si>
    <t>INDICI DI REDDITIVITA'</t>
  </si>
  <si>
    <t>R.O.E. ( Utile netto esercizio)/Cap proprio compreso utile</t>
  </si>
  <si>
    <t>R.O.E (Utile netto esercizio/Cap proprio al netto utile</t>
  </si>
  <si>
    <t>R.O.I.  ( Ro/Tot. Investimenti)</t>
  </si>
  <si>
    <t>Incidenza gestione extra caratteristica (Utile/Ro)</t>
  </si>
  <si>
    <t>R.O.S. ( Retun on sales) ( Ro/Ricavi netti vendita)</t>
  </si>
  <si>
    <t>Indice di rotazione impieghi ( Ricavi netti vendita/TI)</t>
  </si>
  <si>
    <t>R.O.D ( oneri finanziari/debiti finanziari)</t>
  </si>
  <si>
    <t>Altri indici di economico finanziari e di efficienza</t>
  </si>
  <si>
    <t>fatturato pro capite ( Ricavi netti Vendita/ n° dipendenti)</t>
  </si>
  <si>
    <t>indice di rotazione crediti commerciali  ( fatt.vend/crediti c.)</t>
  </si>
  <si>
    <t>durata media dei crediti (cred comm/fatt. vend)*365</t>
  </si>
  <si>
    <t>durata media dei debiti (deb comm/fatt acq)*365</t>
  </si>
  <si>
    <t>indice di rotazione attivo corrente (ricavi netti vend/Ac)</t>
  </si>
  <si>
    <t>indice di rotazione del magazzino V/D</t>
  </si>
  <si>
    <t>durata media delle scorte D/V*365</t>
  </si>
  <si>
    <t>durata media del ciclo commerciale delle vendite ( gg.Cred+gg Mag</t>
  </si>
  <si>
    <t>durata media debiti commerciali</t>
  </si>
  <si>
    <t>ciclo finanziario ( netto)</t>
  </si>
  <si>
    <t>indice di sostenibilità degli oneri fnanziaria -Oneri finanziari (C17)/ Ricavi (A1)</t>
  </si>
  <si>
    <t>SOGLIA</t>
  </si>
  <si>
    <t>CHECK</t>
  </si>
  <si>
    <t>indice di adeguatezza patrimoniale Patrimonio Netto/Debiti totali</t>
  </si>
  <si>
    <t>INDICE DI RITORNO LIQUIDO DELL'ATTIVO ( CASH FLOW/ATTIVO)</t>
  </si>
  <si>
    <t>INDICE DI LIQUIDITA' (ATTIVITA' A BREVE /PASS. A BREVE)</t>
  </si>
  <si>
    <t>INDEBITAMENTO PREVIDENZIALE E TRIBUTARIO (IND. TIB+PREV/ATTIVO)</t>
  </si>
  <si>
    <t>DATI AGGIUNTIVI</t>
  </si>
  <si>
    <t>INDEBITAMENTO TRIBUTARIO</t>
  </si>
  <si>
    <t xml:space="preserve">INDEBITAMENTO PREVIDENZIALE </t>
  </si>
  <si>
    <t>TOTALE IND TRIB+ PREVIDENZIALE</t>
  </si>
  <si>
    <t>ANNI</t>
  </si>
  <si>
    <t>CASH FLOW ---&gt;</t>
  </si>
  <si>
    <t xml:space="preserve">ATTIVO IMMOBILIZZATO </t>
  </si>
  <si>
    <t xml:space="preserve">ATTIVO CORRENTE </t>
  </si>
  <si>
    <t xml:space="preserve">TOTALE IMPIEGHI </t>
  </si>
  <si>
    <t xml:space="preserve">PATRIMONIO NETTO </t>
  </si>
  <si>
    <t xml:space="preserve">Debiti a lungo termine </t>
  </si>
  <si>
    <t xml:space="preserve">Debiti a breve termine </t>
  </si>
  <si>
    <t>Crediti ed altre disponibilità esigibili oltre i12 mesi</t>
  </si>
  <si>
    <t>Inserire l'esercizio di analisi più remoto</t>
  </si>
  <si>
    <t>ATTIVO</t>
  </si>
  <si>
    <t>A. CREDITI VERSO SOCI</t>
  </si>
  <si>
    <t>di cui parte già richiamata</t>
  </si>
  <si>
    <t>B. TOTALE IMMOBILIZZAZIONI</t>
  </si>
  <si>
    <t>B.I. TOTALE IMMOBILIZZAZIONI IMMATERIALI</t>
  </si>
  <si>
    <t>B.I.1. Costi impianto e ampliamento</t>
  </si>
  <si>
    <t>B.I.2. Costi ricerca e pubblicità</t>
  </si>
  <si>
    <t>B.I.3. Diritti brevetto industriale</t>
  </si>
  <si>
    <t>B.I.4. Concessioni, licenze, marchi</t>
  </si>
  <si>
    <t>B.I.5. Avviamento</t>
  </si>
  <si>
    <t>B.I.6. Immobilizzazioni in corso</t>
  </si>
  <si>
    <t>B.I.7. Altre immobilizzazioni immateriali</t>
  </si>
  <si>
    <t>B.II. TOTALE IMMOBILIZZAZIONI MATERIALI</t>
  </si>
  <si>
    <t>B.II.1. Terreni e fabbricati</t>
  </si>
  <si>
    <t>B.II.2. Impianti</t>
  </si>
  <si>
    <t>B.II.3. Attrezzature industriali</t>
  </si>
  <si>
    <t>B.II.4. Altri beni</t>
  </si>
  <si>
    <t>B.II.5. Immobilizzazioni in corso e acconti</t>
  </si>
  <si>
    <t>B.III. TOTALE IMMOBILIZZAZIONI FINANZIARIE</t>
  </si>
  <si>
    <t>B.III.1. Totale partecipazioni</t>
  </si>
  <si>
    <t>B.III.1.a. Imprese controllate</t>
  </si>
  <si>
    <t>B.III.1.b. Imprese collegate</t>
  </si>
  <si>
    <t>B.III.1.c. Imprese controllanti</t>
  </si>
  <si>
    <t>B.III.1.d. Altre imprese</t>
  </si>
  <si>
    <t>B.III.2. Totale crediti</t>
  </si>
  <si>
    <t>B.III.2.a. Crediti v/controllate entro 12 mesi</t>
  </si>
  <si>
    <t>B.III.2.a. Crediti v/controllate oltre 12 mesi</t>
  </si>
  <si>
    <t>B.III.2.b. Crediti v/collegate entro 12 mesi</t>
  </si>
  <si>
    <t>B.III.2.b. Crediti v/collegate oltre 12 mesi</t>
  </si>
  <si>
    <t>B.III.2.c. Crediti v/controllanti entro 12 mesi</t>
  </si>
  <si>
    <t>B.III.2.c. Crediti vs/controllanti oltre 12 mesi</t>
  </si>
  <si>
    <t>B.III.2.d. Crediti vs/altri entro 12 mesi</t>
  </si>
  <si>
    <t>B.III.2.d. Crediti v/altri oltre 12 mesi</t>
  </si>
  <si>
    <t>B.III.3 Altri titoli</t>
  </si>
  <si>
    <t>B.III.4. Azioni proprie</t>
  </si>
  <si>
    <t>C. ATTIVO CIRCOLANTE</t>
  </si>
  <si>
    <t>C.I. TOTALE RIMANENZE</t>
  </si>
  <si>
    <t>C.I.1. Materie prime</t>
  </si>
  <si>
    <t>C.I.2. Prodotti semilavorati e in corso</t>
  </si>
  <si>
    <t>C.I.3. Lavori in corso</t>
  </si>
  <si>
    <t>C.I.4. Prodotti finiti</t>
  </si>
  <si>
    <t>C.I.5. Acconti</t>
  </si>
  <si>
    <t>C.II TOTALE CREDITI</t>
  </si>
  <si>
    <t>C.II.1. Crediti v/clienti entro 12 mesi</t>
  </si>
  <si>
    <t>C.II.1. Crediti v/clienti oltre 12 mesi</t>
  </si>
  <si>
    <t>C.II.2. Crediti v/controllate entro 12 mesi</t>
  </si>
  <si>
    <t>C.II.2. Crediti v/controllate oltre 12 mesi</t>
  </si>
  <si>
    <t>C.II.3. Crediti v/collegate entro 12 mesi</t>
  </si>
  <si>
    <t>C.II.3. Crediti v/collegate oltre 12 mesi</t>
  </si>
  <si>
    <t>C.II.4. Crediti v/controllanti entro 12 mesi</t>
  </si>
  <si>
    <t>C.II.4. Crediti v/controllanti oltre 12 mesi</t>
  </si>
  <si>
    <t>C.II.4.bis Crediti tributari entro 12 mesi</t>
  </si>
  <si>
    <t>C.II.4.bis Crediti tributari oltre 12 mesi</t>
  </si>
  <si>
    <t>C.II.4.ter Crediti per imposte anticipate entro 12 mesi</t>
  </si>
  <si>
    <t>C.II.4.ter Crediti per imposte anticipate oltre 12 mesi</t>
  </si>
  <si>
    <t>C.II.5. Crediti v/altri entro 12 mesi</t>
  </si>
  <si>
    <t>C.II.5. Crediti v/altri oltre 12 mesi</t>
  </si>
  <si>
    <t>C.III TOTALE ATTIVITA' FINANZIARIE</t>
  </si>
  <si>
    <t>C.III.1. Partecipazioni in società controllate</t>
  </si>
  <si>
    <t>C.III.2. Partecipazioni in società collegate</t>
  </si>
  <si>
    <t>C.III.3. Partecipazioni in società controllanti</t>
  </si>
  <si>
    <t>C.III.4. Altre partecipazioni</t>
  </si>
  <si>
    <t>C.III.5. Azioni proprie</t>
  </si>
  <si>
    <t>C.III.5. Azioni proprie, di cui valore nominale</t>
  </si>
  <si>
    <t>C.III.6. Altri titoli</t>
  </si>
  <si>
    <t>C.III TOTALE DISPONIBILITA' LIQUIDE</t>
  </si>
  <si>
    <t>C.IV.1. Depositi bancari</t>
  </si>
  <si>
    <t>C.IV.2. Assegni</t>
  </si>
  <si>
    <t>C.IV.3. Denaro in cassa</t>
  </si>
  <si>
    <t>D. RATEI E RISCONTI ATTIVI</t>
  </si>
  <si>
    <t>TOTALE ATTIVO</t>
  </si>
  <si>
    <t>PASSIVO E NETTO</t>
  </si>
  <si>
    <t>A. PATRIMONIO NETTO</t>
  </si>
  <si>
    <t>A.I. Capitale sociale</t>
  </si>
  <si>
    <t>A.II. Riserva da sovrapprezzo</t>
  </si>
  <si>
    <t>A.III. Riserva di rivalutazione</t>
  </si>
  <si>
    <t>A.IV. Riserva legale</t>
  </si>
  <si>
    <t>A.V. Riserva ind art 12</t>
  </si>
  <si>
    <t>A.VI. Riserva azioni proprie</t>
  </si>
  <si>
    <t>A.VII. Altre riserve</t>
  </si>
  <si>
    <t>A.VIII. Utile/perdita a nuovo</t>
  </si>
  <si>
    <t>A.IX. Utile/perdita di esercizio</t>
  </si>
  <si>
    <t>B. TOTALE FONDI RISCHI E ONERI</t>
  </si>
  <si>
    <t>B.1. Fondo di Quiescenza</t>
  </si>
  <si>
    <t>B.2. Fondo Imposte anche differite</t>
  </si>
  <si>
    <t>B.3. Altri Fondi</t>
  </si>
  <si>
    <t>C. FONDO TRATTAMENTO DI FINE RAPPORTO</t>
  </si>
  <si>
    <t>D. TOTALE DEBITI</t>
  </si>
  <si>
    <t>D.1. Obbligazionisti entro 12 mesi</t>
  </si>
  <si>
    <t>D.1. Obbligazionisti oltre 12 mesi</t>
  </si>
  <si>
    <t>D.2. Obbligazionisti convertibili entro 12 mesi</t>
  </si>
  <si>
    <t>D.2. Obbligazionisti convertibili oltre 12 mesi</t>
  </si>
  <si>
    <t>D.3. Soci per finanziamenti entro 12 mesi</t>
  </si>
  <si>
    <t>D.3. Soci per finanziamenti oltre 12 mesi</t>
  </si>
  <si>
    <t>D.4. Banche entro 12 mesi</t>
  </si>
  <si>
    <t>D.4. Banche oltre 12 mesi</t>
  </si>
  <si>
    <t>D.5. Altri finanziatori entro 12 mesi</t>
  </si>
  <si>
    <t>D.5. Altri finanziatori oltre 12 mesi</t>
  </si>
  <si>
    <t>D.6. Acconti entro 12 mesi</t>
  </si>
  <si>
    <t>D.6. Acconti oltre 12 mesi</t>
  </si>
  <si>
    <t>D.7. Fornitori entro 12 mesi</t>
  </si>
  <si>
    <t>D.7. Fornitori oltre 12 mesi</t>
  </si>
  <si>
    <t>D.8. Titoli di credito entro 12 mesi</t>
  </si>
  <si>
    <t>D.8. Titoli di credito oltre 12 mesi</t>
  </si>
  <si>
    <t>D.9. Società controllate entro 12 mesi</t>
  </si>
  <si>
    <t>D.9. Società controllate oltre 12 mesi</t>
  </si>
  <si>
    <t>D.10. Società collegate entro 12 mesi</t>
  </si>
  <si>
    <t>D.10. Società collegate oltre 12 mesi</t>
  </si>
  <si>
    <t>D.11. Società controllanti entro 12 mesi</t>
  </si>
  <si>
    <t>D.11. Società controllanti oltre 12 mesi</t>
  </si>
  <si>
    <t>D.12. Debiti tributari entro 12 mesi</t>
  </si>
  <si>
    <t>D.12. Debiti tributari oltre 12 mesi</t>
  </si>
  <si>
    <t>D.13. Istituti previdenza entro 12 mesi</t>
  </si>
  <si>
    <t>D.13. Istituti previdenza oltre 12 mesi</t>
  </si>
  <si>
    <t>D.14. Altri debiti entro 12 mesi</t>
  </si>
  <si>
    <t>D.14. Altri debiti oltre 12 mesi</t>
  </si>
  <si>
    <t>E. RATEI E RISCONTI PASSIVI</t>
  </si>
  <si>
    <t>di cui risconti pluriennali</t>
  </si>
  <si>
    <t>TOTALE PASSIVO E NETTO</t>
  </si>
  <si>
    <t>VERIFICA</t>
  </si>
  <si>
    <t>RATEI PASSIVI ORDINARI</t>
  </si>
  <si>
    <t>STATO PATRIMONIALE FINANZIARIO</t>
  </si>
  <si>
    <t>IMPIEGHI E FONTI</t>
  </si>
  <si>
    <t>ATTIVITA' NON CORRENTI</t>
  </si>
  <si>
    <t>- Partecipazioni</t>
  </si>
  <si>
    <t>- Crediti finanziari oltre 12 mesi, titoli, azioni proprie</t>
  </si>
  <si>
    <t>Crediti commerciali e altre attività oltre 12 mesi</t>
  </si>
  <si>
    <t>ATTIVITA' CORRENTI</t>
  </si>
  <si>
    <t>Rimanenze</t>
  </si>
  <si>
    <t>Crediti commerciali e altre attività entro 12 mesi</t>
  </si>
  <si>
    <t>Attività finanziarie entro 12 mesi</t>
  </si>
  <si>
    <t>Disponibilità liquide</t>
  </si>
  <si>
    <t>TOTALE IMPIEGHI</t>
  </si>
  <si>
    <t>PATRIMONIO NETTO</t>
  </si>
  <si>
    <t>PASSIVITA' NON CORRENTI</t>
  </si>
  <si>
    <t>Fondi per rischi e oneri</t>
  </si>
  <si>
    <t>Fondo trattamento di fine rapporto</t>
  </si>
  <si>
    <t>Debiti commerciali e altre passività oltre 12 mesi</t>
  </si>
  <si>
    <t>Debiti finanziari oltre 12 mesi</t>
  </si>
  <si>
    <t>PASSIVITA' CORRENTI</t>
  </si>
  <si>
    <t>Debiti verso banche</t>
  </si>
  <si>
    <t>Debiti verso altri finanziatori</t>
  </si>
  <si>
    <t>Debiti commerciali</t>
  </si>
  <si>
    <t>Debiti tributari</t>
  </si>
  <si>
    <t>Altre passività</t>
  </si>
  <si>
    <t>TOTALE FONTI</t>
  </si>
  <si>
    <t>STATO PATRIMONIALE FUNZIONALE</t>
  </si>
  <si>
    <t>ATTIVITA' OPERATIVE NON CORRENTI</t>
  </si>
  <si>
    <t>ATTIVITA' OPERATIVE CORRENTI</t>
  </si>
  <si>
    <t>ATTIVITA' FINANZIARIE NON CORRENTI</t>
  </si>
  <si>
    <t>Partecipazioni</t>
  </si>
  <si>
    <t>Crediti finanziari oltre 12 mesi, titoli, azioni proprie</t>
  </si>
  <si>
    <t>ATTIVITA' FINANZIARIE CORRENTI</t>
  </si>
  <si>
    <t>PASSIVITA' OPERATIVE NON CORRENTI</t>
  </si>
  <si>
    <t>PASSIVITA' OPERATIVE CORRENTI</t>
  </si>
  <si>
    <t>PASSIVITA' FINANZIARIE NON CORRENTI</t>
  </si>
  <si>
    <t>PASSIVITA' FINANZIARIE CORRENTI</t>
  </si>
  <si>
    <t>Immobilizzo netto</t>
  </si>
  <si>
    <t>Capitale circolante netto operativo (CCNop)</t>
  </si>
  <si>
    <t>Capitale operativo investito netto (COIN)</t>
  </si>
  <si>
    <t>Patrimonio netto</t>
  </si>
  <si>
    <t>Posizione finanziaria netta non corrente (PFNnc)</t>
  </si>
  <si>
    <t>Posizione finanziaria netta corrente (PFNc)</t>
  </si>
  <si>
    <t>Totale delle fonti</t>
  </si>
  <si>
    <t>Attività finanziarie non correnti</t>
  </si>
  <si>
    <t>Attività finanziarie correnti</t>
  </si>
  <si>
    <t>Capitale investito netto (CIN)</t>
  </si>
  <si>
    <t>Passività finanziarie non correnti</t>
  </si>
  <si>
    <t>Passività finanziarie correnti</t>
  </si>
  <si>
    <t>Il presente software contiene alcune semplificazioni rispetto alle procedure indicate nel testo.</t>
  </si>
  <si>
    <t>Esso permette di svolgere un'analisi standard, ma non contempla tutte le varianti affrontate all'interno del volume</t>
  </si>
  <si>
    <t>CONTO ECONOMICO</t>
  </si>
  <si>
    <t>A. VALORE DELLA PRODUZIONE</t>
  </si>
  <si>
    <t>A.1. Ricavi delle vendite e delle prestazioni</t>
  </si>
  <si>
    <t>A.2. Variazione rimanenze prodotti</t>
  </si>
  <si>
    <t>A.3. Variazione lavori in corso</t>
  </si>
  <si>
    <t>A.4. Incrementi di immobilizzazioni</t>
  </si>
  <si>
    <t>A.5. Altri ricavi</t>
  </si>
  <si>
    <t>B. COSTI DELLA PRODUZIONE</t>
  </si>
  <si>
    <t>B.6. Materie prime e consumo</t>
  </si>
  <si>
    <t>B.7. Servizi</t>
  </si>
  <si>
    <t>B.8. Godimento beni di terzi</t>
  </si>
  <si>
    <t>B.9. Totale costi del personale</t>
  </si>
  <si>
    <t>- B.9.a. Salari e stipendi</t>
  </si>
  <si>
    <t>- B.9.b. Oneri sociali</t>
  </si>
  <si>
    <t>- B.9.c. Trattamento fine rapporto</t>
  </si>
  <si>
    <t>- B.9.d. Trattamento di quiescenza</t>
  </si>
  <si>
    <t>- B.9.e. Altri costi</t>
  </si>
  <si>
    <t>B.10 Ammortamenti e svalutazioni</t>
  </si>
  <si>
    <t>- B.10.a. Ammortamento imm.ni immateriali</t>
  </si>
  <si>
    <t>- B.10.b. Ammortamento imm.ni materiali</t>
  </si>
  <si>
    <t>- B.10.c. Altre svalutazioni di immobilizzazioni</t>
  </si>
  <si>
    <t>- B.10.d. Svalutazione dei crediti</t>
  </si>
  <si>
    <t>B.11. Variazione materie</t>
  </si>
  <si>
    <t>B.12. Accantonamenti per rischi</t>
  </si>
  <si>
    <t>B.13. Altri accantonamenti</t>
  </si>
  <si>
    <t>B.14. Oneri diversi di gestione</t>
  </si>
  <si>
    <t>Differenza tra valore e costi della produzione</t>
  </si>
  <si>
    <t>PROVENTI E ONERI FINANZIARI</t>
  </si>
  <si>
    <t>C.15. Proventi da partecipazioni</t>
  </si>
  <si>
    <t>C.16. Altri proventi</t>
  </si>
  <si>
    <t>- C.16.a. Da crediti finanziari</t>
  </si>
  <si>
    <t>- C.16.b. Da titoli iscritti nelle immobilizzazioni</t>
  </si>
  <si>
    <t>- C.16.c. Da titoli iscritti nel circolante</t>
  </si>
  <si>
    <t>- C.16.d. Altri</t>
  </si>
  <si>
    <t>C.17. Oneri finanziari</t>
  </si>
  <si>
    <t>- C.17.a. A banche e finanziatori</t>
  </si>
  <si>
    <t>- C.17.b. A parti correlate</t>
  </si>
  <si>
    <t>C.17.bis Utili e perdite su cambi</t>
  </si>
  <si>
    <t>RETTIFICHE DI ATTIVITA' FINANZIARIE</t>
  </si>
  <si>
    <t>D.18. Rivalutazioni</t>
  </si>
  <si>
    <t>D.18.a. Rivalutazioni di partecipazioni</t>
  </si>
  <si>
    <t>D.18.b. Rivalutazioni di altre imm.ni finanziarie</t>
  </si>
  <si>
    <t>D.18.c. Rivalutazione di titoli</t>
  </si>
  <si>
    <t>D.19. Svalutazioni</t>
  </si>
  <si>
    <t>D.19.a. Svalutazione di partecipazioni</t>
  </si>
  <si>
    <t>D.19.b. Svalutazione di altre imm.ni finanziarie</t>
  </si>
  <si>
    <t>D.19.c. Svalutazione di titoli</t>
  </si>
  <si>
    <t>PROVENTI E ONERI STRAORDINARI</t>
  </si>
  <si>
    <t>E.20. Proventi straordinari</t>
  </si>
  <si>
    <t xml:space="preserve">- E.20.a. Plusv / Sopravv/ </t>
  </si>
  <si>
    <t>E.21. Oneri straordinari</t>
  </si>
  <si>
    <t>- Minusvalenze</t>
  </si>
  <si>
    <t>- Imposte esercizi precedenti - SOPR. PASSIVE</t>
  </si>
  <si>
    <t>RISULTATO PRIMA DELLE IMPOSTE</t>
  </si>
  <si>
    <t>Imposte dell'esercizio</t>
  </si>
  <si>
    <t>UTILE (PERDITA) DI ESERCIZIO</t>
  </si>
  <si>
    <t>Verifica</t>
  </si>
  <si>
    <t>CONTO ECONOMICO A V.A.</t>
  </si>
  <si>
    <t>Ricavi delle vendite e delle prestazioni</t>
  </si>
  <si>
    <t>Variazione rimanenze prodotti</t>
  </si>
  <si>
    <t>Variazione lavori in corso</t>
  </si>
  <si>
    <t>Incrementi di immobilizzazioni</t>
  </si>
  <si>
    <t>Altri ricavi</t>
  </si>
  <si>
    <t>Costi per materie prime e consumo</t>
  </si>
  <si>
    <t>Costi per servizi</t>
  </si>
  <si>
    <t>Costi per godimento beni di terzi</t>
  </si>
  <si>
    <t>Variazione materie</t>
  </si>
  <si>
    <t>Oneri diversi di gestione</t>
  </si>
  <si>
    <t>Costi per il personale</t>
  </si>
  <si>
    <t>MARGINE OPERATIVO LORDO (MOL)</t>
  </si>
  <si>
    <t>Accantonamenti per lavoro dipendente</t>
  </si>
  <si>
    <t>Ammortamento immobilizzazioni immateriali</t>
  </si>
  <si>
    <t>Ammortamento immobilizzazioni materiali</t>
  </si>
  <si>
    <t>Svalutazioni</t>
  </si>
  <si>
    <t>Accantonamenti per rischi e altri</t>
  </si>
  <si>
    <t>MARGINE OPERATIVO NETTO (MON)</t>
  </si>
  <si>
    <t>Proventi finanziari</t>
  </si>
  <si>
    <t>Oneri finanziari diversi da quelli v/banche</t>
  </si>
  <si>
    <t>Rettifiche di attività finanziarie</t>
  </si>
  <si>
    <t>EARNING BEFORE INTEREST AND TAXES (EBIT)</t>
  </si>
  <si>
    <t>Oneri finanziari</t>
  </si>
  <si>
    <t>RISULTATO ORDINARIO</t>
  </si>
  <si>
    <t>Saldo proventi e oneri straordinari</t>
  </si>
  <si>
    <t>Risconti passivi plur- quote ctrb c/to impianti</t>
  </si>
  <si>
    <t>aliquota media iva vendite</t>
  </si>
  <si>
    <t>Aliquita media iva acquisti</t>
  </si>
  <si>
    <t>LIMITI SOGLIA SERVIZI ALLE PERSONE</t>
  </si>
  <si>
    <r>
      <t>IMPRESA : "</t>
    </r>
    <r>
      <rPr>
        <b/>
        <i/>
        <sz val="8"/>
        <rFont val="Arial"/>
        <family val="2"/>
      </rPr>
      <t>EL PICOLO NIO</t>
    </r>
    <r>
      <rPr>
        <b/>
        <sz val="8"/>
        <rFont val="Arial"/>
        <family val="2"/>
      </rPr>
      <t>" S.C.S.</t>
    </r>
  </si>
  <si>
    <t>IMPRESA : XXXXXXXXXXXXXX</t>
  </si>
  <si>
    <t>n</t>
  </si>
  <si>
    <t>n+1</t>
  </si>
  <si>
    <t>n+2</t>
  </si>
  <si>
    <t>IMPRESA : "EL PICOLO NIO" S.C.S.</t>
  </si>
  <si>
    <t>MARGINE OPERATIVO LORDO (EBITDA)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</si>
</sst>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&quot;€ &quot;#,##0.00;[Red]&quot;-€ &quot;#,##0.00"/>
    <numFmt numFmtId="165" formatCode="#,##0.00;[Red]#,##0.00"/>
    <numFmt numFmtId="166" formatCode="0.0"/>
    <numFmt numFmtId="167" formatCode="0.0000"/>
    <numFmt numFmtId="168" formatCode="0_ ;[Red]\-0\ "/>
    <numFmt numFmtId="169" formatCode="#,##0_);\(#,##0\)"/>
    <numFmt numFmtId="170" formatCode="#,##0_ ;[Red]\-#,##0\ "/>
  </numFmts>
  <fonts count="29" x14ac:knownFonts="1"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62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b/>
      <sz val="11"/>
      <color rgb="FFFF3333"/>
      <name val="Arial"/>
      <family val="2"/>
    </font>
    <font>
      <b/>
      <sz val="11"/>
      <color rgb="FFFF0000"/>
      <name val="Calibri"/>
      <family val="2"/>
    </font>
    <font>
      <sz val="12"/>
      <name val="Helv"/>
    </font>
    <font>
      <sz val="10"/>
      <name val="Verdana"/>
      <family val="2"/>
    </font>
    <font>
      <b/>
      <i/>
      <sz val="10"/>
      <name val="Arial"/>
      <family val="2"/>
    </font>
    <font>
      <b/>
      <sz val="14"/>
      <color indexed="62"/>
      <name val="Arial"/>
      <family val="2"/>
    </font>
    <font>
      <sz val="10"/>
      <color indexed="8"/>
      <name val="Arial"/>
      <family val="2"/>
    </font>
    <font>
      <b/>
      <i/>
      <sz val="10"/>
      <color indexed="62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23"/>
      <name val="Arial"/>
      <family val="2"/>
    </font>
    <font>
      <b/>
      <sz val="14"/>
      <color indexed="10"/>
      <name val="Arial"/>
      <family val="2"/>
    </font>
    <font>
      <i/>
      <sz val="10"/>
      <color indexed="62"/>
      <name val="Arial"/>
      <family val="2"/>
    </font>
    <font>
      <i/>
      <sz val="10"/>
      <color indexed="8"/>
      <name val="Arial"/>
      <family val="2"/>
    </font>
    <font>
      <b/>
      <i/>
      <sz val="10"/>
      <color indexed="10"/>
      <name val="Arial"/>
      <family val="2"/>
    </font>
    <font>
      <b/>
      <sz val="8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13"/>
      </patternFill>
    </fill>
    <fill>
      <patternFill patternType="solid">
        <fgColor rgb="FFFFFF99"/>
        <bgColor rgb="FFFFFF99"/>
      </patternFill>
    </fill>
    <fill>
      <patternFill patternType="solid">
        <fgColor theme="2" tint="-9.9978637043366805E-2"/>
        <bgColor rgb="FFFFFF9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13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9" fontId="11" fillId="0" borderId="0" applyFill="0" applyBorder="0" applyAlignment="0" applyProtection="0"/>
    <xf numFmtId="0" fontId="1" fillId="0" borderId="0"/>
    <xf numFmtId="9" fontId="1" fillId="0" borderId="0" applyFill="0" applyBorder="0" applyAlignment="0" applyProtection="0"/>
    <xf numFmtId="169" fontId="14" fillId="0" borderId="0"/>
    <xf numFmtId="0" fontId="15" fillId="0" borderId="0"/>
  </cellStyleXfs>
  <cellXfs count="262">
    <xf numFmtId="0" fontId="0" fillId="0" borderId="0" xfId="0"/>
    <xf numFmtId="0" fontId="2" fillId="0" borderId="2" xfId="2" applyFont="1" applyBorder="1"/>
    <xf numFmtId="0" fontId="3" fillId="0" borderId="2" xfId="2" applyFont="1" applyBorder="1"/>
    <xf numFmtId="0" fontId="3" fillId="0" borderId="4" xfId="2" applyFont="1" applyBorder="1"/>
    <xf numFmtId="0" fontId="3" fillId="0" borderId="1" xfId="2" applyFont="1" applyBorder="1"/>
    <xf numFmtId="0" fontId="3" fillId="0" borderId="5" xfId="2" applyFont="1" applyBorder="1"/>
    <xf numFmtId="164" fontId="2" fillId="3" borderId="4" xfId="2" applyNumberFormat="1" applyFont="1" applyFill="1" applyBorder="1"/>
    <xf numFmtId="164" fontId="2" fillId="0" borderId="4" xfId="2" applyNumberFormat="1" applyFont="1" applyBorder="1"/>
    <xf numFmtId="164" fontId="2" fillId="0" borderId="5" xfId="2" applyNumberFormat="1" applyFont="1" applyBorder="1"/>
    <xf numFmtId="164" fontId="2" fillId="0" borderId="1" xfId="2" applyNumberFormat="1" applyFont="1" applyBorder="1"/>
    <xf numFmtId="0" fontId="1" fillId="0" borderId="0" xfId="2"/>
    <xf numFmtId="0" fontId="2" fillId="0" borderId="0" xfId="2" applyFont="1"/>
    <xf numFmtId="0" fontId="3" fillId="2" borderId="8" xfId="2" applyFont="1" applyFill="1" applyBorder="1"/>
    <xf numFmtId="0" fontId="3" fillId="2" borderId="9" xfId="2" applyFont="1" applyFill="1" applyBorder="1"/>
    <xf numFmtId="0" fontId="3" fillId="5" borderId="0" xfId="2" applyFont="1" applyFill="1" applyAlignment="1">
      <alignment horizontal="center"/>
    </xf>
    <xf numFmtId="0" fontId="3" fillId="0" borderId="4" xfId="2" applyFont="1" applyBorder="1" applyAlignment="1">
      <alignment horizontal="center"/>
    </xf>
    <xf numFmtId="0" fontId="4" fillId="0" borderId="4" xfId="2" applyFont="1" applyBorder="1"/>
    <xf numFmtId="0" fontId="4" fillId="0" borderId="5" xfId="2" applyFont="1" applyBorder="1"/>
    <xf numFmtId="0" fontId="4" fillId="0" borderId="0" xfId="2" applyFont="1"/>
    <xf numFmtId="10" fontId="2" fillId="3" borderId="4" xfId="3" applyNumberFormat="1" applyFont="1" applyFill="1" applyBorder="1" applyAlignment="1" applyProtection="1"/>
    <xf numFmtId="10" fontId="2" fillId="3" borderId="1" xfId="3" applyNumberFormat="1" applyFont="1" applyFill="1" applyBorder="1" applyAlignment="1" applyProtection="1"/>
    <xf numFmtId="10" fontId="2" fillId="3" borderId="5" xfId="3" applyNumberFormat="1" applyFont="1" applyFill="1" applyBorder="1" applyAlignment="1" applyProtection="1"/>
    <xf numFmtId="164" fontId="2" fillId="3" borderId="5" xfId="2" applyNumberFormat="1" applyFont="1" applyFill="1" applyBorder="1"/>
    <xf numFmtId="164" fontId="2" fillId="3" borderId="0" xfId="2" applyNumberFormat="1" applyFont="1" applyFill="1"/>
    <xf numFmtId="10" fontId="2" fillId="0" borderId="0" xfId="1" applyNumberFormat="1" applyFont="1" applyFill="1" applyBorder="1" applyAlignment="1" applyProtection="1"/>
    <xf numFmtId="10" fontId="2" fillId="0" borderId="4" xfId="3" applyNumberFormat="1" applyFont="1" applyFill="1" applyBorder="1" applyAlignment="1" applyProtection="1"/>
    <xf numFmtId="10" fontId="2" fillId="0" borderId="1" xfId="3" applyNumberFormat="1" applyFont="1" applyFill="1" applyBorder="1" applyAlignment="1" applyProtection="1"/>
    <xf numFmtId="10" fontId="2" fillId="0" borderId="5" xfId="3" applyNumberFormat="1" applyFont="1" applyFill="1" applyBorder="1" applyAlignment="1" applyProtection="1"/>
    <xf numFmtId="164" fontId="2" fillId="0" borderId="0" xfId="2" applyNumberFormat="1" applyFont="1"/>
    <xf numFmtId="0" fontId="2" fillId="0" borderId="4" xfId="2" applyFont="1" applyBorder="1"/>
    <xf numFmtId="0" fontId="2" fillId="0" borderId="5" xfId="2" applyFont="1" applyBorder="1"/>
    <xf numFmtId="9" fontId="2" fillId="0" borderId="0" xfId="1" applyFont="1" applyFill="1" applyBorder="1" applyAlignment="1" applyProtection="1"/>
    <xf numFmtId="0" fontId="2" fillId="0" borderId="1" xfId="2" applyFont="1" applyBorder="1"/>
    <xf numFmtId="164" fontId="6" fillId="0" borderId="0" xfId="2" applyNumberFormat="1" applyFont="1" applyAlignment="1">
      <alignment horizontal="center"/>
    </xf>
    <xf numFmtId="0" fontId="3" fillId="2" borderId="2" xfId="2" applyFont="1" applyFill="1" applyBorder="1"/>
    <xf numFmtId="0" fontId="4" fillId="0" borderId="1" xfId="2" applyFont="1" applyBorder="1"/>
    <xf numFmtId="10" fontId="2" fillId="0" borderId="1" xfId="2" applyNumberFormat="1" applyFont="1" applyBorder="1"/>
    <xf numFmtId="0" fontId="2" fillId="0" borderId="12" xfId="2" applyFont="1" applyBorder="1"/>
    <xf numFmtId="10" fontId="2" fillId="0" borderId="12" xfId="2" applyNumberFormat="1" applyFont="1" applyBorder="1"/>
    <xf numFmtId="164" fontId="2" fillId="0" borderId="12" xfId="2" applyNumberFormat="1" applyFont="1" applyBorder="1"/>
    <xf numFmtId="0" fontId="3" fillId="4" borderId="15" xfId="2" applyFont="1" applyFill="1" applyBorder="1"/>
    <xf numFmtId="10" fontId="3" fillId="4" borderId="17" xfId="2" applyNumberFormat="1" applyFont="1" applyFill="1" applyBorder="1"/>
    <xf numFmtId="164" fontId="2" fillId="4" borderId="17" xfId="2" applyNumberFormat="1" applyFont="1" applyFill="1" applyBorder="1"/>
    <xf numFmtId="164" fontId="2" fillId="4" borderId="18" xfId="2" applyNumberFormat="1" applyFont="1" applyFill="1" applyBorder="1"/>
    <xf numFmtId="164" fontId="2" fillId="4" borderId="0" xfId="2" applyNumberFormat="1" applyFont="1" applyFill="1"/>
    <xf numFmtId="0" fontId="2" fillId="0" borderId="10" xfId="2" applyFont="1" applyBorder="1"/>
    <xf numFmtId="10" fontId="2" fillId="0" borderId="10" xfId="2" applyNumberFormat="1" applyFont="1" applyBorder="1"/>
    <xf numFmtId="164" fontId="2" fillId="0" borderId="10" xfId="2" applyNumberFormat="1" applyFont="1" applyBorder="1"/>
    <xf numFmtId="165" fontId="2" fillId="0" borderId="0" xfId="2" applyNumberFormat="1" applyFont="1"/>
    <xf numFmtId="0" fontId="3" fillId="0" borderId="15" xfId="2" applyFont="1" applyBorder="1"/>
    <xf numFmtId="164" fontId="3" fillId="0" borderId="16" xfId="2" applyNumberFormat="1" applyFont="1" applyBorder="1"/>
    <xf numFmtId="164" fontId="3" fillId="0" borderId="0" xfId="2" applyNumberFormat="1" applyFont="1"/>
    <xf numFmtId="0" fontId="3" fillId="4" borderId="21" xfId="2" applyFont="1" applyFill="1" applyBorder="1"/>
    <xf numFmtId="0" fontId="2" fillId="0" borderId="6" xfId="2" applyFont="1" applyBorder="1"/>
    <xf numFmtId="164" fontId="2" fillId="0" borderId="23" xfId="2" applyNumberFormat="1" applyFont="1" applyBorder="1"/>
    <xf numFmtId="10" fontId="2" fillId="0" borderId="6" xfId="2" applyNumberFormat="1" applyFont="1" applyBorder="1"/>
    <xf numFmtId="164" fontId="2" fillId="0" borderId="6" xfId="2" applyNumberFormat="1" applyFont="1" applyBorder="1"/>
    <xf numFmtId="10" fontId="3" fillId="0" borderId="16" xfId="2" applyNumberFormat="1" applyFont="1" applyBorder="1"/>
    <xf numFmtId="10" fontId="3" fillId="0" borderId="17" xfId="2" applyNumberFormat="1" applyFont="1" applyBorder="1"/>
    <xf numFmtId="164" fontId="2" fillId="0" borderId="17" xfId="2" applyNumberFormat="1" applyFont="1" applyBorder="1"/>
    <xf numFmtId="164" fontId="2" fillId="0" borderId="18" xfId="2" applyNumberFormat="1" applyFont="1" applyBorder="1"/>
    <xf numFmtId="10" fontId="3" fillId="0" borderId="22" xfId="2" applyNumberFormat="1" applyFont="1" applyBorder="1"/>
    <xf numFmtId="10" fontId="3" fillId="0" borderId="6" xfId="2" applyNumberFormat="1" applyFont="1" applyBorder="1"/>
    <xf numFmtId="164" fontId="3" fillId="0" borderId="17" xfId="2" applyNumberFormat="1" applyFont="1" applyBorder="1"/>
    <xf numFmtId="0" fontId="3" fillId="0" borderId="25" xfId="2" applyFont="1" applyBorder="1"/>
    <xf numFmtId="10" fontId="3" fillId="0" borderId="27" xfId="2" applyNumberFormat="1" applyFont="1" applyBorder="1"/>
    <xf numFmtId="0" fontId="3" fillId="0" borderId="0" xfId="2" applyFont="1"/>
    <xf numFmtId="0" fontId="3" fillId="2" borderId="28" xfId="2" applyFont="1" applyFill="1" applyBorder="1"/>
    <xf numFmtId="0" fontId="3" fillId="2" borderId="11" xfId="2" applyFont="1" applyFill="1" applyBorder="1"/>
    <xf numFmtId="0" fontId="2" fillId="0" borderId="1" xfId="2" applyFont="1" applyBorder="1" applyAlignment="1">
      <alignment horizontal="center"/>
    </xf>
    <xf numFmtId="164" fontId="2" fillId="6" borderId="1" xfId="2" applyNumberFormat="1" applyFont="1" applyFill="1" applyBorder="1"/>
    <xf numFmtId="0" fontId="7" fillId="3" borderId="1" xfId="2" applyFont="1" applyFill="1" applyBorder="1"/>
    <xf numFmtId="0" fontId="8" fillId="0" borderId="0" xfId="2" applyFont="1" applyAlignment="1">
      <alignment horizontal="center"/>
    </xf>
    <xf numFmtId="0" fontId="9" fillId="0" borderId="1" xfId="2" applyFont="1" applyBorder="1"/>
    <xf numFmtId="0" fontId="7" fillId="0" borderId="10" xfId="2" applyFont="1" applyBorder="1" applyAlignment="1">
      <alignment vertical="center"/>
    </xf>
    <xf numFmtId="10" fontId="2" fillId="0" borderId="1" xfId="3" applyNumberFormat="1" applyFont="1" applyFill="1" applyBorder="1" applyAlignment="1" applyProtection="1">
      <alignment vertical="center"/>
    </xf>
    <xf numFmtId="0" fontId="2" fillId="0" borderId="1" xfId="2" applyFont="1" applyBorder="1" applyAlignment="1">
      <alignment vertical="center"/>
    </xf>
    <xf numFmtId="0" fontId="7" fillId="0" borderId="1" xfId="2" applyFont="1" applyBorder="1"/>
    <xf numFmtId="10" fontId="2" fillId="0" borderId="0" xfId="2" applyNumberFormat="1" applyFont="1"/>
    <xf numFmtId="0" fontId="3" fillId="0" borderId="11" xfId="2" applyFont="1" applyBorder="1"/>
    <xf numFmtId="0" fontId="2" fillId="0" borderId="10" xfId="2" applyFont="1" applyBorder="1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1" fillId="0" borderId="0" xfId="2" applyAlignment="1">
      <alignment vertical="top" wrapText="1"/>
    </xf>
    <xf numFmtId="2" fontId="2" fillId="0" borderId="1" xfId="2" applyNumberFormat="1" applyFont="1" applyBorder="1"/>
    <xf numFmtId="0" fontId="1" fillId="0" borderId="0" xfId="2" applyAlignment="1">
      <alignment wrapText="1"/>
    </xf>
    <xf numFmtId="0" fontId="9" fillId="0" borderId="0" xfId="2" applyFont="1"/>
    <xf numFmtId="166" fontId="2" fillId="0" borderId="1" xfId="2" applyNumberFormat="1" applyFont="1" applyBorder="1"/>
    <xf numFmtId="10" fontId="2" fillId="0" borderId="1" xfId="1" applyNumberFormat="1" applyFont="1" applyFill="1" applyBorder="1" applyAlignment="1" applyProtection="1"/>
    <xf numFmtId="0" fontId="7" fillId="3" borderId="29" xfId="2" applyFont="1" applyFill="1" applyBorder="1"/>
    <xf numFmtId="0" fontId="3" fillId="0" borderId="11" xfId="2" applyFont="1" applyBorder="1" applyAlignment="1">
      <alignment horizontal="center"/>
    </xf>
    <xf numFmtId="167" fontId="2" fillId="0" borderId="1" xfId="2" applyNumberFormat="1" applyFont="1" applyBorder="1"/>
    <xf numFmtId="0" fontId="2" fillId="0" borderId="2" xfId="2" applyFont="1" applyBorder="1" applyAlignment="1">
      <alignment wrapText="1"/>
    </xf>
    <xf numFmtId="0" fontId="2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2" fillId="0" borderId="1" xfId="2" applyFont="1" applyBorder="1" applyAlignment="1">
      <alignment wrapText="1"/>
    </xf>
    <xf numFmtId="168" fontId="2" fillId="0" borderId="1" xfId="2" applyNumberFormat="1" applyFont="1" applyBorder="1" applyAlignment="1">
      <alignment horizontal="center"/>
    </xf>
    <xf numFmtId="168" fontId="3" fillId="0" borderId="1" xfId="2" applyNumberFormat="1" applyFont="1" applyBorder="1" applyAlignment="1">
      <alignment horizontal="center"/>
    </xf>
    <xf numFmtId="0" fontId="1" fillId="0" borderId="1" xfId="2" applyBorder="1"/>
    <xf numFmtId="0" fontId="3" fillId="0" borderId="1" xfId="2" applyFont="1" applyBorder="1" applyAlignment="1">
      <alignment horizontal="center"/>
    </xf>
    <xf numFmtId="0" fontId="5" fillId="0" borderId="0" xfId="2" applyFont="1" applyAlignment="1">
      <alignment horizontal="center" wrapText="1"/>
    </xf>
    <xf numFmtId="0" fontId="5" fillId="0" borderId="0" xfId="2" applyFont="1"/>
    <xf numFmtId="0" fontId="10" fillId="0" borderId="0" xfId="2" applyFont="1"/>
    <xf numFmtId="9" fontId="2" fillId="0" borderId="0" xfId="2" applyNumberFormat="1" applyFont="1"/>
    <xf numFmtId="0" fontId="3" fillId="2" borderId="2" xfId="2" applyFont="1" applyFill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30" xfId="2" applyFont="1" applyBorder="1"/>
    <xf numFmtId="10" fontId="0" fillId="0" borderId="30" xfId="0" applyNumberFormat="1" applyBorder="1"/>
    <xf numFmtId="0" fontId="13" fillId="0" borderId="30" xfId="0" applyFont="1" applyBorder="1" applyAlignment="1">
      <alignment horizontal="center"/>
    </xf>
    <xf numFmtId="0" fontId="12" fillId="7" borderId="30" xfId="0" applyFont="1" applyFill="1" applyBorder="1" applyAlignment="1">
      <alignment wrapText="1"/>
    </xf>
    <xf numFmtId="10" fontId="11" fillId="0" borderId="30" xfId="1" applyNumberFormat="1" applyBorder="1"/>
    <xf numFmtId="0" fontId="12" fillId="8" borderId="30" xfId="0" applyFont="1" applyFill="1" applyBorder="1" applyAlignment="1">
      <alignment wrapText="1"/>
    </xf>
    <xf numFmtId="8" fontId="2" fillId="0" borderId="30" xfId="2" applyNumberFormat="1" applyFont="1" applyBorder="1"/>
    <xf numFmtId="10" fontId="2" fillId="0" borderId="30" xfId="2" applyNumberFormat="1" applyFont="1" applyBorder="1"/>
    <xf numFmtId="10" fontId="11" fillId="0" borderId="0" xfId="1" applyNumberFormat="1" applyAlignment="1">
      <alignment wrapText="1"/>
    </xf>
    <xf numFmtId="0" fontId="3" fillId="2" borderId="7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12" fillId="7" borderId="30" xfId="0" applyFont="1" applyFill="1" applyBorder="1" applyAlignment="1">
      <alignment vertical="center" wrapText="1"/>
    </xf>
    <xf numFmtId="10" fontId="11" fillId="0" borderId="30" xfId="1" applyNumberFormat="1" applyBorder="1" applyAlignment="1">
      <alignment vertical="center" wrapText="1"/>
    </xf>
    <xf numFmtId="10" fontId="11" fillId="0" borderId="30" xfId="1" applyNumberFormat="1" applyBorder="1" applyAlignment="1">
      <alignment wrapText="1"/>
    </xf>
    <xf numFmtId="10" fontId="13" fillId="0" borderId="30" xfId="1" applyNumberFormat="1" applyFont="1" applyBorder="1" applyAlignment="1">
      <alignment wrapText="1"/>
    </xf>
    <xf numFmtId="170" fontId="3" fillId="4" borderId="16" xfId="2" applyNumberFormat="1" applyFont="1" applyFill="1" applyBorder="1"/>
    <xf numFmtId="170" fontId="2" fillId="0" borderId="4" xfId="2" applyNumberFormat="1" applyFont="1" applyBorder="1"/>
    <xf numFmtId="170" fontId="2" fillId="0" borderId="5" xfId="2" applyNumberFormat="1" applyFont="1" applyBorder="1"/>
    <xf numFmtId="170" fontId="2" fillId="0" borderId="1" xfId="2" applyNumberFormat="1" applyFont="1" applyBorder="1"/>
    <xf numFmtId="170" fontId="3" fillId="0" borderId="4" xfId="2" applyNumberFormat="1" applyFont="1" applyBorder="1" applyAlignment="1">
      <alignment horizontal="center"/>
    </xf>
    <xf numFmtId="170" fontId="3" fillId="0" borderId="1" xfId="2" applyNumberFormat="1" applyFont="1" applyBorder="1" applyAlignment="1">
      <alignment horizontal="center"/>
    </xf>
    <xf numFmtId="170" fontId="3" fillId="0" borderId="5" xfId="2" applyNumberFormat="1" applyFont="1" applyBorder="1" applyAlignment="1">
      <alignment horizontal="center"/>
    </xf>
    <xf numFmtId="170" fontId="2" fillId="0" borderId="0" xfId="2" applyNumberFormat="1" applyFont="1"/>
    <xf numFmtId="170" fontId="3" fillId="0" borderId="4" xfId="2" applyNumberFormat="1" applyFont="1" applyBorder="1"/>
    <xf numFmtId="170" fontId="2" fillId="0" borderId="11" xfId="2" applyNumberFormat="1" applyFont="1" applyBorder="1"/>
    <xf numFmtId="170" fontId="2" fillId="0" borderId="2" xfId="2" applyNumberFormat="1" applyFont="1" applyBorder="1"/>
    <xf numFmtId="170" fontId="2" fillId="0" borderId="13" xfId="2" applyNumberFormat="1" applyFont="1" applyBorder="1"/>
    <xf numFmtId="170" fontId="2" fillId="0" borderId="14" xfId="2" applyNumberFormat="1" applyFont="1" applyBorder="1"/>
    <xf numFmtId="170" fontId="2" fillId="0" borderId="19" xfId="2" applyNumberFormat="1" applyFont="1" applyBorder="1"/>
    <xf numFmtId="170" fontId="2" fillId="0" borderId="20" xfId="2" applyNumberFormat="1" applyFont="1" applyBorder="1"/>
    <xf numFmtId="170" fontId="3" fillId="0" borderId="16" xfId="2" applyNumberFormat="1" applyFont="1" applyBorder="1"/>
    <xf numFmtId="170" fontId="3" fillId="4" borderId="15" xfId="2" applyNumberFormat="1" applyFont="1" applyFill="1" applyBorder="1"/>
    <xf numFmtId="170" fontId="2" fillId="0" borderId="22" xfId="2" applyNumberFormat="1" applyFont="1" applyBorder="1"/>
    <xf numFmtId="170" fontId="3" fillId="0" borderId="10" xfId="2" applyNumberFormat="1" applyFont="1" applyBorder="1"/>
    <xf numFmtId="170" fontId="3" fillId="0" borderId="12" xfId="2" applyNumberFormat="1" applyFont="1" applyBorder="1"/>
    <xf numFmtId="170" fontId="3" fillId="0" borderId="17" xfId="2" applyNumberFormat="1" applyFont="1" applyBorder="1"/>
    <xf numFmtId="170" fontId="1" fillId="0" borderId="0" xfId="2" applyNumberFormat="1"/>
    <xf numFmtId="170" fontId="2" fillId="0" borderId="10" xfId="2" applyNumberFormat="1" applyFont="1" applyBorder="1"/>
    <xf numFmtId="170" fontId="2" fillId="0" borderId="12" xfId="2" applyNumberFormat="1" applyFont="1" applyBorder="1"/>
    <xf numFmtId="170" fontId="3" fillId="0" borderId="24" xfId="2" applyNumberFormat="1" applyFont="1" applyBorder="1"/>
    <xf numFmtId="170" fontId="3" fillId="0" borderId="26" xfId="2" applyNumberFormat="1" applyFont="1" applyBorder="1"/>
    <xf numFmtId="3" fontId="1" fillId="9" borderId="0" xfId="5" applyNumberFormat="1" applyFont="1" applyFill="1" applyProtection="1">
      <protection locked="0"/>
    </xf>
    <xf numFmtId="3" fontId="16" fillId="10" borderId="30" xfId="5" applyNumberFormat="1" applyFont="1" applyFill="1" applyBorder="1" applyProtection="1">
      <protection locked="0"/>
    </xf>
    <xf numFmtId="1" fontId="8" fillId="10" borderId="30" xfId="5" applyNumberFormat="1" applyFont="1" applyFill="1" applyBorder="1" applyAlignment="1" applyProtection="1">
      <alignment horizontal="center"/>
      <protection locked="0"/>
    </xf>
    <xf numFmtId="3" fontId="1" fillId="9" borderId="0" xfId="5" quotePrefix="1" applyNumberFormat="1" applyFont="1" applyFill="1" applyProtection="1">
      <protection locked="0"/>
    </xf>
    <xf numFmtId="3" fontId="17" fillId="9" borderId="30" xfId="5" applyNumberFormat="1" applyFont="1" applyFill="1" applyBorder="1" applyAlignment="1" applyProtection="1">
      <alignment horizontal="center"/>
      <protection locked="0"/>
    </xf>
    <xf numFmtId="1" fontId="17" fillId="9" borderId="30" xfId="5" applyNumberFormat="1" applyFont="1" applyFill="1" applyBorder="1" applyAlignment="1" applyProtection="1">
      <alignment horizontal="center"/>
      <protection locked="0"/>
    </xf>
    <xf numFmtId="3" fontId="5" fillId="9" borderId="30" xfId="5" applyNumberFormat="1" applyFont="1" applyFill="1" applyBorder="1" applyAlignment="1" applyProtection="1">
      <alignment horizontal="left" vertical="top" wrapText="1"/>
      <protection locked="0"/>
    </xf>
    <xf numFmtId="3" fontId="5" fillId="9" borderId="30" xfId="5" applyNumberFormat="1" applyFont="1" applyFill="1" applyBorder="1" applyProtection="1">
      <protection locked="0"/>
    </xf>
    <xf numFmtId="3" fontId="18" fillId="9" borderId="30" xfId="5" applyNumberFormat="1" applyFont="1" applyFill="1" applyBorder="1" applyAlignment="1" applyProtection="1">
      <alignment horizontal="left" vertical="top" wrapText="1"/>
      <protection locked="0"/>
    </xf>
    <xf numFmtId="3" fontId="1" fillId="9" borderId="30" xfId="5" applyNumberFormat="1" applyFont="1" applyFill="1" applyBorder="1" applyProtection="1">
      <protection locked="0"/>
    </xf>
    <xf numFmtId="3" fontId="18" fillId="9" borderId="0" xfId="5" applyNumberFormat="1" applyFont="1" applyFill="1" applyAlignment="1" applyProtection="1">
      <alignment wrapText="1"/>
      <protection locked="0"/>
    </xf>
    <xf numFmtId="3" fontId="19" fillId="9" borderId="30" xfId="5" applyNumberFormat="1" applyFont="1" applyFill="1" applyBorder="1" applyAlignment="1" applyProtection="1">
      <alignment horizontal="left" vertical="top" wrapText="1"/>
      <protection locked="0"/>
    </xf>
    <xf numFmtId="3" fontId="19" fillId="9" borderId="30" xfId="5" applyNumberFormat="1" applyFont="1" applyFill="1" applyBorder="1" applyProtection="1">
      <protection locked="0"/>
    </xf>
    <xf numFmtId="3" fontId="20" fillId="9" borderId="30" xfId="5" applyNumberFormat="1" applyFont="1" applyFill="1" applyBorder="1" applyAlignment="1" applyProtection="1">
      <alignment horizontal="left" vertical="top" wrapText="1"/>
      <protection locked="0"/>
    </xf>
    <xf numFmtId="3" fontId="16" fillId="9" borderId="30" xfId="5" applyNumberFormat="1" applyFont="1" applyFill="1" applyBorder="1" applyProtection="1">
      <protection locked="0"/>
    </xf>
    <xf numFmtId="3" fontId="18" fillId="9" borderId="0" xfId="5" applyNumberFormat="1" applyFont="1" applyFill="1" applyProtection="1">
      <protection locked="0"/>
    </xf>
    <xf numFmtId="3" fontId="21" fillId="9" borderId="0" xfId="5" applyNumberFormat="1" applyFont="1" applyFill="1" applyAlignment="1" applyProtection="1">
      <alignment horizontal="left" vertical="top" wrapText="1"/>
      <protection locked="0"/>
    </xf>
    <xf numFmtId="3" fontId="19" fillId="9" borderId="30" xfId="5" applyNumberFormat="1" applyFont="1" applyFill="1" applyBorder="1" applyAlignment="1" applyProtection="1">
      <alignment wrapText="1"/>
      <protection locked="0"/>
    </xf>
    <xf numFmtId="3" fontId="5" fillId="9" borderId="30" xfId="5" applyNumberFormat="1" applyFont="1" applyFill="1" applyBorder="1" applyAlignment="1" applyProtection="1">
      <alignment wrapText="1"/>
      <protection locked="0"/>
    </xf>
    <xf numFmtId="3" fontId="22" fillId="9" borderId="31" xfId="5" applyNumberFormat="1" applyFont="1" applyFill="1" applyBorder="1" applyAlignment="1" applyProtection="1">
      <alignment horizontal="left" vertical="top" wrapText="1"/>
      <protection locked="0"/>
    </xf>
    <xf numFmtId="3" fontId="22" fillId="9" borderId="32" xfId="5" applyNumberFormat="1" applyFont="1" applyFill="1" applyBorder="1" applyProtection="1">
      <protection locked="0"/>
    </xf>
    <xf numFmtId="0" fontId="5" fillId="9" borderId="30" xfId="5" applyFont="1" applyFill="1" applyBorder="1" applyAlignment="1" applyProtection="1">
      <alignment vertical="center" wrapText="1"/>
      <protection locked="0"/>
    </xf>
    <xf numFmtId="0" fontId="18" fillId="9" borderId="30" xfId="5" applyFont="1" applyFill="1" applyBorder="1" applyAlignment="1" applyProtection="1">
      <alignment horizontal="left" vertical="top" wrapText="1"/>
      <protection locked="0"/>
    </xf>
    <xf numFmtId="0" fontId="18" fillId="9" borderId="0" xfId="5" applyFont="1" applyFill="1" applyProtection="1">
      <protection locked="0"/>
    </xf>
    <xf numFmtId="0" fontId="21" fillId="9" borderId="0" xfId="5" applyFont="1" applyFill="1" applyAlignment="1" applyProtection="1">
      <alignment horizontal="left" vertical="top" wrapText="1"/>
      <protection locked="0"/>
    </xf>
    <xf numFmtId="3" fontId="22" fillId="9" borderId="30" xfId="5" applyNumberFormat="1" applyFont="1" applyFill="1" applyBorder="1" applyProtection="1">
      <protection locked="0"/>
    </xf>
    <xf numFmtId="3" fontId="23" fillId="9" borderId="30" xfId="5" applyNumberFormat="1" applyFont="1" applyFill="1" applyBorder="1" applyProtection="1">
      <protection locked="0"/>
    </xf>
    <xf numFmtId="3" fontId="23" fillId="9" borderId="30" xfId="5" applyNumberFormat="1" applyFont="1" applyFill="1" applyBorder="1" applyAlignment="1" applyProtection="1">
      <alignment horizontal="center"/>
      <protection locked="0"/>
    </xf>
    <xf numFmtId="3" fontId="25" fillId="9" borderId="30" xfId="5" quotePrefix="1" applyNumberFormat="1" applyFont="1" applyFill="1" applyBorder="1" applyAlignment="1" applyProtection="1">
      <alignment horizontal="left"/>
      <protection locked="0"/>
    </xf>
    <xf numFmtId="3" fontId="25" fillId="9" borderId="30" xfId="5" applyNumberFormat="1" applyFont="1" applyFill="1" applyBorder="1" applyAlignment="1" applyProtection="1">
      <alignment horizontal="right"/>
      <protection locked="0"/>
    </xf>
    <xf numFmtId="3" fontId="22" fillId="9" borderId="31" xfId="5" applyNumberFormat="1" applyFont="1" applyFill="1" applyBorder="1" applyProtection="1">
      <protection locked="0"/>
    </xf>
    <xf numFmtId="3" fontId="22" fillId="9" borderId="36" xfId="5" applyNumberFormat="1" applyFont="1" applyFill="1" applyBorder="1" applyProtection="1">
      <protection locked="0"/>
    </xf>
    <xf numFmtId="3" fontId="17" fillId="9" borderId="30" xfId="5" applyNumberFormat="1" applyFont="1" applyFill="1" applyBorder="1" applyAlignment="1">
      <alignment horizontal="center"/>
    </xf>
    <xf numFmtId="1" fontId="17" fillId="9" borderId="30" xfId="5" applyNumberFormat="1" applyFont="1" applyFill="1" applyBorder="1" applyAlignment="1">
      <alignment horizontal="center"/>
    </xf>
    <xf numFmtId="3" fontId="1" fillId="9" borderId="0" xfId="5" applyNumberFormat="1" applyFont="1" applyFill="1"/>
    <xf numFmtId="3" fontId="5" fillId="9" borderId="30" xfId="5" applyNumberFormat="1" applyFont="1" applyFill="1" applyBorder="1"/>
    <xf numFmtId="10" fontId="5" fillId="9" borderId="30" xfId="5" applyNumberFormat="1" applyFont="1" applyFill="1" applyBorder="1"/>
    <xf numFmtId="3" fontId="22" fillId="9" borderId="30" xfId="5" applyNumberFormat="1" applyFont="1" applyFill="1" applyBorder="1"/>
    <xf numFmtId="10" fontId="22" fillId="9" borderId="30" xfId="5" applyNumberFormat="1" applyFont="1" applyFill="1" applyBorder="1"/>
    <xf numFmtId="3" fontId="25" fillId="9" borderId="30" xfId="5" quotePrefix="1" applyNumberFormat="1" applyFont="1" applyFill="1" applyBorder="1" applyAlignment="1">
      <alignment horizontal="left"/>
    </xf>
    <xf numFmtId="10" fontId="25" fillId="9" borderId="30" xfId="5" applyNumberFormat="1" applyFont="1" applyFill="1" applyBorder="1"/>
    <xf numFmtId="10" fontId="22" fillId="9" borderId="0" xfId="5" applyNumberFormat="1" applyFont="1" applyFill="1"/>
    <xf numFmtId="10" fontId="1" fillId="9" borderId="0" xfId="5" applyNumberFormat="1" applyFont="1" applyFill="1"/>
    <xf numFmtId="3" fontId="22" fillId="9" borderId="31" xfId="5" applyNumberFormat="1" applyFont="1" applyFill="1" applyBorder="1"/>
    <xf numFmtId="10" fontId="22" fillId="9" borderId="32" xfId="5" applyNumberFormat="1" applyFont="1" applyFill="1" applyBorder="1"/>
    <xf numFmtId="10" fontId="22" fillId="9" borderId="36" xfId="5" applyNumberFormat="1" applyFont="1" applyFill="1" applyBorder="1"/>
    <xf numFmtId="3" fontId="22" fillId="9" borderId="30" xfId="5" applyNumberFormat="1" applyFont="1" applyFill="1" applyBorder="1" applyAlignment="1" applyProtection="1">
      <alignment horizontal="left"/>
      <protection locked="0"/>
    </xf>
    <xf numFmtId="0" fontId="22" fillId="9" borderId="30" xfId="5" applyFont="1" applyFill="1" applyBorder="1" applyProtection="1">
      <protection locked="0"/>
    </xf>
    <xf numFmtId="3" fontId="8" fillId="9" borderId="0" xfId="5" applyNumberFormat="1" applyFont="1" applyFill="1" applyProtection="1">
      <protection locked="0"/>
    </xf>
    <xf numFmtId="0" fontId="5" fillId="9" borderId="30" xfId="5" applyFont="1" applyFill="1" applyBorder="1" applyProtection="1">
      <protection locked="0"/>
    </xf>
    <xf numFmtId="3" fontId="26" fillId="9" borderId="30" xfId="5" quotePrefix="1" applyNumberFormat="1" applyFont="1" applyFill="1" applyBorder="1" applyAlignment="1" applyProtection="1">
      <alignment horizontal="left" vertical="top" wrapText="1"/>
      <protection locked="0"/>
    </xf>
    <xf numFmtId="3" fontId="10" fillId="9" borderId="30" xfId="5" applyNumberFormat="1" applyFont="1" applyFill="1" applyBorder="1" applyProtection="1">
      <protection locked="0"/>
    </xf>
    <xf numFmtId="3" fontId="1" fillId="9" borderId="30" xfId="5" applyNumberFormat="1" applyFont="1" applyFill="1" applyBorder="1" applyAlignment="1" applyProtection="1">
      <alignment horizontal="left"/>
      <protection locked="0"/>
    </xf>
    <xf numFmtId="3" fontId="27" fillId="9" borderId="30" xfId="5" applyNumberFormat="1" applyFont="1" applyFill="1" applyBorder="1" applyProtection="1">
      <protection locked="0"/>
    </xf>
    <xf numFmtId="3" fontId="10" fillId="9" borderId="30" xfId="5" quotePrefix="1" applyNumberFormat="1" applyFont="1" applyFill="1" applyBorder="1" applyProtection="1">
      <protection locked="0"/>
    </xf>
    <xf numFmtId="0" fontId="26" fillId="9" borderId="30" xfId="5" applyFont="1" applyFill="1" applyBorder="1" applyAlignment="1" applyProtection="1">
      <alignment horizontal="left" vertical="top" wrapText="1"/>
      <protection locked="0"/>
    </xf>
    <xf numFmtId="3" fontId="1" fillId="9" borderId="30" xfId="5" quotePrefix="1" applyNumberFormat="1" applyFont="1" applyFill="1" applyBorder="1" applyProtection="1">
      <protection locked="0"/>
    </xf>
    <xf numFmtId="3" fontId="1" fillId="9" borderId="30" xfId="5" applyNumberFormat="1" applyFont="1" applyFill="1" applyBorder="1" applyAlignment="1" applyProtection="1">
      <alignment vertical="center"/>
      <protection locked="0"/>
    </xf>
    <xf numFmtId="3" fontId="22" fillId="9" borderId="30" xfId="5" applyNumberFormat="1" applyFont="1" applyFill="1" applyBorder="1" applyAlignment="1" applyProtection="1">
      <alignment horizontal="left" vertical="top" wrapText="1"/>
      <protection locked="0"/>
    </xf>
    <xf numFmtId="164" fontId="2" fillId="12" borderId="1" xfId="2" applyNumberFormat="1" applyFont="1" applyFill="1" applyBorder="1"/>
    <xf numFmtId="0" fontId="2" fillId="13" borderId="1" xfId="2" applyFont="1" applyFill="1" applyBorder="1"/>
    <xf numFmtId="164" fontId="2" fillId="11" borderId="1" xfId="2" applyNumberFormat="1" applyFont="1" applyFill="1" applyBorder="1"/>
    <xf numFmtId="0" fontId="2" fillId="13" borderId="1" xfId="2" applyFont="1" applyFill="1" applyBorder="1" applyAlignment="1">
      <alignment wrapText="1"/>
    </xf>
    <xf numFmtId="164" fontId="2" fillId="13" borderId="1" xfId="2" applyNumberFormat="1" applyFont="1" applyFill="1" applyBorder="1"/>
    <xf numFmtId="0" fontId="2" fillId="11" borderId="1" xfId="2" applyFont="1" applyFill="1" applyBorder="1"/>
    <xf numFmtId="10" fontId="2" fillId="0" borderId="10" xfId="2" applyNumberFormat="1" applyFont="1" applyBorder="1" applyAlignment="1">
      <alignment horizontal="center"/>
    </xf>
    <xf numFmtId="10" fontId="2" fillId="0" borderId="1" xfId="3" applyNumberFormat="1" applyFont="1" applyFill="1" applyBorder="1" applyAlignment="1" applyProtection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12" xfId="2" applyFont="1" applyBorder="1" applyAlignment="1">
      <alignment horizontal="center"/>
    </xf>
    <xf numFmtId="164" fontId="2" fillId="0" borderId="1" xfId="2" applyNumberFormat="1" applyFont="1" applyBorder="1" applyAlignment="1">
      <alignment horizontal="right"/>
    </xf>
    <xf numFmtId="0" fontId="28" fillId="0" borderId="0" xfId="2" applyFont="1"/>
    <xf numFmtId="0" fontId="3" fillId="0" borderId="14" xfId="2" applyFont="1" applyBorder="1"/>
    <xf numFmtId="0" fontId="3" fillId="4" borderId="37" xfId="2" applyFont="1" applyFill="1" applyBorder="1"/>
    <xf numFmtId="10" fontId="2" fillId="3" borderId="11" xfId="3" applyNumberFormat="1" applyFont="1" applyFill="1" applyBorder="1" applyAlignment="1" applyProtection="1"/>
    <xf numFmtId="10" fontId="2" fillId="0" borderId="11" xfId="3" applyNumberFormat="1" applyFont="1" applyFill="1" applyBorder="1" applyAlignment="1" applyProtection="1"/>
    <xf numFmtId="0" fontId="3" fillId="0" borderId="38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39" xfId="2" applyFont="1" applyBorder="1" applyAlignment="1">
      <alignment horizontal="center"/>
    </xf>
    <xf numFmtId="170" fontId="3" fillId="4" borderId="40" xfId="2" applyNumberFormat="1" applyFont="1" applyFill="1" applyBorder="1"/>
    <xf numFmtId="170" fontId="2" fillId="0" borderId="30" xfId="2" applyNumberFormat="1" applyFont="1" applyBorder="1"/>
    <xf numFmtId="0" fontId="3" fillId="4" borderId="41" xfId="2" applyFont="1" applyFill="1" applyBorder="1"/>
    <xf numFmtId="170" fontId="3" fillId="4" borderId="42" xfId="2" applyNumberFormat="1" applyFont="1" applyFill="1" applyBorder="1"/>
    <xf numFmtId="170" fontId="3" fillId="4" borderId="43" xfId="2" applyNumberFormat="1" applyFont="1" applyFill="1" applyBorder="1"/>
    <xf numFmtId="0" fontId="2" fillId="0" borderId="44" xfId="2" applyFont="1" applyBorder="1"/>
    <xf numFmtId="170" fontId="2" fillId="0" borderId="45" xfId="2" applyNumberFormat="1" applyFont="1" applyBorder="1"/>
    <xf numFmtId="0" fontId="2" fillId="0" borderId="46" xfId="2" applyFont="1" applyBorder="1"/>
    <xf numFmtId="170" fontId="2" fillId="0" borderId="47" xfId="2" applyNumberFormat="1" applyFont="1" applyBorder="1"/>
    <xf numFmtId="170" fontId="2" fillId="0" borderId="48" xfId="2" applyNumberFormat="1" applyFont="1" applyBorder="1"/>
    <xf numFmtId="0" fontId="3" fillId="0" borderId="10" xfId="2" applyFont="1" applyBorder="1"/>
    <xf numFmtId="0" fontId="3" fillId="2" borderId="20" xfId="2" applyFont="1" applyFill="1" applyBorder="1"/>
    <xf numFmtId="0" fontId="3" fillId="2" borderId="49" xfId="2" applyFont="1" applyFill="1" applyBorder="1"/>
    <xf numFmtId="0" fontId="3" fillId="2" borderId="19" xfId="2" applyFont="1" applyFill="1" applyBorder="1"/>
    <xf numFmtId="0" fontId="3" fillId="0" borderId="30" xfId="2" applyFont="1" applyBorder="1"/>
    <xf numFmtId="10" fontId="11" fillId="0" borderId="30" xfId="1" applyNumberFormat="1" applyBorder="1" applyAlignment="1">
      <alignment horizontal="center"/>
    </xf>
    <xf numFmtId="10" fontId="11" fillId="14" borderId="30" xfId="1" applyNumberFormat="1" applyFill="1" applyBorder="1" applyAlignment="1">
      <alignment horizontal="center"/>
    </xf>
    <xf numFmtId="0" fontId="2" fillId="14" borderId="1" xfId="2" applyFont="1" applyFill="1" applyBorder="1" applyAlignment="1">
      <alignment horizontal="center"/>
    </xf>
    <xf numFmtId="164" fontId="2" fillId="14" borderId="1" xfId="2" applyNumberFormat="1" applyFont="1" applyFill="1" applyBorder="1"/>
    <xf numFmtId="164" fontId="2" fillId="15" borderId="1" xfId="2" applyNumberFormat="1" applyFont="1" applyFill="1" applyBorder="1"/>
    <xf numFmtId="164" fontId="2" fillId="16" borderId="1" xfId="2" applyNumberFormat="1" applyFont="1" applyFill="1" applyBorder="1"/>
    <xf numFmtId="164" fontId="2" fillId="17" borderId="1" xfId="2" applyNumberFormat="1" applyFont="1" applyFill="1" applyBorder="1"/>
    <xf numFmtId="0" fontId="2" fillId="18" borderId="30" xfId="2" applyFont="1" applyFill="1" applyBorder="1"/>
    <xf numFmtId="10" fontId="0" fillId="18" borderId="30" xfId="0" applyNumberFormat="1" applyFill="1" applyBorder="1"/>
    <xf numFmtId="3" fontId="5" fillId="9" borderId="0" xfId="5" applyNumberFormat="1" applyFont="1" applyFill="1" applyAlignment="1" applyProtection="1">
      <alignment horizontal="center"/>
      <protection locked="0"/>
    </xf>
    <xf numFmtId="3" fontId="24" fillId="9" borderId="33" xfId="5" applyNumberFormat="1" applyFont="1" applyFill="1" applyBorder="1" applyAlignment="1" applyProtection="1">
      <alignment horizontal="center"/>
      <protection locked="0"/>
    </xf>
    <xf numFmtId="3" fontId="24" fillId="9" borderId="34" xfId="5" applyNumberFormat="1" applyFont="1" applyFill="1" applyBorder="1" applyAlignment="1" applyProtection="1">
      <alignment horizontal="center"/>
      <protection locked="0"/>
    </xf>
    <xf numFmtId="3" fontId="24" fillId="9" borderId="35" xfId="5" applyNumberFormat="1" applyFont="1" applyFill="1" applyBorder="1" applyAlignment="1" applyProtection="1">
      <alignment horizontal="center"/>
      <protection locked="0"/>
    </xf>
    <xf numFmtId="3" fontId="24" fillId="9" borderId="33" xfId="5" applyNumberFormat="1" applyFont="1" applyFill="1" applyBorder="1" applyAlignment="1">
      <alignment horizontal="center"/>
    </xf>
    <xf numFmtId="3" fontId="24" fillId="9" borderId="34" xfId="5" applyNumberFormat="1" applyFont="1" applyFill="1" applyBorder="1" applyAlignment="1">
      <alignment horizontal="center"/>
    </xf>
    <xf numFmtId="3" fontId="24" fillId="9" borderId="35" xfId="5" applyNumberFormat="1" applyFont="1" applyFill="1" applyBorder="1" applyAlignment="1">
      <alignment horizontal="center"/>
    </xf>
    <xf numFmtId="3" fontId="5" fillId="9" borderId="0" xfId="5" applyNumberFormat="1" applyFont="1" applyFill="1" applyAlignment="1">
      <alignment horizontal="center"/>
    </xf>
    <xf numFmtId="0" fontId="3" fillId="4" borderId="3" xfId="2" applyFont="1" applyFill="1" applyBorder="1" applyAlignment="1">
      <alignment horizontal="center"/>
    </xf>
    <xf numFmtId="0" fontId="3" fillId="5" borderId="3" xfId="2" applyFont="1" applyFill="1" applyBorder="1" applyAlignment="1">
      <alignment horizontal="center"/>
    </xf>
    <xf numFmtId="0" fontId="3" fillId="4" borderId="9" xfId="2" applyFont="1" applyFill="1" applyBorder="1" applyAlignment="1">
      <alignment horizontal="center"/>
    </xf>
    <xf numFmtId="0" fontId="2" fillId="0" borderId="0" xfId="2" applyFont="1" applyAlignment="1">
      <alignment horizontal="left" vertical="top" wrapText="1"/>
    </xf>
  </cellXfs>
  <cellStyles count="6">
    <cellStyle name="Normale" xfId="0" builtinId="0"/>
    <cellStyle name="Normale 2" xfId="2" xr:uid="{00000000-0005-0000-0000-000001000000}"/>
    <cellStyle name="Normale 3" xfId="4" xr:uid="{08B0E654-4322-4EC0-966C-15172B3FAEDE}"/>
    <cellStyle name="Normale 4" xfId="5" xr:uid="{C364C18E-9F19-4545-844C-AD178C2D4CBB}"/>
    <cellStyle name="Percentuale" xfId="1" builtinId="5"/>
    <cellStyle name="Percentual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107</xdr:row>
      <xdr:rowOff>38100</xdr:rowOff>
    </xdr:from>
    <xdr:to>
      <xdr:col>0</xdr:col>
      <xdr:colOff>1285875</xdr:colOff>
      <xdr:row>109</xdr:row>
      <xdr:rowOff>66675</xdr:rowOff>
    </xdr:to>
    <xdr:cxnSp macro="">
      <xdr:nvCxnSpPr>
        <xdr:cNvPr id="2049" name="Connettore 2 2">
          <a:extLst>
            <a:ext uri="{FF2B5EF4-FFF2-40B4-BE49-F238E27FC236}">
              <a16:creationId xmlns:a16="http://schemas.microsoft.com/office/drawing/2014/main" id="{DB309FBF-CDCF-EBFA-27DB-13347B9538B8}"/>
            </a:ext>
          </a:extLst>
        </xdr:cNvPr>
        <xdr:cNvCxnSpPr>
          <a:cxnSpLocks noChangeShapeType="1"/>
        </xdr:cNvCxnSpPr>
      </xdr:nvCxnSpPr>
      <xdr:spPr bwMode="auto">
        <a:xfrm flipH="1">
          <a:off x="1285875" y="17354550"/>
          <a:ext cx="0" cy="352425"/>
        </a:xfrm>
        <a:prstGeom prst="straightConnector1">
          <a:avLst/>
        </a:prstGeom>
        <a:noFill/>
        <a:ln w="9360" cap="flat">
          <a:solidFill>
            <a:srgbClr val="4A7EBB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1962150</xdr:colOff>
      <xdr:row>108</xdr:row>
      <xdr:rowOff>133350</xdr:rowOff>
    </xdr:from>
    <xdr:to>
      <xdr:col>0</xdr:col>
      <xdr:colOff>1981200</xdr:colOff>
      <xdr:row>110</xdr:row>
      <xdr:rowOff>47625</xdr:rowOff>
    </xdr:to>
    <xdr:cxnSp macro="">
      <xdr:nvCxnSpPr>
        <xdr:cNvPr id="2050" name="Connettore 2 4">
          <a:extLst>
            <a:ext uri="{FF2B5EF4-FFF2-40B4-BE49-F238E27FC236}">
              <a16:creationId xmlns:a16="http://schemas.microsoft.com/office/drawing/2014/main" id="{D79A1C60-E814-CC1F-72DD-7706AEE035F6}"/>
            </a:ext>
          </a:extLst>
        </xdr:cNvPr>
        <xdr:cNvCxnSpPr>
          <a:cxnSpLocks noChangeShapeType="1"/>
        </xdr:cNvCxnSpPr>
      </xdr:nvCxnSpPr>
      <xdr:spPr bwMode="auto">
        <a:xfrm flipH="1">
          <a:off x="1962150" y="17611725"/>
          <a:ext cx="19050" cy="238125"/>
        </a:xfrm>
        <a:prstGeom prst="straightConnector1">
          <a:avLst/>
        </a:prstGeom>
        <a:noFill/>
        <a:ln w="9360" cap="flat">
          <a:solidFill>
            <a:srgbClr val="4A7EBB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107</xdr:row>
      <xdr:rowOff>38100</xdr:rowOff>
    </xdr:from>
    <xdr:to>
      <xdr:col>0</xdr:col>
      <xdr:colOff>1285875</xdr:colOff>
      <xdr:row>109</xdr:row>
      <xdr:rowOff>66675</xdr:rowOff>
    </xdr:to>
    <xdr:cxnSp macro="">
      <xdr:nvCxnSpPr>
        <xdr:cNvPr id="2" name="Connettore 2 2">
          <a:extLst>
            <a:ext uri="{FF2B5EF4-FFF2-40B4-BE49-F238E27FC236}">
              <a16:creationId xmlns:a16="http://schemas.microsoft.com/office/drawing/2014/main" id="{1D222784-40DB-4237-867B-15ECB11E3A11}"/>
            </a:ext>
          </a:extLst>
        </xdr:cNvPr>
        <xdr:cNvCxnSpPr>
          <a:cxnSpLocks noChangeShapeType="1"/>
        </xdr:cNvCxnSpPr>
      </xdr:nvCxnSpPr>
      <xdr:spPr bwMode="auto">
        <a:xfrm flipH="1">
          <a:off x="1285875" y="17878425"/>
          <a:ext cx="0" cy="352425"/>
        </a:xfrm>
        <a:prstGeom prst="straightConnector1">
          <a:avLst/>
        </a:prstGeom>
        <a:noFill/>
        <a:ln w="9360" cap="flat">
          <a:solidFill>
            <a:srgbClr val="4A7EBB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1962150</xdr:colOff>
      <xdr:row>108</xdr:row>
      <xdr:rowOff>133350</xdr:rowOff>
    </xdr:from>
    <xdr:to>
      <xdr:col>0</xdr:col>
      <xdr:colOff>1981200</xdr:colOff>
      <xdr:row>110</xdr:row>
      <xdr:rowOff>47625</xdr:rowOff>
    </xdr:to>
    <xdr:cxnSp macro="">
      <xdr:nvCxnSpPr>
        <xdr:cNvPr id="3" name="Connettore 2 4">
          <a:extLst>
            <a:ext uri="{FF2B5EF4-FFF2-40B4-BE49-F238E27FC236}">
              <a16:creationId xmlns:a16="http://schemas.microsoft.com/office/drawing/2014/main" id="{B94070B1-3818-450D-ACF8-FF2EDE2638B8}"/>
            </a:ext>
          </a:extLst>
        </xdr:cNvPr>
        <xdr:cNvCxnSpPr>
          <a:cxnSpLocks noChangeShapeType="1"/>
        </xdr:cNvCxnSpPr>
      </xdr:nvCxnSpPr>
      <xdr:spPr bwMode="auto">
        <a:xfrm flipH="1">
          <a:off x="1962150" y="18135600"/>
          <a:ext cx="19050" cy="238125"/>
        </a:xfrm>
        <a:prstGeom prst="straightConnector1">
          <a:avLst/>
        </a:prstGeom>
        <a:noFill/>
        <a:ln w="9360" cap="flat">
          <a:solidFill>
            <a:srgbClr val="4A7EBB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LLEGI%20SINDACALI\IL%20CAMMINO%20-%20REVISONE%20LEGALE\VERBALI%20REVISIONE%202022%20IL%20CAMMINO\CARTE%20DI%20LAVORO%20%202022%20il%20cammino\ANALISI%20BILANCIO%20mosaico%2019-20-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"/>
      <sheetName val="CE"/>
      <sheetName val="Rendiconto"/>
      <sheetName val="INDICI E MARGINI 2021"/>
      <sheetName val="Indici"/>
      <sheetName val="foglio servizio"/>
    </sheetNames>
    <sheetDataSet>
      <sheetData sheetId="0">
        <row r="103">
          <cell r="B103">
            <v>-46000</v>
          </cell>
          <cell r="C103">
            <v>7931</v>
          </cell>
          <cell r="D103">
            <v>205609</v>
          </cell>
          <cell r="E103">
            <v>228974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6801-E475-4AEF-90B7-55C6C7B859F5}">
  <dimension ref="A1:I288"/>
  <sheetViews>
    <sheetView topLeftCell="A46" zoomScale="130" zoomScaleNormal="130" workbookViewId="0">
      <selection activeCell="A69" sqref="A69"/>
    </sheetView>
  </sheetViews>
  <sheetFormatPr defaultColWidth="12.33203125" defaultRowHeight="13.2" x14ac:dyDescent="0.25"/>
  <cols>
    <col min="1" max="1" width="44.88671875" style="181" bestFit="1" customWidth="1"/>
    <col min="2" max="6" width="12.33203125" style="181" customWidth="1"/>
    <col min="7" max="7" width="6.88671875" style="181" customWidth="1"/>
    <col min="8" max="16384" width="12.33203125" style="181"/>
  </cols>
  <sheetData>
    <row r="1" spans="1:6" s="147" customFormat="1" x14ac:dyDescent="0.25">
      <c r="A1" s="250"/>
      <c r="B1" s="250"/>
      <c r="C1" s="250"/>
      <c r="D1" s="250"/>
      <c r="E1" s="250"/>
      <c r="F1" s="250"/>
    </row>
    <row r="2" spans="1:6" s="147" customFormat="1" x14ac:dyDescent="0.25">
      <c r="A2" s="250"/>
      <c r="B2" s="250"/>
      <c r="C2" s="250"/>
      <c r="D2" s="250"/>
      <c r="E2" s="250"/>
      <c r="F2" s="250"/>
    </row>
    <row r="3" spans="1:6" s="147" customFormat="1" x14ac:dyDescent="0.25"/>
    <row r="4" spans="1:6" s="147" customFormat="1" x14ac:dyDescent="0.25">
      <c r="A4" s="147" t="s">
        <v>398</v>
      </c>
    </row>
    <row r="5" spans="1:6" s="147" customFormat="1" x14ac:dyDescent="0.25">
      <c r="A5" s="148" t="s">
        <v>134</v>
      </c>
      <c r="B5" s="149">
        <v>2019</v>
      </c>
    </row>
    <row r="6" spans="1:6" s="147" customFormat="1" x14ac:dyDescent="0.25">
      <c r="B6" s="150"/>
    </row>
    <row r="7" spans="1:6" s="147" customFormat="1" x14ac:dyDescent="0.25">
      <c r="B7" s="150"/>
      <c r="C7" s="150"/>
      <c r="D7" s="150"/>
      <c r="E7" s="150"/>
      <c r="F7" s="150"/>
    </row>
    <row r="8" spans="1:6" s="147" customFormat="1" ht="17.399999999999999" x14ac:dyDescent="0.3">
      <c r="A8" s="151" t="s">
        <v>135</v>
      </c>
      <c r="B8" s="152">
        <f>+B5</f>
        <v>2019</v>
      </c>
      <c r="C8" s="152">
        <f>B8+1</f>
        <v>2020</v>
      </c>
      <c r="D8" s="152">
        <f>C8+1</f>
        <v>2021</v>
      </c>
      <c r="E8" s="152">
        <f>D8+1</f>
        <v>2022</v>
      </c>
      <c r="F8" s="152">
        <f>E8+1</f>
        <v>2023</v>
      </c>
    </row>
    <row r="9" spans="1:6" s="147" customFormat="1" x14ac:dyDescent="0.25"/>
    <row r="10" spans="1:6" s="147" customFormat="1" x14ac:dyDescent="0.25">
      <c r="A10" s="153" t="s">
        <v>136</v>
      </c>
      <c r="B10" s="154">
        <v>0</v>
      </c>
      <c r="C10" s="154">
        <f>+C11</f>
        <v>0</v>
      </c>
      <c r="D10" s="154">
        <f>+D11</f>
        <v>0</v>
      </c>
      <c r="E10" s="154">
        <f>+E11</f>
        <v>0</v>
      </c>
      <c r="F10" s="154">
        <f>+F11</f>
        <v>0</v>
      </c>
    </row>
    <row r="11" spans="1:6" s="147" customFormat="1" x14ac:dyDescent="0.25">
      <c r="A11" s="155" t="s">
        <v>137</v>
      </c>
      <c r="B11" s="156"/>
      <c r="C11" s="156"/>
      <c r="D11" s="156"/>
      <c r="E11" s="156"/>
      <c r="F11" s="156"/>
    </row>
    <row r="12" spans="1:6" s="147" customFormat="1" x14ac:dyDescent="0.25">
      <c r="A12" s="157"/>
    </row>
    <row r="13" spans="1:6" s="147" customFormat="1" x14ac:dyDescent="0.25">
      <c r="A13" s="153" t="s">
        <v>138</v>
      </c>
      <c r="B13" s="154">
        <f>B15+B24+B31</f>
        <v>287202</v>
      </c>
      <c r="C13" s="154">
        <f>C15+C24+C31</f>
        <v>270585</v>
      </c>
      <c r="D13" s="154">
        <f>D15+D24+D31</f>
        <v>254473</v>
      </c>
      <c r="E13" s="154">
        <f>E15+E24+E31</f>
        <v>231884</v>
      </c>
      <c r="F13" s="154">
        <f>F15+F24+F31</f>
        <v>0</v>
      </c>
    </row>
    <row r="14" spans="1:6" s="147" customFormat="1" x14ac:dyDescent="0.25"/>
    <row r="15" spans="1:6" s="147" customFormat="1" x14ac:dyDescent="0.25">
      <c r="A15" s="158" t="s">
        <v>139</v>
      </c>
      <c r="B15" s="159">
        <f>SUM(B16:B22)</f>
        <v>208</v>
      </c>
      <c r="C15" s="159">
        <f>SUM(C16:C22)</f>
        <v>280</v>
      </c>
      <c r="D15" s="159">
        <f>SUM(D16:D22)</f>
        <v>3687</v>
      </c>
      <c r="E15" s="159">
        <f>SUM(E16:E22)</f>
        <v>3577</v>
      </c>
      <c r="F15" s="159">
        <f>SUM(F16:F22)</f>
        <v>0</v>
      </c>
    </row>
    <row r="16" spans="1:6" s="147" customFormat="1" x14ac:dyDescent="0.25">
      <c r="A16" s="155" t="s">
        <v>140</v>
      </c>
      <c r="B16" s="156"/>
      <c r="C16" s="156"/>
      <c r="D16" s="156"/>
      <c r="E16" s="156"/>
      <c r="F16" s="156"/>
    </row>
    <row r="17" spans="1:6" s="147" customFormat="1" x14ac:dyDescent="0.25">
      <c r="A17" s="155" t="s">
        <v>141</v>
      </c>
      <c r="B17" s="156"/>
      <c r="C17" s="156"/>
      <c r="D17" s="156"/>
      <c r="E17" s="156"/>
      <c r="F17" s="156"/>
    </row>
    <row r="18" spans="1:6" s="147" customFormat="1" x14ac:dyDescent="0.25">
      <c r="A18" s="155" t="s">
        <v>142</v>
      </c>
      <c r="B18" s="156">
        <v>208</v>
      </c>
      <c r="C18" s="156">
        <v>280</v>
      </c>
      <c r="D18" s="156">
        <v>3687</v>
      </c>
      <c r="E18" s="156">
        <v>3577</v>
      </c>
      <c r="F18" s="156"/>
    </row>
    <row r="19" spans="1:6" s="147" customFormat="1" x14ac:dyDescent="0.25">
      <c r="A19" s="155" t="s">
        <v>143</v>
      </c>
      <c r="B19" s="156"/>
      <c r="C19" s="156"/>
      <c r="D19" s="156"/>
      <c r="E19" s="156"/>
      <c r="F19" s="156"/>
    </row>
    <row r="20" spans="1:6" s="147" customFormat="1" x14ac:dyDescent="0.25">
      <c r="A20" s="155" t="s">
        <v>144</v>
      </c>
      <c r="B20" s="156"/>
      <c r="C20" s="156"/>
      <c r="D20" s="156"/>
      <c r="E20" s="156"/>
      <c r="F20" s="156"/>
    </row>
    <row r="21" spans="1:6" s="147" customFormat="1" x14ac:dyDescent="0.25">
      <c r="A21" s="155" t="s">
        <v>145</v>
      </c>
      <c r="B21" s="156"/>
      <c r="C21" s="156"/>
      <c r="D21" s="156"/>
      <c r="E21" s="156"/>
      <c r="F21" s="156"/>
    </row>
    <row r="22" spans="1:6" s="147" customFormat="1" x14ac:dyDescent="0.25">
      <c r="A22" s="155" t="s">
        <v>146</v>
      </c>
      <c r="B22" s="156"/>
      <c r="C22" s="156"/>
      <c r="D22" s="156"/>
      <c r="E22" s="156"/>
      <c r="F22" s="156"/>
    </row>
    <row r="23" spans="1:6" s="147" customFormat="1" x14ac:dyDescent="0.25"/>
    <row r="24" spans="1:6" s="147" customFormat="1" x14ac:dyDescent="0.25">
      <c r="A24" s="159" t="s">
        <v>147</v>
      </c>
      <c r="B24" s="159">
        <f>SUM(B25:B29)</f>
        <v>270832</v>
      </c>
      <c r="C24" s="159">
        <f>SUM(C25:C29)</f>
        <v>254143</v>
      </c>
      <c r="D24" s="159">
        <f>SUM(D25:D29)</f>
        <v>234774</v>
      </c>
      <c r="E24" s="159">
        <f>SUM(E25:E29)</f>
        <v>216288</v>
      </c>
      <c r="F24" s="159">
        <f>SUM(F25:F29)</f>
        <v>0</v>
      </c>
    </row>
    <row r="25" spans="1:6" s="147" customFormat="1" x14ac:dyDescent="0.25">
      <c r="A25" s="155" t="s">
        <v>148</v>
      </c>
      <c r="B25" s="156"/>
      <c r="C25" s="156"/>
      <c r="D25" s="156"/>
      <c r="E25" s="156"/>
      <c r="F25" s="156"/>
    </row>
    <row r="26" spans="1:6" s="147" customFormat="1" x14ac:dyDescent="0.25">
      <c r="A26" s="155" t="s">
        <v>149</v>
      </c>
      <c r="B26" s="156"/>
      <c r="C26" s="156"/>
      <c r="D26" s="156"/>
      <c r="E26" s="156"/>
      <c r="F26" s="156"/>
    </row>
    <row r="27" spans="1:6" s="147" customFormat="1" x14ac:dyDescent="0.25">
      <c r="A27" s="155" t="s">
        <v>150</v>
      </c>
      <c r="B27" s="156"/>
      <c r="C27" s="156"/>
      <c r="D27" s="156"/>
      <c r="E27" s="156"/>
      <c r="F27" s="156"/>
    </row>
    <row r="28" spans="1:6" s="147" customFormat="1" x14ac:dyDescent="0.25">
      <c r="A28" s="155" t="s">
        <v>151</v>
      </c>
      <c r="B28" s="156">
        <v>270832</v>
      </c>
      <c r="C28" s="156">
        <v>254143</v>
      </c>
      <c r="D28" s="156">
        <v>234774</v>
      </c>
      <c r="E28" s="156">
        <f>650818-434530</f>
        <v>216288</v>
      </c>
      <c r="F28" s="156">
        <f>5205-5205</f>
        <v>0</v>
      </c>
    </row>
    <row r="29" spans="1:6" s="147" customFormat="1" x14ac:dyDescent="0.25">
      <c r="A29" s="155" t="s">
        <v>152</v>
      </c>
      <c r="B29" s="156">
        <v>0</v>
      </c>
      <c r="C29" s="156">
        <v>0</v>
      </c>
      <c r="D29" s="156"/>
      <c r="E29" s="156"/>
      <c r="F29" s="156">
        <v>0</v>
      </c>
    </row>
    <row r="30" spans="1:6" s="147" customFormat="1" x14ac:dyDescent="0.25">
      <c r="A30" s="157"/>
    </row>
    <row r="31" spans="1:6" s="147" customFormat="1" x14ac:dyDescent="0.25">
      <c r="A31" s="158" t="s">
        <v>153</v>
      </c>
      <c r="B31" s="159">
        <f>B32+B37+B46+B47</f>
        <v>16162</v>
      </c>
      <c r="C31" s="159">
        <f>C32+C37+C46+C47</f>
        <v>16162</v>
      </c>
      <c r="D31" s="159">
        <f>D32+D37+D46+D47</f>
        <v>16012</v>
      </c>
      <c r="E31" s="159">
        <f>E32+E37+E46+E47</f>
        <v>12019</v>
      </c>
      <c r="F31" s="159">
        <f>F32+F37+F46+F47</f>
        <v>0</v>
      </c>
    </row>
    <row r="32" spans="1:6" s="147" customFormat="1" x14ac:dyDescent="0.25">
      <c r="A32" s="160" t="s">
        <v>154</v>
      </c>
      <c r="B32" s="161">
        <f>SUM(B33:B36)</f>
        <v>16162</v>
      </c>
      <c r="C32" s="161">
        <f>SUM(C33:C36)</f>
        <v>16162</v>
      </c>
      <c r="D32" s="161">
        <f>SUM(D33:D36)</f>
        <v>16012</v>
      </c>
      <c r="E32" s="161">
        <f>SUM(E33:E36)</f>
        <v>12019</v>
      </c>
      <c r="F32" s="161">
        <f>SUM(F33:F36)</f>
        <v>0</v>
      </c>
    </row>
    <row r="33" spans="1:6" s="147" customFormat="1" x14ac:dyDescent="0.25">
      <c r="A33" s="155" t="s">
        <v>155</v>
      </c>
      <c r="B33" s="156"/>
      <c r="C33" s="156"/>
      <c r="D33" s="156"/>
      <c r="E33" s="156"/>
      <c r="F33" s="156"/>
    </row>
    <row r="34" spans="1:6" s="147" customFormat="1" x14ac:dyDescent="0.25">
      <c r="A34" s="155" t="s">
        <v>156</v>
      </c>
      <c r="B34" s="156"/>
      <c r="C34" s="156"/>
      <c r="D34" s="156"/>
      <c r="E34" s="156"/>
      <c r="F34" s="156"/>
    </row>
    <row r="35" spans="1:6" s="147" customFormat="1" x14ac:dyDescent="0.25">
      <c r="A35" s="155" t="s">
        <v>157</v>
      </c>
      <c r="B35" s="156"/>
      <c r="C35" s="156"/>
      <c r="D35" s="156"/>
      <c r="E35" s="156"/>
      <c r="F35" s="156"/>
    </row>
    <row r="36" spans="1:6" s="147" customFormat="1" x14ac:dyDescent="0.25">
      <c r="A36" s="155" t="s">
        <v>158</v>
      </c>
      <c r="B36" s="156">
        <v>16162</v>
      </c>
      <c r="C36" s="156">
        <v>16162</v>
      </c>
      <c r="D36" s="156">
        <v>16012</v>
      </c>
      <c r="E36" s="156">
        <v>12019</v>
      </c>
      <c r="F36" s="156"/>
    </row>
    <row r="37" spans="1:6" s="147" customFormat="1" x14ac:dyDescent="0.25">
      <c r="A37" s="160" t="s">
        <v>159</v>
      </c>
      <c r="B37" s="161">
        <v>0</v>
      </c>
      <c r="C37" s="161">
        <f>SUM(C38:C45)</f>
        <v>0</v>
      </c>
      <c r="D37" s="161">
        <f>SUM(D38:D45)</f>
        <v>0</v>
      </c>
      <c r="E37" s="161">
        <f>SUM(E38:E45)</f>
        <v>0</v>
      </c>
      <c r="F37" s="161">
        <f>SUM(F38:F45)</f>
        <v>0</v>
      </c>
    </row>
    <row r="38" spans="1:6" s="147" customFormat="1" x14ac:dyDescent="0.25">
      <c r="A38" s="155" t="s">
        <v>160</v>
      </c>
      <c r="B38" s="156"/>
      <c r="C38" s="156"/>
      <c r="D38" s="156"/>
      <c r="E38" s="156"/>
      <c r="F38" s="156"/>
    </row>
    <row r="39" spans="1:6" s="147" customFormat="1" x14ac:dyDescent="0.25">
      <c r="A39" s="155" t="s">
        <v>161</v>
      </c>
      <c r="B39" s="156"/>
      <c r="C39" s="156"/>
      <c r="D39" s="156"/>
      <c r="E39" s="156"/>
      <c r="F39" s="156"/>
    </row>
    <row r="40" spans="1:6" s="147" customFormat="1" x14ac:dyDescent="0.25">
      <c r="A40" s="155" t="s">
        <v>162</v>
      </c>
      <c r="B40" s="156"/>
      <c r="C40" s="156"/>
      <c r="D40" s="156"/>
      <c r="E40" s="156"/>
      <c r="F40" s="156"/>
    </row>
    <row r="41" spans="1:6" s="147" customFormat="1" x14ac:dyDescent="0.25">
      <c r="A41" s="155" t="s">
        <v>163</v>
      </c>
      <c r="B41" s="156"/>
      <c r="C41" s="156"/>
      <c r="D41" s="156"/>
      <c r="E41" s="156"/>
      <c r="F41" s="156"/>
    </row>
    <row r="42" spans="1:6" s="147" customFormat="1" x14ac:dyDescent="0.25">
      <c r="A42" s="155" t="s">
        <v>164</v>
      </c>
      <c r="B42" s="156"/>
      <c r="C42" s="156"/>
      <c r="D42" s="156"/>
      <c r="E42" s="156"/>
      <c r="F42" s="156"/>
    </row>
    <row r="43" spans="1:6" s="147" customFormat="1" x14ac:dyDescent="0.25">
      <c r="A43" s="155" t="s">
        <v>165</v>
      </c>
      <c r="B43" s="156"/>
      <c r="C43" s="156"/>
      <c r="D43" s="156"/>
      <c r="E43" s="156"/>
      <c r="F43" s="156"/>
    </row>
    <row r="44" spans="1:6" s="147" customFormat="1" x14ac:dyDescent="0.25">
      <c r="A44" s="155" t="s">
        <v>166</v>
      </c>
      <c r="B44" s="156"/>
      <c r="C44" s="156"/>
      <c r="D44" s="156"/>
      <c r="E44" s="156"/>
      <c r="F44" s="156"/>
    </row>
    <row r="45" spans="1:6" s="147" customFormat="1" x14ac:dyDescent="0.25">
      <c r="A45" s="155" t="s">
        <v>167</v>
      </c>
      <c r="B45" s="156"/>
      <c r="C45" s="156"/>
      <c r="D45" s="156"/>
      <c r="E45" s="156">
        <v>0</v>
      </c>
      <c r="F45" s="156"/>
    </row>
    <row r="46" spans="1:6" s="147" customFormat="1" x14ac:dyDescent="0.25">
      <c r="A46" s="160" t="s">
        <v>168</v>
      </c>
      <c r="B46" s="156"/>
      <c r="C46" s="156"/>
      <c r="D46" s="156"/>
      <c r="E46" s="156"/>
      <c r="F46" s="156"/>
    </row>
    <row r="47" spans="1:6" s="147" customFormat="1" x14ac:dyDescent="0.25">
      <c r="A47" s="160" t="s">
        <v>169</v>
      </c>
      <c r="B47" s="156"/>
      <c r="C47" s="156"/>
      <c r="D47" s="156"/>
      <c r="E47" s="156"/>
      <c r="F47" s="156"/>
    </row>
    <row r="48" spans="1:6" s="147" customFormat="1" x14ac:dyDescent="0.25">
      <c r="A48" s="162"/>
    </row>
    <row r="49" spans="1:6" s="147" customFormat="1" x14ac:dyDescent="0.25">
      <c r="A49" s="153" t="s">
        <v>170</v>
      </c>
      <c r="B49" s="154">
        <f>B51+B58+B74+B83</f>
        <v>3432347</v>
      </c>
      <c r="C49" s="154">
        <f>C51+C58+C74+C83</f>
        <v>3645580</v>
      </c>
      <c r="D49" s="154">
        <f>D51+D58+D74+D83</f>
        <v>3686005</v>
      </c>
      <c r="E49" s="154">
        <f>E51+E58+E74+E83</f>
        <v>4107706</v>
      </c>
      <c r="F49" s="154">
        <f>F51+F58+F74+F83</f>
        <v>0</v>
      </c>
    </row>
    <row r="50" spans="1:6" s="147" customFormat="1" x14ac:dyDescent="0.25">
      <c r="A50" s="163"/>
    </row>
    <row r="51" spans="1:6" s="147" customFormat="1" x14ac:dyDescent="0.25">
      <c r="A51" s="164" t="s">
        <v>171</v>
      </c>
      <c r="B51" s="159">
        <v>0</v>
      </c>
      <c r="C51" s="159">
        <f>SUM(C52:C56)</f>
        <v>0</v>
      </c>
      <c r="D51" s="159">
        <f>SUM(D52:D56)</f>
        <v>0</v>
      </c>
      <c r="E51" s="159">
        <f>SUM(E52:E56)</f>
        <v>0</v>
      </c>
      <c r="F51" s="159">
        <f>SUM(F52:F56)</f>
        <v>0</v>
      </c>
    </row>
    <row r="52" spans="1:6" s="147" customFormat="1" x14ac:dyDescent="0.25">
      <c r="A52" s="155" t="s">
        <v>172</v>
      </c>
      <c r="B52" s="156"/>
      <c r="C52" s="156"/>
      <c r="D52" s="156"/>
      <c r="E52" s="156"/>
      <c r="F52" s="156"/>
    </row>
    <row r="53" spans="1:6" s="147" customFormat="1" x14ac:dyDescent="0.25">
      <c r="A53" s="155" t="s">
        <v>173</v>
      </c>
      <c r="B53" s="156"/>
      <c r="C53" s="156"/>
      <c r="D53" s="156"/>
      <c r="E53" s="156"/>
      <c r="F53" s="156"/>
    </row>
    <row r="54" spans="1:6" s="147" customFormat="1" x14ac:dyDescent="0.25">
      <c r="A54" s="155" t="s">
        <v>174</v>
      </c>
      <c r="B54" s="156"/>
      <c r="C54" s="156"/>
      <c r="D54" s="156"/>
      <c r="E54" s="156"/>
      <c r="F54" s="156"/>
    </row>
    <row r="55" spans="1:6" s="147" customFormat="1" x14ac:dyDescent="0.25">
      <c r="A55" s="155" t="s">
        <v>175</v>
      </c>
      <c r="B55" s="156"/>
      <c r="C55" s="156"/>
      <c r="D55" s="156"/>
      <c r="E55" s="156"/>
      <c r="F55" s="156"/>
    </row>
    <row r="56" spans="1:6" s="147" customFormat="1" x14ac:dyDescent="0.25">
      <c r="A56" s="155" t="s">
        <v>176</v>
      </c>
      <c r="B56" s="156"/>
      <c r="C56" s="156"/>
      <c r="D56" s="156"/>
      <c r="E56" s="156"/>
      <c r="F56" s="156"/>
    </row>
    <row r="57" spans="1:6" s="147" customFormat="1" x14ac:dyDescent="0.25">
      <c r="A57" s="163"/>
    </row>
    <row r="58" spans="1:6" s="147" customFormat="1" x14ac:dyDescent="0.25">
      <c r="A58" s="164" t="s">
        <v>177</v>
      </c>
      <c r="B58" s="159">
        <f>SUM(B59:B72)</f>
        <v>2290501</v>
      </c>
      <c r="C58" s="159">
        <f>SUM(C59:C72)</f>
        <v>2128071</v>
      </c>
      <c r="D58" s="159">
        <f>SUM(D59:D72)</f>
        <v>2372029</v>
      </c>
      <c r="E58" s="159">
        <f>SUM(E59:E72)</f>
        <v>3088051</v>
      </c>
      <c r="F58" s="159">
        <f>SUM(F59:F72)</f>
        <v>0</v>
      </c>
    </row>
    <row r="59" spans="1:6" s="147" customFormat="1" x14ac:dyDescent="0.25">
      <c r="A59" s="155" t="s">
        <v>178</v>
      </c>
      <c r="B59" s="156">
        <f>1166588+447806+14856+628143-52994</f>
        <v>2204399</v>
      </c>
      <c r="C59" s="156">
        <f>1322694+80648+14185+605362-52929</f>
        <v>1969960</v>
      </c>
      <c r="D59" s="156">
        <f>1244905+43491+70404+15703+868223-59801</f>
        <v>2182925</v>
      </c>
      <c r="E59" s="156">
        <f>1904679+40328+114691+7044+987845-134380</f>
        <v>2920207</v>
      </c>
      <c r="F59" s="156"/>
    </row>
    <row r="60" spans="1:6" s="147" customFormat="1" x14ac:dyDescent="0.25">
      <c r="A60" s="155" t="s">
        <v>179</v>
      </c>
      <c r="B60" s="156"/>
      <c r="C60" s="156"/>
      <c r="D60" s="156"/>
      <c r="E60" s="156"/>
      <c r="F60" s="156"/>
    </row>
    <row r="61" spans="1:6" s="147" customFormat="1" x14ac:dyDescent="0.25">
      <c r="A61" s="155" t="s">
        <v>180</v>
      </c>
      <c r="B61" s="156"/>
      <c r="C61" s="156"/>
      <c r="D61" s="156"/>
      <c r="E61" s="156"/>
      <c r="F61" s="156"/>
    </row>
    <row r="62" spans="1:6" s="147" customFormat="1" x14ac:dyDescent="0.25">
      <c r="A62" s="155" t="s">
        <v>181</v>
      </c>
      <c r="B62" s="156"/>
      <c r="C62" s="156"/>
      <c r="D62" s="156"/>
      <c r="E62" s="156"/>
      <c r="F62" s="156"/>
    </row>
    <row r="63" spans="1:6" s="147" customFormat="1" x14ac:dyDescent="0.25">
      <c r="A63" s="155" t="s">
        <v>182</v>
      </c>
      <c r="B63" s="156"/>
      <c r="C63" s="156"/>
      <c r="D63" s="156"/>
      <c r="E63" s="156"/>
      <c r="F63" s="156"/>
    </row>
    <row r="64" spans="1:6" s="147" customFormat="1" x14ac:dyDescent="0.25">
      <c r="A64" s="155" t="s">
        <v>183</v>
      </c>
      <c r="B64" s="156"/>
      <c r="C64" s="156"/>
      <c r="D64" s="156"/>
      <c r="E64" s="156"/>
      <c r="F64" s="156"/>
    </row>
    <row r="65" spans="1:6" s="147" customFormat="1" x14ac:dyDescent="0.25">
      <c r="A65" s="155" t="s">
        <v>184</v>
      </c>
      <c r="B65" s="156"/>
      <c r="C65" s="156"/>
      <c r="D65" s="156"/>
      <c r="E65" s="156"/>
      <c r="F65" s="156"/>
    </row>
    <row r="66" spans="1:6" s="147" customFormat="1" x14ac:dyDescent="0.25">
      <c r="A66" s="155" t="s">
        <v>185</v>
      </c>
      <c r="B66" s="156"/>
      <c r="C66" s="156"/>
      <c r="D66" s="156"/>
      <c r="E66" s="156"/>
      <c r="F66" s="156"/>
    </row>
    <row r="67" spans="1:6" s="147" customFormat="1" x14ac:dyDescent="0.25">
      <c r="A67" s="155" t="s">
        <v>186</v>
      </c>
      <c r="B67" s="156"/>
      <c r="C67" s="156"/>
      <c r="D67" s="156"/>
      <c r="E67" s="156"/>
      <c r="F67" s="156"/>
    </row>
    <row r="68" spans="1:6" s="147" customFormat="1" x14ac:dyDescent="0.25">
      <c r="A68" s="155" t="s">
        <v>187</v>
      </c>
      <c r="B68" s="156"/>
      <c r="C68" s="156"/>
      <c r="D68" s="156"/>
      <c r="E68" s="156"/>
      <c r="F68" s="156"/>
    </row>
    <row r="69" spans="1:6" s="147" customFormat="1" x14ac:dyDescent="0.25">
      <c r="A69" s="155" t="s">
        <v>188</v>
      </c>
      <c r="B69" s="156"/>
      <c r="C69" s="156"/>
      <c r="D69" s="156"/>
      <c r="E69" s="156"/>
      <c r="F69" s="156"/>
    </row>
    <row r="70" spans="1:6" s="147" customFormat="1" x14ac:dyDescent="0.25">
      <c r="A70" s="155" t="s">
        <v>189</v>
      </c>
      <c r="B70" s="156"/>
      <c r="C70" s="156"/>
      <c r="D70" s="156"/>
      <c r="E70" s="156"/>
      <c r="F70" s="156"/>
    </row>
    <row r="71" spans="1:6" s="147" customFormat="1" x14ac:dyDescent="0.25">
      <c r="A71" s="155" t="s">
        <v>190</v>
      </c>
      <c r="B71" s="156">
        <f>2290501-2204399</f>
        <v>86102</v>
      </c>
      <c r="C71" s="156">
        <f>2128071-1969960</f>
        <v>158111</v>
      </c>
      <c r="D71" s="156">
        <f>2372029-2182925</f>
        <v>189104</v>
      </c>
      <c r="E71" s="156">
        <f>9718+43560+114566</f>
        <v>167844</v>
      </c>
      <c r="F71" s="156"/>
    </row>
    <row r="72" spans="1:6" s="147" customFormat="1" x14ac:dyDescent="0.25">
      <c r="A72" s="155" t="s">
        <v>191</v>
      </c>
      <c r="B72" s="156"/>
      <c r="C72" s="156"/>
      <c r="D72" s="156"/>
      <c r="E72" s="156"/>
      <c r="F72" s="156"/>
    </row>
    <row r="73" spans="1:6" s="147" customFormat="1" x14ac:dyDescent="0.25">
      <c r="A73" s="163"/>
    </row>
    <row r="74" spans="1:6" s="147" customFormat="1" x14ac:dyDescent="0.25">
      <c r="A74" s="164" t="s">
        <v>192</v>
      </c>
      <c r="B74" s="159">
        <f>SUM(B75:B81)</f>
        <v>0</v>
      </c>
      <c r="C74" s="159">
        <f>SUM(C75:C81)</f>
        <v>0</v>
      </c>
      <c r="D74" s="159">
        <f>SUM(D75:D81)</f>
        <v>0</v>
      </c>
      <c r="E74" s="159">
        <f>SUM(E75:E81)</f>
        <v>0</v>
      </c>
      <c r="F74" s="159">
        <f>SUM(F75:F81)</f>
        <v>0</v>
      </c>
    </row>
    <row r="75" spans="1:6" s="147" customFormat="1" x14ac:dyDescent="0.25">
      <c r="A75" s="155" t="s">
        <v>193</v>
      </c>
      <c r="B75" s="156"/>
      <c r="C75" s="156"/>
      <c r="D75" s="156"/>
      <c r="E75" s="156"/>
      <c r="F75" s="156"/>
    </row>
    <row r="76" spans="1:6" s="147" customFormat="1" x14ac:dyDescent="0.25">
      <c r="A76" s="155" t="s">
        <v>194</v>
      </c>
      <c r="B76" s="156"/>
      <c r="C76" s="156"/>
      <c r="D76" s="156"/>
      <c r="E76" s="156"/>
      <c r="F76" s="156"/>
    </row>
    <row r="77" spans="1:6" s="147" customFormat="1" x14ac:dyDescent="0.25">
      <c r="A77" s="155" t="s">
        <v>195</v>
      </c>
      <c r="B77" s="156"/>
      <c r="C77" s="156"/>
      <c r="D77" s="156"/>
      <c r="E77" s="156"/>
      <c r="F77" s="156"/>
    </row>
    <row r="78" spans="1:6" s="147" customFormat="1" x14ac:dyDescent="0.25">
      <c r="A78" s="155" t="s">
        <v>196</v>
      </c>
      <c r="B78" s="156"/>
      <c r="C78" s="156"/>
      <c r="D78" s="156"/>
      <c r="E78" s="156"/>
      <c r="F78" s="156"/>
    </row>
    <row r="79" spans="1:6" s="147" customFormat="1" x14ac:dyDescent="0.25">
      <c r="A79" s="155" t="s">
        <v>197</v>
      </c>
      <c r="B79" s="156"/>
      <c r="C79" s="156"/>
      <c r="D79" s="156"/>
      <c r="E79" s="156"/>
      <c r="F79" s="156"/>
    </row>
    <row r="80" spans="1:6" s="147" customFormat="1" x14ac:dyDescent="0.25">
      <c r="A80" s="155" t="s">
        <v>198</v>
      </c>
      <c r="B80" s="156"/>
      <c r="C80" s="156"/>
      <c r="D80" s="156"/>
      <c r="E80" s="156"/>
      <c r="F80" s="156"/>
    </row>
    <row r="81" spans="1:9" s="147" customFormat="1" x14ac:dyDescent="0.25">
      <c r="A81" s="155" t="s">
        <v>199</v>
      </c>
      <c r="B81" s="156"/>
      <c r="C81" s="156"/>
      <c r="D81" s="156"/>
      <c r="E81" s="156"/>
      <c r="F81" s="156"/>
    </row>
    <row r="82" spans="1:9" s="147" customFormat="1" x14ac:dyDescent="0.25">
      <c r="A82" s="163"/>
    </row>
    <row r="83" spans="1:9" s="147" customFormat="1" x14ac:dyDescent="0.25">
      <c r="A83" s="164" t="s">
        <v>200</v>
      </c>
      <c r="B83" s="159">
        <f>SUM(B84:B86)</f>
        <v>1141846</v>
      </c>
      <c r="C83" s="159">
        <f>SUM(C84:C86)</f>
        <v>1517509</v>
      </c>
      <c r="D83" s="159">
        <f>SUM(D84:D86)</f>
        <v>1313976</v>
      </c>
      <c r="E83" s="159">
        <f>SUM(E84:E86)</f>
        <v>1019655</v>
      </c>
      <c r="F83" s="159">
        <f>SUM(F84:F86)</f>
        <v>0</v>
      </c>
    </row>
    <row r="84" spans="1:9" s="147" customFormat="1" x14ac:dyDescent="0.25">
      <c r="A84" s="155" t="s">
        <v>201</v>
      </c>
      <c r="B84" s="156">
        <v>1141846</v>
      </c>
      <c r="C84" s="156">
        <v>1517509</v>
      </c>
      <c r="D84" s="156">
        <v>1313976</v>
      </c>
      <c r="E84" s="156">
        <v>1016112</v>
      </c>
      <c r="F84" s="156"/>
      <c r="I84" s="147">
        <f>+C84-B84</f>
        <v>375663</v>
      </c>
    </row>
    <row r="85" spans="1:9" s="147" customFormat="1" x14ac:dyDescent="0.25">
      <c r="A85" s="155" t="s">
        <v>202</v>
      </c>
      <c r="B85" s="156"/>
      <c r="C85" s="156"/>
      <c r="D85" s="156"/>
      <c r="E85" s="156"/>
      <c r="F85" s="156"/>
    </row>
    <row r="86" spans="1:9" s="147" customFormat="1" x14ac:dyDescent="0.25">
      <c r="A86" s="155" t="s">
        <v>203</v>
      </c>
      <c r="B86" s="156"/>
      <c r="C86" s="156"/>
      <c r="D86" s="156"/>
      <c r="E86" s="156">
        <v>3543</v>
      </c>
      <c r="F86" s="156"/>
    </row>
    <row r="87" spans="1:9" s="147" customFormat="1" x14ac:dyDescent="0.25">
      <c r="A87" s="157"/>
    </row>
    <row r="88" spans="1:9" s="147" customFormat="1" x14ac:dyDescent="0.25">
      <c r="A88" s="165" t="s">
        <v>204</v>
      </c>
      <c r="B88" s="156">
        <v>39884</v>
      </c>
      <c r="C88" s="156">
        <v>35470</v>
      </c>
      <c r="D88" s="156">
        <v>42590</v>
      </c>
      <c r="E88" s="156">
        <v>36574</v>
      </c>
      <c r="F88" s="156"/>
    </row>
    <row r="89" spans="1:9" s="147" customFormat="1" ht="13.8" thickBot="1" x14ac:dyDescent="0.3">
      <c r="A89" s="163"/>
      <c r="I89" s="147">
        <v>4286263</v>
      </c>
    </row>
    <row r="90" spans="1:9" s="147" customFormat="1" ht="13.8" thickBot="1" x14ac:dyDescent="0.3">
      <c r="A90" s="166" t="s">
        <v>205</v>
      </c>
      <c r="B90" s="167">
        <f>B10+B13+B49+B88</f>
        <v>3759433</v>
      </c>
      <c r="C90" s="167">
        <f>C10+C13+C49+C88</f>
        <v>3951635</v>
      </c>
      <c r="D90" s="167">
        <f>D10+D13+D49+D88</f>
        <v>3983068</v>
      </c>
      <c r="E90" s="167">
        <f>E10+E13+E49+E88</f>
        <v>4376164</v>
      </c>
      <c r="F90" s="167">
        <f>F10+F13+F49+F88</f>
        <v>0</v>
      </c>
      <c r="I90" s="147">
        <f>+I89-E90</f>
        <v>-89901</v>
      </c>
    </row>
    <row r="91" spans="1:9" s="147" customFormat="1" x14ac:dyDescent="0.25"/>
    <row r="92" spans="1:9" s="147" customFormat="1" ht="17.399999999999999" x14ac:dyDescent="0.3">
      <c r="A92" s="151" t="s">
        <v>206</v>
      </c>
      <c r="B92" s="152"/>
      <c r="C92" s="152"/>
      <c r="D92" s="152"/>
      <c r="E92" s="152"/>
      <c r="F92" s="152"/>
    </row>
    <row r="93" spans="1:9" s="147" customFormat="1" x14ac:dyDescent="0.25">
      <c r="C93" s="147">
        <f>+C7</f>
        <v>0</v>
      </c>
      <c r="D93" s="147">
        <f>+D7</f>
        <v>0</v>
      </c>
      <c r="E93" s="147">
        <f>+E7</f>
        <v>0</v>
      </c>
      <c r="F93" s="147">
        <f>+F7</f>
        <v>0</v>
      </c>
      <c r="I93" s="147">
        <f>+E90-E144</f>
        <v>0</v>
      </c>
    </row>
    <row r="94" spans="1:9" s="147" customFormat="1" x14ac:dyDescent="0.25">
      <c r="A94" s="168" t="s">
        <v>207</v>
      </c>
      <c r="B94" s="154">
        <f>SUM(B95:B103)</f>
        <v>1424842</v>
      </c>
      <c r="C94" s="154">
        <f>SUM(C95:C103)</f>
        <v>1434317</v>
      </c>
      <c r="D94" s="154">
        <f>SUM(D95:D103)</f>
        <v>1639688</v>
      </c>
      <c r="E94" s="154">
        <f>SUM(E95:E103)</f>
        <v>1861991</v>
      </c>
      <c r="F94" s="154">
        <f>SUM(F95:F103)</f>
        <v>0</v>
      </c>
    </row>
    <row r="95" spans="1:9" s="147" customFormat="1" x14ac:dyDescent="0.25">
      <c r="A95" s="169" t="s">
        <v>208</v>
      </c>
      <c r="B95" s="156">
        <v>45500</v>
      </c>
      <c r="C95" s="156">
        <v>45500</v>
      </c>
      <c r="D95" s="156">
        <v>45500</v>
      </c>
      <c r="E95" s="156">
        <v>45000</v>
      </c>
      <c r="F95" s="156"/>
    </row>
    <row r="96" spans="1:9" s="147" customFormat="1" x14ac:dyDescent="0.25">
      <c r="A96" s="169" t="s">
        <v>209</v>
      </c>
      <c r="B96" s="156">
        <v>2171</v>
      </c>
      <c r="C96" s="156">
        <v>2171</v>
      </c>
      <c r="D96" s="156">
        <v>2171</v>
      </c>
      <c r="E96" s="156">
        <v>2171</v>
      </c>
      <c r="F96" s="156"/>
    </row>
    <row r="97" spans="1:6" s="147" customFormat="1" x14ac:dyDescent="0.25">
      <c r="A97" s="169" t="s">
        <v>210</v>
      </c>
      <c r="B97" s="156"/>
      <c r="C97" s="156"/>
      <c r="D97" s="156"/>
      <c r="E97" s="156"/>
      <c r="F97" s="156"/>
    </row>
    <row r="98" spans="1:6" s="147" customFormat="1" x14ac:dyDescent="0.25">
      <c r="A98" s="169" t="s">
        <v>211</v>
      </c>
      <c r="B98" s="156">
        <v>433349</v>
      </c>
      <c r="C98" s="156">
        <v>433349</v>
      </c>
      <c r="D98" s="156">
        <v>435728</v>
      </c>
      <c r="E98" s="156">
        <v>497411</v>
      </c>
      <c r="F98" s="156"/>
    </row>
    <row r="99" spans="1:6" s="147" customFormat="1" x14ac:dyDescent="0.25">
      <c r="A99" s="169" t="s">
        <v>212</v>
      </c>
      <c r="B99" s="156">
        <v>989819</v>
      </c>
      <c r="C99" s="156">
        <v>943819</v>
      </c>
      <c r="D99" s="156">
        <v>949133</v>
      </c>
      <c r="E99" s="156">
        <f>1085205+1686</f>
        <v>1086891</v>
      </c>
      <c r="F99" s="156"/>
    </row>
    <row r="100" spans="1:6" s="147" customFormat="1" x14ac:dyDescent="0.25">
      <c r="A100" s="169" t="s">
        <v>213</v>
      </c>
      <c r="B100" s="156"/>
      <c r="C100" s="156"/>
      <c r="D100" s="156"/>
      <c r="E100" s="156"/>
      <c r="F100" s="156"/>
    </row>
    <row r="101" spans="1:6" s="147" customFormat="1" x14ac:dyDescent="0.25">
      <c r="A101" s="169" t="s">
        <v>214</v>
      </c>
      <c r="B101" s="156">
        <v>3</v>
      </c>
      <c r="C101" s="156">
        <v>1547</v>
      </c>
      <c r="D101" s="156">
        <v>1547</v>
      </c>
      <c r="E101" s="156">
        <v>1544</v>
      </c>
      <c r="F101" s="156"/>
    </row>
    <row r="102" spans="1:6" s="147" customFormat="1" x14ac:dyDescent="0.25">
      <c r="A102" s="169" t="s">
        <v>215</v>
      </c>
      <c r="B102" s="156"/>
      <c r="C102" s="156"/>
      <c r="D102" s="156"/>
      <c r="E102" s="156"/>
      <c r="F102" s="156"/>
    </row>
    <row r="103" spans="1:6" s="147" customFormat="1" x14ac:dyDescent="0.25">
      <c r="A103" s="169" t="s">
        <v>216</v>
      </c>
      <c r="B103" s="156">
        <v>-46000</v>
      </c>
      <c r="C103" s="156">
        <v>7931</v>
      </c>
      <c r="D103" s="156">
        <v>205609</v>
      </c>
      <c r="E103" s="156">
        <v>228974</v>
      </c>
      <c r="F103" s="156"/>
    </row>
    <row r="104" spans="1:6" s="147" customFormat="1" x14ac:dyDescent="0.25">
      <c r="A104" s="170"/>
    </row>
    <row r="105" spans="1:6" s="147" customFormat="1" x14ac:dyDescent="0.25">
      <c r="A105" s="168" t="s">
        <v>217</v>
      </c>
      <c r="B105" s="154">
        <f>SUM(B106:B108)</f>
        <v>0</v>
      </c>
      <c r="C105" s="154">
        <f>SUM(C106:C108)</f>
        <v>0</v>
      </c>
      <c r="D105" s="154">
        <f>SUM(D106:D108)</f>
        <v>241</v>
      </c>
      <c r="E105" s="154">
        <f>SUM(E106:E108)</f>
        <v>0</v>
      </c>
      <c r="F105" s="154">
        <f>SUM(F106:F108)</f>
        <v>0</v>
      </c>
    </row>
    <row r="106" spans="1:6" s="147" customFormat="1" x14ac:dyDescent="0.25">
      <c r="A106" s="169" t="s">
        <v>218</v>
      </c>
      <c r="B106" s="156"/>
      <c r="C106" s="156"/>
      <c r="D106" s="156"/>
      <c r="E106" s="156"/>
      <c r="F106" s="156"/>
    </row>
    <row r="107" spans="1:6" s="147" customFormat="1" x14ac:dyDescent="0.25">
      <c r="A107" s="169" t="s">
        <v>219</v>
      </c>
      <c r="B107" s="156"/>
      <c r="C107" s="156"/>
      <c r="D107" s="156"/>
      <c r="E107" s="156"/>
      <c r="F107" s="156"/>
    </row>
    <row r="108" spans="1:6" s="147" customFormat="1" x14ac:dyDescent="0.25">
      <c r="A108" s="169" t="s">
        <v>220</v>
      </c>
      <c r="B108" s="156"/>
      <c r="C108" s="156"/>
      <c r="D108" s="156">
        <v>241</v>
      </c>
      <c r="E108" s="156"/>
      <c r="F108" s="156"/>
    </row>
    <row r="109" spans="1:6" s="147" customFormat="1" x14ac:dyDescent="0.25">
      <c r="A109" s="170"/>
    </row>
    <row r="110" spans="1:6" s="147" customFormat="1" x14ac:dyDescent="0.25">
      <c r="A110" s="168" t="s">
        <v>221</v>
      </c>
      <c r="B110" s="156">
        <v>212163</v>
      </c>
      <c r="C110" s="156">
        <v>223339</v>
      </c>
      <c r="D110" s="156">
        <v>250976</v>
      </c>
      <c r="E110" s="156">
        <v>273143</v>
      </c>
      <c r="F110" s="156"/>
    </row>
    <row r="111" spans="1:6" s="147" customFormat="1" x14ac:dyDescent="0.25">
      <c r="A111" s="171"/>
    </row>
    <row r="112" spans="1:6" s="147" customFormat="1" x14ac:dyDescent="0.25">
      <c r="A112" s="168" t="s">
        <v>222</v>
      </c>
      <c r="B112" s="154">
        <f>SUM(B113:B140)</f>
        <v>1959900</v>
      </c>
      <c r="C112" s="154">
        <f>SUM(C113:C140)</f>
        <v>2129442</v>
      </c>
      <c r="D112" s="154">
        <f>SUM(D113:D140)</f>
        <v>1855576</v>
      </c>
      <c r="E112" s="154">
        <f>SUM(E113:E140)</f>
        <v>2062053</v>
      </c>
      <c r="F112" s="154">
        <f>SUM(F113:F140)</f>
        <v>0</v>
      </c>
    </row>
    <row r="113" spans="1:6" s="147" customFormat="1" x14ac:dyDescent="0.25">
      <c r="A113" s="169" t="s">
        <v>223</v>
      </c>
      <c r="B113" s="156"/>
      <c r="C113" s="156"/>
      <c r="D113" s="156"/>
      <c r="E113" s="156"/>
      <c r="F113" s="156"/>
    </row>
    <row r="114" spans="1:6" s="147" customFormat="1" x14ac:dyDescent="0.25">
      <c r="A114" s="169" t="s">
        <v>224</v>
      </c>
      <c r="B114" s="156"/>
      <c r="C114" s="156"/>
      <c r="D114" s="156"/>
      <c r="E114" s="156"/>
      <c r="F114" s="156"/>
    </row>
    <row r="115" spans="1:6" s="147" customFormat="1" x14ac:dyDescent="0.25">
      <c r="A115" s="169" t="s">
        <v>225</v>
      </c>
      <c r="B115" s="156"/>
      <c r="C115" s="156"/>
      <c r="D115" s="156"/>
      <c r="E115" s="156"/>
      <c r="F115" s="156"/>
    </row>
    <row r="116" spans="1:6" s="147" customFormat="1" x14ac:dyDescent="0.25">
      <c r="A116" s="169" t="s">
        <v>226</v>
      </c>
      <c r="B116" s="156"/>
      <c r="C116" s="156"/>
      <c r="D116" s="156"/>
      <c r="E116" s="156"/>
      <c r="F116" s="156"/>
    </row>
    <row r="117" spans="1:6" s="147" customFormat="1" x14ac:dyDescent="0.25">
      <c r="A117" s="169" t="s">
        <v>227</v>
      </c>
      <c r="B117" s="156"/>
      <c r="C117" s="156"/>
      <c r="D117" s="156"/>
      <c r="E117" s="156"/>
      <c r="F117" s="156"/>
    </row>
    <row r="118" spans="1:6" s="147" customFormat="1" x14ac:dyDescent="0.25">
      <c r="A118" s="169" t="s">
        <v>228</v>
      </c>
      <c r="B118" s="156"/>
      <c r="C118" s="156"/>
      <c r="D118" s="156"/>
      <c r="E118" s="156"/>
      <c r="F118" s="156"/>
    </row>
    <row r="119" spans="1:6" s="147" customFormat="1" x14ac:dyDescent="0.25">
      <c r="A119" s="169" t="s">
        <v>229</v>
      </c>
      <c r="B119" s="156">
        <f>22338-19606</f>
        <v>2732</v>
      </c>
      <c r="C119" s="156">
        <v>2012</v>
      </c>
      <c r="D119" s="147">
        <v>2612</v>
      </c>
      <c r="E119" s="156">
        <v>1614</v>
      </c>
      <c r="F119" s="156"/>
    </row>
    <row r="120" spans="1:6" s="147" customFormat="1" x14ac:dyDescent="0.25">
      <c r="A120" s="169" t="s">
        <v>230</v>
      </c>
      <c r="B120" s="156">
        <v>19606</v>
      </c>
      <c r="C120" s="156"/>
      <c r="D120" s="156"/>
      <c r="E120" s="156"/>
      <c r="F120" s="156"/>
    </row>
    <row r="121" spans="1:6" s="147" customFormat="1" x14ac:dyDescent="0.25">
      <c r="A121" s="169" t="s">
        <v>231</v>
      </c>
      <c r="B121" s="156"/>
      <c r="C121" s="156"/>
      <c r="D121" s="156"/>
      <c r="E121" s="156">
        <v>600</v>
      </c>
      <c r="F121" s="156"/>
    </row>
    <row r="122" spans="1:6" s="147" customFormat="1" x14ac:dyDescent="0.25">
      <c r="A122" s="169" t="s">
        <v>232</v>
      </c>
      <c r="B122" s="156"/>
      <c r="C122" s="156"/>
      <c r="D122" s="156"/>
      <c r="E122" s="156"/>
      <c r="F122" s="156"/>
    </row>
    <row r="123" spans="1:6" s="147" customFormat="1" x14ac:dyDescent="0.25">
      <c r="A123" s="169" t="s">
        <v>233</v>
      </c>
      <c r="B123" s="156"/>
      <c r="C123" s="156"/>
      <c r="D123" s="156"/>
      <c r="E123" s="156"/>
      <c r="F123" s="156"/>
    </row>
    <row r="124" spans="1:6" s="147" customFormat="1" x14ac:dyDescent="0.25">
      <c r="A124" s="169" t="s">
        <v>234</v>
      </c>
      <c r="B124" s="156"/>
      <c r="C124" s="156"/>
      <c r="D124" s="156"/>
      <c r="E124" s="156"/>
      <c r="F124" s="156"/>
    </row>
    <row r="125" spans="1:6" s="147" customFormat="1" x14ac:dyDescent="0.25">
      <c r="A125" s="169" t="s">
        <v>235</v>
      </c>
      <c r="B125" s="156">
        <f>5270+665937+33005+1084538</f>
        <v>1788750</v>
      </c>
      <c r="C125" s="156">
        <v>1963470</v>
      </c>
      <c r="D125" s="156">
        <v>1741894</v>
      </c>
      <c r="E125" s="156">
        <f>625430+66719+1161666</f>
        <v>1853815</v>
      </c>
      <c r="F125" s="156"/>
    </row>
    <row r="126" spans="1:6" s="147" customFormat="1" x14ac:dyDescent="0.25">
      <c r="A126" s="169" t="s">
        <v>236</v>
      </c>
      <c r="B126" s="156"/>
      <c r="C126" s="156"/>
      <c r="D126" s="156"/>
      <c r="E126" s="156"/>
      <c r="F126" s="156"/>
    </row>
    <row r="127" spans="1:6" s="147" customFormat="1" x14ac:dyDescent="0.25">
      <c r="A127" s="169" t="s">
        <v>237</v>
      </c>
      <c r="B127" s="156"/>
      <c r="C127" s="156"/>
      <c r="D127" s="156"/>
      <c r="E127" s="156"/>
      <c r="F127" s="156"/>
    </row>
    <row r="128" spans="1:6" s="147" customFormat="1" x14ac:dyDescent="0.25">
      <c r="A128" s="169" t="s">
        <v>238</v>
      </c>
      <c r="B128" s="156"/>
      <c r="C128" s="156"/>
      <c r="D128" s="156"/>
      <c r="E128" s="156"/>
      <c r="F128" s="156"/>
    </row>
    <row r="129" spans="1:8" s="147" customFormat="1" x14ac:dyDescent="0.25">
      <c r="A129" s="169" t="s">
        <v>239</v>
      </c>
      <c r="B129" s="156"/>
      <c r="C129" s="156"/>
      <c r="D129" s="156"/>
      <c r="E129" s="156"/>
      <c r="F129" s="156"/>
    </row>
    <row r="130" spans="1:8" s="147" customFormat="1" x14ac:dyDescent="0.25">
      <c r="A130" s="169" t="s">
        <v>240</v>
      </c>
      <c r="B130" s="156"/>
      <c r="C130" s="156"/>
      <c r="D130" s="156"/>
      <c r="E130" s="156"/>
      <c r="F130" s="156"/>
    </row>
    <row r="131" spans="1:8" s="147" customFormat="1" x14ac:dyDescent="0.25">
      <c r="A131" s="169" t="s">
        <v>241</v>
      </c>
      <c r="B131" s="156"/>
      <c r="C131" s="156"/>
      <c r="D131" s="156"/>
      <c r="E131" s="156"/>
      <c r="F131" s="156"/>
    </row>
    <row r="132" spans="1:8" s="147" customFormat="1" x14ac:dyDescent="0.25">
      <c r="A132" s="169" t="s">
        <v>242</v>
      </c>
      <c r="B132" s="156"/>
      <c r="C132" s="156"/>
      <c r="D132" s="156"/>
      <c r="E132" s="156"/>
      <c r="F132" s="156"/>
    </row>
    <row r="133" spans="1:8" s="147" customFormat="1" x14ac:dyDescent="0.25">
      <c r="A133" s="169" t="s">
        <v>243</v>
      </c>
      <c r="B133" s="156"/>
      <c r="C133" s="156"/>
      <c r="D133" s="156"/>
      <c r="E133" s="156"/>
      <c r="F133" s="156"/>
    </row>
    <row r="134" spans="1:8" s="147" customFormat="1" x14ac:dyDescent="0.25">
      <c r="A134" s="169" t="s">
        <v>244</v>
      </c>
      <c r="B134" s="156"/>
      <c r="C134" s="156"/>
      <c r="D134" s="156"/>
      <c r="E134" s="156"/>
      <c r="F134" s="156"/>
    </row>
    <row r="135" spans="1:8" s="147" customFormat="1" x14ac:dyDescent="0.25">
      <c r="A135" s="169" t="s">
        <v>245</v>
      </c>
      <c r="B135" s="156">
        <v>10056</v>
      </c>
      <c r="C135" s="156">
        <v>13757</v>
      </c>
      <c r="D135" s="156">
        <v>14991</v>
      </c>
      <c r="E135" s="156">
        <v>15711</v>
      </c>
      <c r="F135" s="156"/>
    </row>
    <row r="136" spans="1:8" s="147" customFormat="1" x14ac:dyDescent="0.25">
      <c r="A136" s="169" t="s">
        <v>246</v>
      </c>
      <c r="B136" s="156"/>
      <c r="C136" s="156"/>
      <c r="D136" s="156"/>
      <c r="E136" s="156"/>
      <c r="F136" s="156"/>
    </row>
    <row r="137" spans="1:8" s="147" customFormat="1" x14ac:dyDescent="0.25">
      <c r="A137" s="169" t="s">
        <v>247</v>
      </c>
      <c r="B137" s="156">
        <v>21025</v>
      </c>
      <c r="C137" s="156">
        <f>11439+6+24</f>
        <v>11469</v>
      </c>
      <c r="D137" s="156">
        <v>14385</v>
      </c>
      <c r="E137" s="156">
        <v>22523</v>
      </c>
      <c r="F137" s="156"/>
    </row>
    <row r="138" spans="1:8" s="147" customFormat="1" x14ac:dyDescent="0.25">
      <c r="A138" s="169" t="s">
        <v>248</v>
      </c>
      <c r="B138" s="156"/>
      <c r="C138" s="156"/>
      <c r="D138" s="156"/>
      <c r="E138" s="156"/>
      <c r="F138" s="156"/>
    </row>
    <row r="139" spans="1:8" s="147" customFormat="1" x14ac:dyDescent="0.25">
      <c r="A139" s="169" t="s">
        <v>249</v>
      </c>
      <c r="B139" s="156">
        <f>1959900-1842169</f>
        <v>117731</v>
      </c>
      <c r="C139" s="156">
        <f>2129442-1988696-2012</f>
        <v>138734</v>
      </c>
      <c r="D139" s="156">
        <f>1855576-1773882</f>
        <v>81694</v>
      </c>
      <c r="E139" s="156">
        <f>133362+34428</f>
        <v>167790</v>
      </c>
      <c r="F139" s="156"/>
    </row>
    <row r="140" spans="1:8" s="147" customFormat="1" x14ac:dyDescent="0.25">
      <c r="A140" s="169" t="s">
        <v>250</v>
      </c>
      <c r="B140" s="156"/>
      <c r="C140" s="156"/>
      <c r="D140" s="156"/>
      <c r="E140" s="156"/>
      <c r="F140" s="156"/>
      <c r="H140" s="147">
        <f>+E139+E137+E135+E142-E143+E121</f>
        <v>295701</v>
      </c>
    </row>
    <row r="141" spans="1:8" s="147" customFormat="1" x14ac:dyDescent="0.25">
      <c r="A141" s="171"/>
    </row>
    <row r="142" spans="1:8" s="147" customFormat="1" x14ac:dyDescent="0.25">
      <c r="A142" s="168" t="s">
        <v>251</v>
      </c>
      <c r="B142" s="156">
        <v>162528</v>
      </c>
      <c r="C142" s="156">
        <v>164537</v>
      </c>
      <c r="D142" s="156">
        <v>236587</v>
      </c>
      <c r="E142" s="156">
        <v>178977</v>
      </c>
      <c r="F142" s="156"/>
    </row>
    <row r="143" spans="1:8" s="147" customFormat="1" x14ac:dyDescent="0.25">
      <c r="A143" s="147" t="s">
        <v>252</v>
      </c>
      <c r="B143" s="147">
        <v>110100</v>
      </c>
      <c r="C143" s="147">
        <v>103365</v>
      </c>
      <c r="D143" s="147">
        <v>96631</v>
      </c>
      <c r="E143" s="147">
        <v>89900</v>
      </c>
    </row>
    <row r="144" spans="1:8" s="147" customFormat="1" x14ac:dyDescent="0.25">
      <c r="A144" s="172" t="s">
        <v>253</v>
      </c>
      <c r="B144" s="172">
        <f>B94+B105+B110+B112+B142</f>
        <v>3759433</v>
      </c>
      <c r="C144" s="172">
        <f>C94+C105+C110+C112+C142</f>
        <v>3951635</v>
      </c>
      <c r="D144" s="172">
        <f>D94+D105+D110+D112+D142</f>
        <v>3983068</v>
      </c>
      <c r="E144" s="172">
        <f>E94+E105+E110+E112+E142</f>
        <v>4376164</v>
      </c>
      <c r="F144" s="172">
        <f>F94+F105+F110+F112+F142</f>
        <v>0</v>
      </c>
    </row>
    <row r="145" spans="1:6" s="147" customFormat="1" x14ac:dyDescent="0.25"/>
    <row r="146" spans="1:6" s="147" customFormat="1" x14ac:dyDescent="0.25">
      <c r="A146" s="173" t="s">
        <v>254</v>
      </c>
      <c r="B146" s="174">
        <f>IF((B90-B144)=0,(B90-B144),"ERRORE")</f>
        <v>0</v>
      </c>
      <c r="C146" s="174">
        <f>IF((C90-C144)=0,(C90-C144),"ERRORE")</f>
        <v>0</v>
      </c>
      <c r="D146" s="174">
        <f>IF((D90-D144)=0,(D90-D144),"ERRORE")</f>
        <v>0</v>
      </c>
      <c r="E146" s="174">
        <f>IF((E90-E144)=0,(E90-E144),"ERRORE")</f>
        <v>0</v>
      </c>
      <c r="F146" s="174">
        <f>IF((F90-F144)=0,(F90-F144),"ERRORE")</f>
        <v>0</v>
      </c>
    </row>
    <row r="147" spans="1:6" s="147" customFormat="1" x14ac:dyDescent="0.25">
      <c r="A147" s="147" t="s">
        <v>255</v>
      </c>
      <c r="B147" s="147">
        <f>+B142-B143</f>
        <v>52428</v>
      </c>
      <c r="C147" s="147">
        <f>+C142-C143</f>
        <v>61172</v>
      </c>
      <c r="D147" s="147">
        <f>+D142-D143</f>
        <v>139956</v>
      </c>
      <c r="E147" s="147">
        <f>38+89040</f>
        <v>89078</v>
      </c>
    </row>
    <row r="148" spans="1:6" s="147" customFormat="1" x14ac:dyDescent="0.25"/>
    <row r="149" spans="1:6" s="147" customFormat="1" ht="17.399999999999999" x14ac:dyDescent="0.3">
      <c r="A149" s="251" t="s">
        <v>256</v>
      </c>
      <c r="B149" s="252"/>
      <c r="C149" s="252"/>
      <c r="D149" s="252"/>
      <c r="E149" s="252"/>
      <c r="F149" s="253"/>
    </row>
    <row r="150" spans="1:6" s="147" customFormat="1" x14ac:dyDescent="0.25"/>
    <row r="151" spans="1:6" s="147" customFormat="1" x14ac:dyDescent="0.25"/>
    <row r="152" spans="1:6" s="147" customFormat="1" ht="17.399999999999999" x14ac:dyDescent="0.3">
      <c r="A152" s="151" t="s">
        <v>257</v>
      </c>
      <c r="B152" s="152">
        <f>+B8</f>
        <v>2019</v>
      </c>
      <c r="C152" s="152">
        <f>B152+1</f>
        <v>2020</v>
      </c>
      <c r="D152" s="152">
        <f>C152+1</f>
        <v>2021</v>
      </c>
      <c r="E152" s="152">
        <f>D152+1</f>
        <v>2022</v>
      </c>
      <c r="F152" s="152">
        <f>E152+1</f>
        <v>2023</v>
      </c>
    </row>
    <row r="153" spans="1:6" s="147" customFormat="1" x14ac:dyDescent="0.25"/>
    <row r="154" spans="1:6" s="147" customFormat="1" x14ac:dyDescent="0.25">
      <c r="A154" s="154" t="s">
        <v>258</v>
      </c>
      <c r="B154" s="154">
        <f>B155+B156+B157+B160</f>
        <v>287202</v>
      </c>
      <c r="C154" s="154">
        <f>C155+C156+C157+C160</f>
        <v>270585</v>
      </c>
      <c r="D154" s="154">
        <f>D155+D156+D157+D160</f>
        <v>254473</v>
      </c>
      <c r="E154" s="154">
        <f>E155+E156+E157+E160</f>
        <v>231884</v>
      </c>
      <c r="F154" s="154">
        <f>F155+F156+F157+F160</f>
        <v>0</v>
      </c>
    </row>
    <row r="155" spans="1:6" s="147" customFormat="1" x14ac:dyDescent="0.25">
      <c r="A155" s="172" t="s">
        <v>3</v>
      </c>
      <c r="B155" s="172">
        <f>B15</f>
        <v>208</v>
      </c>
      <c r="C155" s="172">
        <f>C15</f>
        <v>280</v>
      </c>
      <c r="D155" s="172">
        <f>D15</f>
        <v>3687</v>
      </c>
      <c r="E155" s="172">
        <f>E15</f>
        <v>3577</v>
      </c>
      <c r="F155" s="172">
        <f>F15</f>
        <v>0</v>
      </c>
    </row>
    <row r="156" spans="1:6" s="147" customFormat="1" x14ac:dyDescent="0.25">
      <c r="A156" s="172" t="s">
        <v>4</v>
      </c>
      <c r="B156" s="172">
        <f>B24</f>
        <v>270832</v>
      </c>
      <c r="C156" s="172">
        <f>C24</f>
        <v>254143</v>
      </c>
      <c r="D156" s="172">
        <f>D24</f>
        <v>234774</v>
      </c>
      <c r="E156" s="172">
        <f>E24</f>
        <v>216288</v>
      </c>
      <c r="F156" s="172">
        <f>F24</f>
        <v>0</v>
      </c>
    </row>
    <row r="157" spans="1:6" s="147" customFormat="1" x14ac:dyDescent="0.25">
      <c r="A157" s="172" t="s">
        <v>5</v>
      </c>
      <c r="B157" s="172">
        <f>B158+B159</f>
        <v>16162</v>
      </c>
      <c r="C157" s="172">
        <f>C158+C159</f>
        <v>16162</v>
      </c>
      <c r="D157" s="172">
        <f>D158+D159</f>
        <v>16012</v>
      </c>
      <c r="E157" s="172">
        <f>E158+E159</f>
        <v>12019</v>
      </c>
      <c r="F157" s="172">
        <f>F158+F159</f>
        <v>0</v>
      </c>
    </row>
    <row r="158" spans="1:6" s="147" customFormat="1" x14ac:dyDescent="0.25">
      <c r="A158" s="175" t="s">
        <v>259</v>
      </c>
      <c r="B158" s="176">
        <f>B32</f>
        <v>16162</v>
      </c>
      <c r="C158" s="176">
        <f>C32</f>
        <v>16162</v>
      </c>
      <c r="D158" s="176">
        <f>D32</f>
        <v>16012</v>
      </c>
      <c r="E158" s="176">
        <f>E32</f>
        <v>12019</v>
      </c>
      <c r="F158" s="176">
        <f>F32</f>
        <v>0</v>
      </c>
    </row>
    <row r="159" spans="1:6" s="147" customFormat="1" x14ac:dyDescent="0.25">
      <c r="A159" s="175" t="s">
        <v>260</v>
      </c>
      <c r="B159" s="176">
        <f>B39+B41+B43+B45+B46+B47</f>
        <v>0</v>
      </c>
      <c r="C159" s="176">
        <f>C39+C41+C43+C45+C46+C47</f>
        <v>0</v>
      </c>
      <c r="D159" s="176">
        <f>D39+D41+D43+D45+D46+D47</f>
        <v>0</v>
      </c>
      <c r="E159" s="176">
        <f>E39+E41+E43+E45+E46+E47</f>
        <v>0</v>
      </c>
      <c r="F159" s="176">
        <f>F39+F41+F43+F45+F46+F47</f>
        <v>0</v>
      </c>
    </row>
    <row r="160" spans="1:6" s="147" customFormat="1" x14ac:dyDescent="0.25">
      <c r="A160" s="172" t="s">
        <v>261</v>
      </c>
      <c r="B160" s="172">
        <f>B60+B62+B64+B66+B68+B70+B72</f>
        <v>0</v>
      </c>
      <c r="C160" s="172">
        <f>C60+C62+C64+C66+C68+C70+C72</f>
        <v>0</v>
      </c>
      <c r="D160" s="172">
        <f>D60+D62+D64+D66+D68+D70+D72</f>
        <v>0</v>
      </c>
      <c r="E160" s="172">
        <f>E60+E62+E64+E66+E68+E70+E72</f>
        <v>0</v>
      </c>
      <c r="F160" s="172">
        <f>F60+F62+F64+F66+F68+F70+F72</f>
        <v>0</v>
      </c>
    </row>
    <row r="161" spans="1:6" s="147" customFormat="1" x14ac:dyDescent="0.25"/>
    <row r="162" spans="1:6" s="147" customFormat="1" x14ac:dyDescent="0.25">
      <c r="A162" s="154" t="s">
        <v>262</v>
      </c>
      <c r="B162" s="154">
        <f>SUM(B163:B166)</f>
        <v>3472231</v>
      </c>
      <c r="C162" s="154">
        <f>SUM(C163:C166)</f>
        <v>3681050</v>
      </c>
      <c r="D162" s="154">
        <f>SUM(D163:D166)</f>
        <v>3728595</v>
      </c>
      <c r="E162" s="154">
        <f>SUM(E163:E166)</f>
        <v>4144280</v>
      </c>
      <c r="F162" s="154">
        <f>SUM(F163:F166)</f>
        <v>0</v>
      </c>
    </row>
    <row r="163" spans="1:6" s="147" customFormat="1" x14ac:dyDescent="0.25">
      <c r="A163" s="172" t="s">
        <v>263</v>
      </c>
      <c r="B163" s="172">
        <f>B51</f>
        <v>0</v>
      </c>
      <c r="C163" s="172">
        <f>C51</f>
        <v>0</v>
      </c>
      <c r="D163" s="172">
        <f>D51</f>
        <v>0</v>
      </c>
      <c r="E163" s="172">
        <f>E51</f>
        <v>0</v>
      </c>
      <c r="F163" s="172">
        <f>F51</f>
        <v>0</v>
      </c>
    </row>
    <row r="164" spans="1:6" s="147" customFormat="1" x14ac:dyDescent="0.25">
      <c r="A164" s="172" t="s">
        <v>264</v>
      </c>
      <c r="B164" s="172">
        <f>B59+B61+B63+B65+B67+B69+B71+B88+B10</f>
        <v>2330385</v>
      </c>
      <c r="C164" s="172">
        <f>C59+C61+C63+C65+C67+C69+C71+C88+C10</f>
        <v>2163541</v>
      </c>
      <c r="D164" s="172">
        <f>D59+D61+D63+D65+D67+D69+D71+D88+D10</f>
        <v>2414619</v>
      </c>
      <c r="E164" s="172">
        <f>E59+E61+E63+E65+E67+E69+E71+E88+E10</f>
        <v>3124625</v>
      </c>
      <c r="F164" s="172">
        <f>F59+F61+F63+F65+F67+F69+F71+F88+F10</f>
        <v>0</v>
      </c>
    </row>
    <row r="165" spans="1:6" s="147" customFormat="1" x14ac:dyDescent="0.25">
      <c r="A165" s="172" t="s">
        <v>265</v>
      </c>
      <c r="B165" s="172">
        <f>B38+B40+B42+B44+B74</f>
        <v>0</v>
      </c>
      <c r="C165" s="172">
        <f>C38+C40+C42+C44+C74</f>
        <v>0</v>
      </c>
      <c r="D165" s="172">
        <f>D38+D40+D42+D44+D74</f>
        <v>0</v>
      </c>
      <c r="E165" s="172">
        <f>E38+E40+E42+E44+E74</f>
        <v>0</v>
      </c>
      <c r="F165" s="172">
        <f>F38+F40+F42+F44+F74</f>
        <v>0</v>
      </c>
    </row>
    <row r="166" spans="1:6" s="147" customFormat="1" x14ac:dyDescent="0.25">
      <c r="A166" s="172" t="s">
        <v>266</v>
      </c>
      <c r="B166" s="172">
        <f>B83</f>
        <v>1141846</v>
      </c>
      <c r="C166" s="172">
        <f>C83</f>
        <v>1517509</v>
      </c>
      <c r="D166" s="172">
        <f>D83</f>
        <v>1313976</v>
      </c>
      <c r="E166" s="172">
        <f>E83</f>
        <v>1019655</v>
      </c>
      <c r="F166" s="172">
        <f>F83</f>
        <v>0</v>
      </c>
    </row>
    <row r="167" spans="1:6" s="147" customFormat="1" ht="13.8" thickBot="1" x14ac:dyDescent="0.3"/>
    <row r="168" spans="1:6" s="147" customFormat="1" ht="13.8" thickBot="1" x14ac:dyDescent="0.3">
      <c r="A168" s="177" t="s">
        <v>267</v>
      </c>
      <c r="B168" s="167">
        <f>B154+B162</f>
        <v>3759433</v>
      </c>
      <c r="C168" s="167">
        <f>C154+C162</f>
        <v>3951635</v>
      </c>
      <c r="D168" s="167">
        <f>D154+D162</f>
        <v>3983068</v>
      </c>
      <c r="E168" s="167">
        <f>E154+E162</f>
        <v>4376164</v>
      </c>
      <c r="F168" s="178">
        <f>F154+F162</f>
        <v>0</v>
      </c>
    </row>
    <row r="169" spans="1:6" s="147" customFormat="1" x14ac:dyDescent="0.25"/>
    <row r="170" spans="1:6" s="147" customFormat="1" x14ac:dyDescent="0.25">
      <c r="A170" s="154" t="s">
        <v>268</v>
      </c>
      <c r="B170" s="154">
        <f>B94</f>
        <v>1424842</v>
      </c>
      <c r="C170" s="154">
        <f>C94</f>
        <v>1434317</v>
      </c>
      <c r="D170" s="154">
        <f>D94</f>
        <v>1639688</v>
      </c>
      <c r="E170" s="154">
        <f>E94</f>
        <v>1861991</v>
      </c>
      <c r="F170" s="154">
        <f>F94</f>
        <v>0</v>
      </c>
    </row>
    <row r="171" spans="1:6" s="147" customFormat="1" x14ac:dyDescent="0.25"/>
    <row r="172" spans="1:6" s="147" customFormat="1" x14ac:dyDescent="0.25">
      <c r="A172" s="154" t="s">
        <v>269</v>
      </c>
      <c r="B172" s="154">
        <f>SUM(B173:B176)</f>
        <v>231769</v>
      </c>
      <c r="C172" s="154">
        <f>SUM(C173:C176)</f>
        <v>223339</v>
      </c>
      <c r="D172" s="154">
        <f>SUM(D173:D176)</f>
        <v>251217</v>
      </c>
      <c r="E172" s="154">
        <f>SUM(E173:E176)</f>
        <v>273143</v>
      </c>
      <c r="F172" s="154">
        <f>SUM(F173:F176)</f>
        <v>0</v>
      </c>
    </row>
    <row r="173" spans="1:6" s="147" customFormat="1" x14ac:dyDescent="0.25">
      <c r="A173" s="172" t="s">
        <v>270</v>
      </c>
      <c r="B173" s="172">
        <f>B105</f>
        <v>0</v>
      </c>
      <c r="C173" s="172">
        <f>C105</f>
        <v>0</v>
      </c>
      <c r="D173" s="172">
        <f>D105</f>
        <v>241</v>
      </c>
      <c r="E173" s="172">
        <f>E105</f>
        <v>0</v>
      </c>
      <c r="F173" s="172">
        <f>F105</f>
        <v>0</v>
      </c>
    </row>
    <row r="174" spans="1:6" s="147" customFormat="1" x14ac:dyDescent="0.25">
      <c r="A174" s="172" t="s">
        <v>271</v>
      </c>
      <c r="B174" s="172">
        <f>B110</f>
        <v>212163</v>
      </c>
      <c r="C174" s="172">
        <f>C110</f>
        <v>223339</v>
      </c>
      <c r="D174" s="172">
        <f>D110</f>
        <v>250976</v>
      </c>
      <c r="E174" s="172">
        <f>E110</f>
        <v>273143</v>
      </c>
      <c r="F174" s="172">
        <f>F110</f>
        <v>0</v>
      </c>
    </row>
    <row r="175" spans="1:6" s="147" customFormat="1" x14ac:dyDescent="0.25">
      <c r="A175" s="172" t="s">
        <v>272</v>
      </c>
      <c r="B175" s="172">
        <f>B124+B126+B128+B130+B132+B134+B136+B138+B140</f>
        <v>0</v>
      </c>
      <c r="C175" s="172">
        <f>C124+C126+C128+C130+C132+C134+C136+C138+C140</f>
        <v>0</v>
      </c>
      <c r="D175" s="172">
        <f>D124+D126+D128+D130+D132+D134+D136+D138+D140</f>
        <v>0</v>
      </c>
      <c r="E175" s="172">
        <f>E124+E126+E128+E130+E132+E134+E136+E138+E140</f>
        <v>0</v>
      </c>
      <c r="F175" s="172">
        <f>F124+F126+F128+F130+F132+F134+F136+F138+F140</f>
        <v>0</v>
      </c>
    </row>
    <row r="176" spans="1:6" s="147" customFormat="1" x14ac:dyDescent="0.25">
      <c r="A176" s="172" t="s">
        <v>273</v>
      </c>
      <c r="B176" s="172">
        <f>B114+B116+B118+B120+B122</f>
        <v>19606</v>
      </c>
      <c r="C176" s="172">
        <f>C114+C116+C118+C120+C122</f>
        <v>0</v>
      </c>
      <c r="D176" s="172">
        <f>D114+D116+D118+D120+D122</f>
        <v>0</v>
      </c>
      <c r="E176" s="172">
        <f>E114+E116+E118+E120+E122</f>
        <v>0</v>
      </c>
      <c r="F176" s="172">
        <f>F114+F116+F118+F120+F122</f>
        <v>0</v>
      </c>
    </row>
    <row r="177" spans="1:6" s="147" customFormat="1" x14ac:dyDescent="0.25"/>
    <row r="178" spans="1:6" s="147" customFormat="1" x14ac:dyDescent="0.25">
      <c r="A178" s="154" t="s">
        <v>274</v>
      </c>
      <c r="B178" s="154">
        <f>SUM(B179:B183)</f>
        <v>2102822</v>
      </c>
      <c r="C178" s="154">
        <f>SUM(C179:C183)</f>
        <v>2293979</v>
      </c>
      <c r="D178" s="154">
        <f>SUM(D179:D183)</f>
        <v>2092163</v>
      </c>
      <c r="E178" s="154">
        <f>SUM(E179:E183)</f>
        <v>2241030</v>
      </c>
      <c r="F178" s="154">
        <f>SUM(F179:F183)</f>
        <v>0</v>
      </c>
    </row>
    <row r="179" spans="1:6" s="147" customFormat="1" x14ac:dyDescent="0.25">
      <c r="A179" s="172" t="s">
        <v>275</v>
      </c>
      <c r="B179" s="172">
        <f>B119</f>
        <v>2732</v>
      </c>
      <c r="C179" s="172">
        <f>C119</f>
        <v>2012</v>
      </c>
      <c r="D179" s="172">
        <f>D119</f>
        <v>2612</v>
      </c>
      <c r="E179" s="172">
        <f>E119</f>
        <v>1614</v>
      </c>
      <c r="F179" s="172">
        <f>F119</f>
        <v>0</v>
      </c>
    </row>
    <row r="180" spans="1:6" s="147" customFormat="1" x14ac:dyDescent="0.25">
      <c r="A180" s="172" t="s">
        <v>276</v>
      </c>
      <c r="B180" s="172">
        <f>B113+B115+B117+B121</f>
        <v>0</v>
      </c>
      <c r="C180" s="172">
        <f>C113+C115+C117+C121</f>
        <v>0</v>
      </c>
      <c r="D180" s="172">
        <f>D113+D115+D117+D121</f>
        <v>0</v>
      </c>
      <c r="E180" s="172">
        <f>E113+E115+E117+E121</f>
        <v>600</v>
      </c>
      <c r="F180" s="172">
        <f>F113+F115+F117+F121</f>
        <v>0</v>
      </c>
    </row>
    <row r="181" spans="1:6" s="147" customFormat="1" x14ac:dyDescent="0.25">
      <c r="A181" s="172" t="s">
        <v>277</v>
      </c>
      <c r="B181" s="172">
        <f>B123+B125+B127</f>
        <v>1788750</v>
      </c>
      <c r="C181" s="172">
        <f>C123+C125+C127</f>
        <v>1963470</v>
      </c>
      <c r="D181" s="172">
        <f>D123+D125+D127</f>
        <v>1741894</v>
      </c>
      <c r="E181" s="172">
        <f>E123+E125+E127</f>
        <v>1853815</v>
      </c>
      <c r="F181" s="172">
        <f>F123+F125+F127</f>
        <v>0</v>
      </c>
    </row>
    <row r="182" spans="1:6" s="147" customFormat="1" x14ac:dyDescent="0.25">
      <c r="A182" s="172" t="s">
        <v>278</v>
      </c>
      <c r="B182" s="172">
        <f>B135</f>
        <v>10056</v>
      </c>
      <c r="C182" s="172">
        <f>C135</f>
        <v>13757</v>
      </c>
      <c r="D182" s="172">
        <f>D135</f>
        <v>14991</v>
      </c>
      <c r="E182" s="172">
        <f>E135</f>
        <v>15711</v>
      </c>
      <c r="F182" s="172">
        <f>F135</f>
        <v>0</v>
      </c>
    </row>
    <row r="183" spans="1:6" s="147" customFormat="1" x14ac:dyDescent="0.25">
      <c r="A183" s="172" t="s">
        <v>279</v>
      </c>
      <c r="B183" s="172">
        <f>B129+B131+B133+B137+B139+B142</f>
        <v>301284</v>
      </c>
      <c r="C183" s="172">
        <f>C129+C131+C133+C137+C139+C142</f>
        <v>314740</v>
      </c>
      <c r="D183" s="172">
        <f>D129+D131+D133+D137+D139+D142</f>
        <v>332666</v>
      </c>
      <c r="E183" s="172">
        <f>E129+E131+E133+E137+E139+E142</f>
        <v>369290</v>
      </c>
      <c r="F183" s="172">
        <f>F129+F131+F133+F137+F139+F142</f>
        <v>0</v>
      </c>
    </row>
    <row r="184" spans="1:6" s="147" customFormat="1" ht="13.8" thickBot="1" x14ac:dyDescent="0.3"/>
    <row r="185" spans="1:6" s="147" customFormat="1" ht="13.8" thickBot="1" x14ac:dyDescent="0.3">
      <c r="A185" s="177" t="s">
        <v>280</v>
      </c>
      <c r="B185" s="167">
        <f>B170+B172+B178</f>
        <v>3759433</v>
      </c>
      <c r="C185" s="167">
        <f>C170+C172+C178</f>
        <v>3951635</v>
      </c>
      <c r="D185" s="167">
        <f>D170+D172+D178</f>
        <v>3983068</v>
      </c>
      <c r="E185" s="167">
        <f>E170+E172+E178</f>
        <v>4376164</v>
      </c>
      <c r="F185" s="178">
        <f>F170+F172+F178</f>
        <v>0</v>
      </c>
    </row>
    <row r="188" spans="1:6" ht="17.399999999999999" x14ac:dyDescent="0.3">
      <c r="A188" s="179" t="s">
        <v>257</v>
      </c>
      <c r="B188" s="180">
        <f>B152</f>
        <v>2019</v>
      </c>
      <c r="C188" s="180">
        <f>B188+1</f>
        <v>2020</v>
      </c>
      <c r="D188" s="180">
        <f>C188+1</f>
        <v>2021</v>
      </c>
      <c r="E188" s="180">
        <f>D188+1</f>
        <v>2022</v>
      </c>
      <c r="F188" s="180">
        <f>E188+1</f>
        <v>2023</v>
      </c>
    </row>
    <row r="190" spans="1:6" x14ac:dyDescent="0.25">
      <c r="A190" s="182" t="s">
        <v>258</v>
      </c>
      <c r="B190" s="183">
        <f t="shared" ref="B190:B196" si="0">B154/$B$168</f>
        <v>7.6395030846406892E-2</v>
      </c>
      <c r="C190" s="183">
        <f>C154/$C$168</f>
        <v>6.8474188532088615E-2</v>
      </c>
      <c r="D190" s="183">
        <f>D154/$D$168</f>
        <v>6.3888690828276098E-2</v>
      </c>
      <c r="E190" s="183">
        <f>E154/$E$168</f>
        <v>5.2987959317795222E-2</v>
      </c>
      <c r="F190" s="183" t="e">
        <f>F154/$F$168</f>
        <v>#DIV/0!</v>
      </c>
    </row>
    <row r="191" spans="1:6" x14ac:dyDescent="0.25">
      <c r="A191" s="184" t="s">
        <v>3</v>
      </c>
      <c r="B191" s="185">
        <f t="shared" si="0"/>
        <v>5.5327492204276551E-5</v>
      </c>
      <c r="C191" s="185">
        <f t="shared" ref="C191:C202" si="1">C155/$C$168</f>
        <v>7.0856746637784111E-5</v>
      </c>
      <c r="D191" s="185">
        <f t="shared" ref="D191:D202" si="2">D155/$D$168</f>
        <v>9.2566835414308773E-4</v>
      </c>
      <c r="E191" s="185">
        <f t="shared" ref="E191:E202" si="3">E155/$E$168</f>
        <v>8.1738252953956938E-4</v>
      </c>
      <c r="F191" s="185" t="e">
        <f t="shared" ref="F191:F202" si="4">F155/$F$168</f>
        <v>#DIV/0!</v>
      </c>
    </row>
    <row r="192" spans="1:6" x14ac:dyDescent="0.25">
      <c r="A192" s="184" t="s">
        <v>4</v>
      </c>
      <c r="B192" s="185">
        <f t="shared" si="0"/>
        <v>7.2040650810906853E-2</v>
      </c>
      <c r="C192" s="185">
        <f t="shared" si="1"/>
        <v>6.4313379145594166E-2</v>
      </c>
      <c r="D192" s="185">
        <f t="shared" si="2"/>
        <v>5.894300574331144E-2</v>
      </c>
      <c r="E192" s="185">
        <f t="shared" si="3"/>
        <v>4.9424107506025827E-2</v>
      </c>
      <c r="F192" s="185" t="e">
        <f t="shared" si="4"/>
        <v>#DIV/0!</v>
      </c>
    </row>
    <row r="193" spans="1:6" x14ac:dyDescent="0.25">
      <c r="A193" s="184" t="s">
        <v>5</v>
      </c>
      <c r="B193" s="185">
        <f t="shared" si="0"/>
        <v>4.2990525432957576E-3</v>
      </c>
      <c r="C193" s="185">
        <f t="shared" si="1"/>
        <v>4.0899526398566668E-3</v>
      </c>
      <c r="D193" s="185">
        <f t="shared" si="2"/>
        <v>4.0200167308215677E-3</v>
      </c>
      <c r="E193" s="185">
        <f t="shared" si="3"/>
        <v>2.7464692822298251E-3</v>
      </c>
      <c r="F193" s="185" t="e">
        <f t="shared" si="4"/>
        <v>#DIV/0!</v>
      </c>
    </row>
    <row r="194" spans="1:6" x14ac:dyDescent="0.25">
      <c r="A194" s="186" t="s">
        <v>259</v>
      </c>
      <c r="B194" s="187">
        <f t="shared" si="0"/>
        <v>4.2990525432957576E-3</v>
      </c>
      <c r="C194" s="187">
        <f t="shared" si="1"/>
        <v>4.0899526398566668E-3</v>
      </c>
      <c r="D194" s="187">
        <f t="shared" si="2"/>
        <v>4.0200167308215677E-3</v>
      </c>
      <c r="E194" s="187">
        <f t="shared" si="3"/>
        <v>2.7464692822298251E-3</v>
      </c>
      <c r="F194" s="187" t="e">
        <f t="shared" si="4"/>
        <v>#DIV/0!</v>
      </c>
    </row>
    <row r="195" spans="1:6" x14ac:dyDescent="0.25">
      <c r="A195" s="186" t="s">
        <v>260</v>
      </c>
      <c r="B195" s="187">
        <f t="shared" si="0"/>
        <v>0</v>
      </c>
      <c r="C195" s="187">
        <f t="shared" si="1"/>
        <v>0</v>
      </c>
      <c r="D195" s="187">
        <f t="shared" si="2"/>
        <v>0</v>
      </c>
      <c r="E195" s="187">
        <f t="shared" si="3"/>
        <v>0</v>
      </c>
      <c r="F195" s="187" t="e">
        <f t="shared" si="4"/>
        <v>#DIV/0!</v>
      </c>
    </row>
    <row r="196" spans="1:6" x14ac:dyDescent="0.25">
      <c r="A196" s="184" t="s">
        <v>261</v>
      </c>
      <c r="B196" s="185">
        <f t="shared" si="0"/>
        <v>0</v>
      </c>
      <c r="C196" s="185">
        <f t="shared" si="1"/>
        <v>0</v>
      </c>
      <c r="D196" s="185">
        <f t="shared" si="2"/>
        <v>0</v>
      </c>
      <c r="E196" s="185">
        <f t="shared" si="3"/>
        <v>0</v>
      </c>
      <c r="F196" s="185" t="e">
        <f t="shared" si="4"/>
        <v>#DIV/0!</v>
      </c>
    </row>
    <row r="197" spans="1:6" x14ac:dyDescent="0.25">
      <c r="B197" s="188"/>
      <c r="C197" s="188"/>
      <c r="D197" s="188"/>
      <c r="E197" s="188"/>
      <c r="F197" s="188"/>
    </row>
    <row r="198" spans="1:6" x14ac:dyDescent="0.25">
      <c r="A198" s="182" t="s">
        <v>262</v>
      </c>
      <c r="B198" s="183">
        <f>B162/$B$168</f>
        <v>0.92360496915359314</v>
      </c>
      <c r="C198" s="183">
        <f t="shared" si="1"/>
        <v>0.93152581146791136</v>
      </c>
      <c r="D198" s="183">
        <f t="shared" si="2"/>
        <v>0.93611130917172392</v>
      </c>
      <c r="E198" s="183">
        <f t="shared" si="3"/>
        <v>0.94701204068220479</v>
      </c>
      <c r="F198" s="183" t="e">
        <f t="shared" si="4"/>
        <v>#DIV/0!</v>
      </c>
    </row>
    <row r="199" spans="1:6" x14ac:dyDescent="0.25">
      <c r="A199" s="184" t="s">
        <v>263</v>
      </c>
      <c r="B199" s="185">
        <f>B163/$B$168</f>
        <v>0</v>
      </c>
      <c r="C199" s="185">
        <f t="shared" si="1"/>
        <v>0</v>
      </c>
      <c r="D199" s="185">
        <f t="shared" si="2"/>
        <v>0</v>
      </c>
      <c r="E199" s="185">
        <f t="shared" si="3"/>
        <v>0</v>
      </c>
      <c r="F199" s="185" t="e">
        <f t="shared" si="4"/>
        <v>#DIV/0!</v>
      </c>
    </row>
    <row r="200" spans="1:6" x14ac:dyDescent="0.25">
      <c r="A200" s="184" t="s">
        <v>264</v>
      </c>
      <c r="B200" s="185">
        <f>B164/$B$168</f>
        <v>0.61987672077145672</v>
      </c>
      <c r="C200" s="185">
        <f t="shared" si="1"/>
        <v>0.54750527313377884</v>
      </c>
      <c r="D200" s="185">
        <f t="shared" si="2"/>
        <v>0.60622088299772936</v>
      </c>
      <c r="E200" s="185">
        <f t="shared" si="3"/>
        <v>0.71401003253077355</v>
      </c>
      <c r="F200" s="185" t="e">
        <f t="shared" si="4"/>
        <v>#DIV/0!</v>
      </c>
    </row>
    <row r="201" spans="1:6" x14ac:dyDescent="0.25">
      <c r="A201" s="184" t="s">
        <v>265</v>
      </c>
      <c r="B201" s="185">
        <f>B165/$B$168</f>
        <v>0</v>
      </c>
      <c r="C201" s="185">
        <f t="shared" si="1"/>
        <v>0</v>
      </c>
      <c r="D201" s="185">
        <f t="shared" si="2"/>
        <v>0</v>
      </c>
      <c r="E201" s="185">
        <f t="shared" si="3"/>
        <v>0</v>
      </c>
      <c r="F201" s="185" t="e">
        <f t="shared" si="4"/>
        <v>#DIV/0!</v>
      </c>
    </row>
    <row r="202" spans="1:6" x14ac:dyDescent="0.25">
      <c r="A202" s="184" t="s">
        <v>266</v>
      </c>
      <c r="B202" s="185">
        <f>B166/$B$168</f>
        <v>0.30372824838213636</v>
      </c>
      <c r="C202" s="185">
        <f t="shared" si="1"/>
        <v>0.38402053833413258</v>
      </c>
      <c r="D202" s="185">
        <f t="shared" si="2"/>
        <v>0.3298904261739945</v>
      </c>
      <c r="E202" s="185">
        <f t="shared" si="3"/>
        <v>0.23300200815143127</v>
      </c>
      <c r="F202" s="185" t="e">
        <f t="shared" si="4"/>
        <v>#DIV/0!</v>
      </c>
    </row>
    <row r="203" spans="1:6" ht="13.8" thickBot="1" x14ac:dyDescent="0.3">
      <c r="B203" s="189"/>
      <c r="C203" s="189"/>
      <c r="D203" s="189"/>
      <c r="E203" s="189"/>
      <c r="F203" s="189"/>
    </row>
    <row r="204" spans="1:6" ht="13.8" thickBot="1" x14ac:dyDescent="0.3">
      <c r="A204" s="190" t="s">
        <v>267</v>
      </c>
      <c r="B204" s="191">
        <f>B190+B198</f>
        <v>1</v>
      </c>
      <c r="C204" s="191">
        <f>C190+C198</f>
        <v>1</v>
      </c>
      <c r="D204" s="191">
        <f>D190+D198</f>
        <v>1</v>
      </c>
      <c r="E204" s="191">
        <f>E190+E198</f>
        <v>1</v>
      </c>
      <c r="F204" s="192" t="e">
        <f>F190+F198</f>
        <v>#DIV/0!</v>
      </c>
    </row>
    <row r="206" spans="1:6" x14ac:dyDescent="0.25">
      <c r="A206" s="182" t="s">
        <v>268</v>
      </c>
      <c r="B206" s="183">
        <f>B170/B185</f>
        <v>0.37900449349675869</v>
      </c>
      <c r="C206" s="183">
        <f>C170/C185</f>
        <v>0.36296798666880925</v>
      </c>
      <c r="D206" s="183">
        <f>D170/D185</f>
        <v>0.41166457615084651</v>
      </c>
      <c r="E206" s="183">
        <f>E170/E185</f>
        <v>0.42548473960299477</v>
      </c>
      <c r="F206" s="183" t="e">
        <f>F170/F185</f>
        <v>#DIV/0!</v>
      </c>
    </row>
    <row r="207" spans="1:6" x14ac:dyDescent="0.25">
      <c r="B207" s="189"/>
      <c r="C207" s="189"/>
      <c r="D207" s="189"/>
      <c r="E207" s="189"/>
      <c r="F207" s="189"/>
    </row>
    <row r="208" spans="1:6" x14ac:dyDescent="0.25">
      <c r="A208" s="182" t="s">
        <v>269</v>
      </c>
      <c r="B208" s="183">
        <f>B172/$B$185</f>
        <v>6.1649988176408516E-2</v>
      </c>
      <c r="C208" s="183">
        <f>C172/$C$185</f>
        <v>5.6518124776200232E-2</v>
      </c>
      <c r="D208" s="183">
        <f>D172/$D$185</f>
        <v>6.307123051878602E-2</v>
      </c>
      <c r="E208" s="183">
        <f>E172/$E$185</f>
        <v>6.2416079470513447E-2</v>
      </c>
      <c r="F208" s="183" t="e">
        <f>F172/$F$185</f>
        <v>#DIV/0!</v>
      </c>
    </row>
    <row r="209" spans="1:6" x14ac:dyDescent="0.25">
      <c r="A209" s="184" t="s">
        <v>270</v>
      </c>
      <c r="B209" s="185">
        <f t="shared" ref="B209:B219" si="5">B173/$B$185</f>
        <v>0</v>
      </c>
      <c r="C209" s="185">
        <f t="shared" ref="C209:C219" si="6">C173/$C$185</f>
        <v>0</v>
      </c>
      <c r="D209" s="185">
        <f t="shared" ref="D209:D219" si="7">D173/$D$185</f>
        <v>6.0506122416187721E-5</v>
      </c>
      <c r="E209" s="185">
        <f t="shared" ref="E209:E219" si="8">E173/$E$185</f>
        <v>0</v>
      </c>
      <c r="F209" s="185" t="e">
        <f t="shared" ref="F209:F219" si="9">F173/$F$185</f>
        <v>#DIV/0!</v>
      </c>
    </row>
    <row r="210" spans="1:6" x14ac:dyDescent="0.25">
      <c r="A210" s="184" t="s">
        <v>271</v>
      </c>
      <c r="B210" s="185">
        <f t="shared" si="5"/>
        <v>5.6434840041038103E-2</v>
      </c>
      <c r="C210" s="185">
        <f t="shared" si="6"/>
        <v>5.6518124776200232E-2</v>
      </c>
      <c r="D210" s="185">
        <f t="shared" si="7"/>
        <v>6.301072439636983E-2</v>
      </c>
      <c r="E210" s="185">
        <f t="shared" si="8"/>
        <v>6.2416079470513447E-2</v>
      </c>
      <c r="F210" s="185" t="e">
        <f t="shared" si="9"/>
        <v>#DIV/0!</v>
      </c>
    </row>
    <row r="211" spans="1:6" x14ac:dyDescent="0.25">
      <c r="A211" s="184" t="s">
        <v>272</v>
      </c>
      <c r="B211" s="185">
        <f t="shared" si="5"/>
        <v>0</v>
      </c>
      <c r="C211" s="185">
        <f t="shared" si="6"/>
        <v>0</v>
      </c>
      <c r="D211" s="185">
        <f t="shared" si="7"/>
        <v>0</v>
      </c>
      <c r="E211" s="185">
        <f t="shared" si="8"/>
        <v>0</v>
      </c>
      <c r="F211" s="185" t="e">
        <f t="shared" si="9"/>
        <v>#DIV/0!</v>
      </c>
    </row>
    <row r="212" spans="1:6" x14ac:dyDescent="0.25">
      <c r="A212" s="184" t="s">
        <v>273</v>
      </c>
      <c r="B212" s="185">
        <f t="shared" si="5"/>
        <v>5.2151481353704138E-3</v>
      </c>
      <c r="C212" s="185">
        <f t="shared" si="6"/>
        <v>0</v>
      </c>
      <c r="D212" s="185">
        <f t="shared" si="7"/>
        <v>0</v>
      </c>
      <c r="E212" s="185">
        <f t="shared" si="8"/>
        <v>0</v>
      </c>
      <c r="F212" s="185" t="e">
        <f t="shared" si="9"/>
        <v>#DIV/0!</v>
      </c>
    </row>
    <row r="213" spans="1:6" x14ac:dyDescent="0.25">
      <c r="B213" s="188"/>
      <c r="C213" s="188"/>
      <c r="D213" s="188"/>
      <c r="E213" s="188"/>
      <c r="F213" s="188"/>
    </row>
    <row r="214" spans="1:6" x14ac:dyDescent="0.25">
      <c r="A214" s="182" t="s">
        <v>274</v>
      </c>
      <c r="B214" s="183">
        <f t="shared" si="5"/>
        <v>0.55934551832683277</v>
      </c>
      <c r="C214" s="183">
        <f t="shared" si="6"/>
        <v>0.58051388855499053</v>
      </c>
      <c r="D214" s="183">
        <f t="shared" si="7"/>
        <v>0.52526419333036745</v>
      </c>
      <c r="E214" s="183">
        <f t="shared" si="8"/>
        <v>0.51209918092649176</v>
      </c>
      <c r="F214" s="183" t="e">
        <f t="shared" si="9"/>
        <v>#DIV/0!</v>
      </c>
    </row>
    <row r="215" spans="1:6" x14ac:dyDescent="0.25">
      <c r="A215" s="184" t="s">
        <v>275</v>
      </c>
      <c r="B215" s="185">
        <f t="shared" si="5"/>
        <v>7.2670533029847847E-4</v>
      </c>
      <c r="C215" s="185">
        <f t="shared" si="6"/>
        <v>5.0915633655436291E-4</v>
      </c>
      <c r="D215" s="185">
        <f t="shared" si="7"/>
        <v>6.5577589938208437E-4</v>
      </c>
      <c r="E215" s="185">
        <f t="shared" si="8"/>
        <v>3.6881615954063878E-4</v>
      </c>
      <c r="F215" s="185" t="e">
        <f t="shared" si="9"/>
        <v>#DIV/0!</v>
      </c>
    </row>
    <row r="216" spans="1:6" x14ac:dyDescent="0.25">
      <c r="A216" s="184" t="s">
        <v>276</v>
      </c>
      <c r="B216" s="185">
        <f t="shared" si="5"/>
        <v>0</v>
      </c>
      <c r="C216" s="185">
        <f t="shared" si="6"/>
        <v>0</v>
      </c>
      <c r="D216" s="185">
        <f t="shared" si="7"/>
        <v>0</v>
      </c>
      <c r="E216" s="185">
        <f t="shared" si="8"/>
        <v>1.3710637901138988E-4</v>
      </c>
      <c r="F216" s="185" t="e">
        <f t="shared" si="9"/>
        <v>#DIV/0!</v>
      </c>
    </row>
    <row r="217" spans="1:6" x14ac:dyDescent="0.25">
      <c r="A217" s="184" t="s">
        <v>277</v>
      </c>
      <c r="B217" s="185">
        <f t="shared" si="5"/>
        <v>0.47580313307884459</v>
      </c>
      <c r="C217" s="185">
        <f t="shared" si="6"/>
        <v>0.49687534400317845</v>
      </c>
      <c r="D217" s="185">
        <f t="shared" si="7"/>
        <v>0.43732469543577968</v>
      </c>
      <c r="E217" s="185">
        <f t="shared" si="8"/>
        <v>0.42361643667833287</v>
      </c>
      <c r="F217" s="185" t="e">
        <f t="shared" si="9"/>
        <v>#DIV/0!</v>
      </c>
    </row>
    <row r="218" spans="1:6" x14ac:dyDescent="0.25">
      <c r="A218" s="184" t="s">
        <v>278</v>
      </c>
      <c r="B218" s="185">
        <f t="shared" si="5"/>
        <v>2.6748714500298316E-3</v>
      </c>
      <c r="C218" s="185">
        <f t="shared" si="6"/>
        <v>3.4813437981999857E-3</v>
      </c>
      <c r="D218" s="185">
        <f t="shared" si="7"/>
        <v>3.7636816644857681E-3</v>
      </c>
      <c r="E218" s="185">
        <f t="shared" si="8"/>
        <v>3.5901305344132441E-3</v>
      </c>
      <c r="F218" s="185" t="e">
        <f t="shared" si="9"/>
        <v>#DIV/0!</v>
      </c>
    </row>
    <row r="219" spans="1:6" x14ac:dyDescent="0.25">
      <c r="A219" s="184" t="s">
        <v>279</v>
      </c>
      <c r="B219" s="185">
        <f t="shared" si="5"/>
        <v>8.0140808467659877E-2</v>
      </c>
      <c r="C219" s="185">
        <f t="shared" si="6"/>
        <v>7.9648044417057751E-2</v>
      </c>
      <c r="D219" s="185">
        <f t="shared" si="7"/>
        <v>8.3520040330719941E-2</v>
      </c>
      <c r="E219" s="185">
        <f t="shared" si="8"/>
        <v>8.4386691175193623E-2</v>
      </c>
      <c r="F219" s="185" t="e">
        <f t="shared" si="9"/>
        <v>#DIV/0!</v>
      </c>
    </row>
    <row r="220" spans="1:6" ht="13.8" thickBot="1" x14ac:dyDescent="0.3">
      <c r="B220" s="189"/>
      <c r="C220" s="189"/>
      <c r="D220" s="189"/>
      <c r="E220" s="189"/>
      <c r="F220" s="189"/>
    </row>
    <row r="221" spans="1:6" ht="13.8" thickBot="1" x14ac:dyDescent="0.3">
      <c r="A221" s="190" t="s">
        <v>280</v>
      </c>
      <c r="B221" s="191">
        <f>B206+B208+B214</f>
        <v>1</v>
      </c>
      <c r="C221" s="191">
        <f>C206+C208+C214</f>
        <v>1</v>
      </c>
      <c r="D221" s="191">
        <f>D206+D208+D214</f>
        <v>1</v>
      </c>
      <c r="E221" s="191">
        <f>E206+E208+E214</f>
        <v>1</v>
      </c>
      <c r="F221" s="192" t="e">
        <f>F206+F208+F214</f>
        <v>#DIV/0!</v>
      </c>
    </row>
    <row r="224" spans="1:6" ht="17.399999999999999" x14ac:dyDescent="0.3">
      <c r="A224" s="254" t="s">
        <v>281</v>
      </c>
      <c r="B224" s="255"/>
      <c r="C224" s="255"/>
      <c r="D224" s="255"/>
      <c r="E224" s="255"/>
      <c r="F224" s="256"/>
    </row>
    <row r="227" spans="1:6" ht="17.399999999999999" x14ac:dyDescent="0.3">
      <c r="A227" s="179" t="s">
        <v>257</v>
      </c>
      <c r="B227" s="180">
        <f>B188</f>
        <v>2019</v>
      </c>
      <c r="C227" s="180">
        <f>B227+1</f>
        <v>2020</v>
      </c>
      <c r="D227" s="180">
        <f>C227+1</f>
        <v>2021</v>
      </c>
      <c r="E227" s="180">
        <f>D227+1</f>
        <v>2022</v>
      </c>
      <c r="F227" s="180">
        <f>E227+1</f>
        <v>2023</v>
      </c>
    </row>
    <row r="229" spans="1:6" s="147" customFormat="1" x14ac:dyDescent="0.25">
      <c r="A229" s="154" t="s">
        <v>282</v>
      </c>
      <c r="B229" s="154">
        <f>SUM(B230:B232)</f>
        <v>271040</v>
      </c>
      <c r="C229" s="154">
        <f>SUM(C230:C232)</f>
        <v>254423</v>
      </c>
      <c r="D229" s="154">
        <f>SUM(D230:D232)</f>
        <v>238461</v>
      </c>
      <c r="E229" s="154">
        <f>SUM(E230:E232)</f>
        <v>219865</v>
      </c>
      <c r="F229" s="154">
        <f>SUM(F230:F232)</f>
        <v>0</v>
      </c>
    </row>
    <row r="230" spans="1:6" s="147" customFormat="1" x14ac:dyDescent="0.25">
      <c r="A230" s="172" t="s">
        <v>3</v>
      </c>
      <c r="B230" s="172">
        <f t="shared" ref="B230:F231" si="10">B155</f>
        <v>208</v>
      </c>
      <c r="C230" s="172">
        <f t="shared" si="10"/>
        <v>280</v>
      </c>
      <c r="D230" s="172">
        <f t="shared" si="10"/>
        <v>3687</v>
      </c>
      <c r="E230" s="172">
        <f t="shared" si="10"/>
        <v>3577</v>
      </c>
      <c r="F230" s="172">
        <f t="shared" si="10"/>
        <v>0</v>
      </c>
    </row>
    <row r="231" spans="1:6" s="147" customFormat="1" x14ac:dyDescent="0.25">
      <c r="A231" s="172" t="s">
        <v>4</v>
      </c>
      <c r="B231" s="172">
        <f t="shared" si="10"/>
        <v>270832</v>
      </c>
      <c r="C231" s="172">
        <f t="shared" si="10"/>
        <v>254143</v>
      </c>
      <c r="D231" s="172">
        <f t="shared" si="10"/>
        <v>234774</v>
      </c>
      <c r="E231" s="172">
        <f t="shared" si="10"/>
        <v>216288</v>
      </c>
      <c r="F231" s="172">
        <f t="shared" si="10"/>
        <v>0</v>
      </c>
    </row>
    <row r="232" spans="1:6" s="147" customFormat="1" x14ac:dyDescent="0.25">
      <c r="A232" s="172" t="s">
        <v>261</v>
      </c>
      <c r="B232" s="172">
        <f>B160</f>
        <v>0</v>
      </c>
      <c r="C232" s="172">
        <f>C160</f>
        <v>0</v>
      </c>
      <c r="D232" s="172">
        <f>D160</f>
        <v>0</v>
      </c>
      <c r="E232" s="172">
        <f>E160</f>
        <v>0</v>
      </c>
      <c r="F232" s="172">
        <f>F160</f>
        <v>0</v>
      </c>
    </row>
    <row r="233" spans="1:6" s="147" customFormat="1" x14ac:dyDescent="0.25"/>
    <row r="234" spans="1:6" s="147" customFormat="1" x14ac:dyDescent="0.25">
      <c r="A234" s="154" t="s">
        <v>283</v>
      </c>
      <c r="B234" s="154">
        <f>B235+B236</f>
        <v>2330385</v>
      </c>
      <c r="C234" s="154">
        <f>C235+C236</f>
        <v>2163541</v>
      </c>
      <c r="D234" s="154">
        <f>D235+D236</f>
        <v>2414619</v>
      </c>
      <c r="E234" s="154">
        <f>E235+E236</f>
        <v>3124625</v>
      </c>
      <c r="F234" s="154">
        <f>F235+F236</f>
        <v>0</v>
      </c>
    </row>
    <row r="235" spans="1:6" s="147" customFormat="1" x14ac:dyDescent="0.25">
      <c r="A235" s="172" t="s">
        <v>263</v>
      </c>
      <c r="B235" s="172">
        <f t="shared" ref="B235:F236" si="11">B163</f>
        <v>0</v>
      </c>
      <c r="C235" s="172">
        <f t="shared" si="11"/>
        <v>0</v>
      </c>
      <c r="D235" s="172">
        <f t="shared" si="11"/>
        <v>0</v>
      </c>
      <c r="E235" s="172">
        <f t="shared" si="11"/>
        <v>0</v>
      </c>
      <c r="F235" s="172">
        <f t="shared" si="11"/>
        <v>0</v>
      </c>
    </row>
    <row r="236" spans="1:6" s="147" customFormat="1" x14ac:dyDescent="0.25">
      <c r="A236" s="172" t="s">
        <v>264</v>
      </c>
      <c r="B236" s="172">
        <f t="shared" si="11"/>
        <v>2330385</v>
      </c>
      <c r="C236" s="172">
        <f t="shared" si="11"/>
        <v>2163541</v>
      </c>
      <c r="D236" s="172">
        <f t="shared" si="11"/>
        <v>2414619</v>
      </c>
      <c r="E236" s="172">
        <f t="shared" si="11"/>
        <v>3124625</v>
      </c>
      <c r="F236" s="172">
        <f t="shared" si="11"/>
        <v>0</v>
      </c>
    </row>
    <row r="237" spans="1:6" s="147" customFormat="1" x14ac:dyDescent="0.25"/>
    <row r="238" spans="1:6" s="147" customFormat="1" x14ac:dyDescent="0.25">
      <c r="A238" s="154" t="s">
        <v>284</v>
      </c>
      <c r="B238" s="154">
        <f>B239+B240</f>
        <v>16162</v>
      </c>
      <c r="C238" s="154">
        <f>C239+C240</f>
        <v>16162</v>
      </c>
      <c r="D238" s="154">
        <f>D239+D240</f>
        <v>16012</v>
      </c>
      <c r="E238" s="154">
        <f>E239+E240</f>
        <v>12019</v>
      </c>
      <c r="F238" s="154">
        <f>F239+F240</f>
        <v>0</v>
      </c>
    </row>
    <row r="239" spans="1:6" s="147" customFormat="1" x14ac:dyDescent="0.25">
      <c r="A239" s="193" t="s">
        <v>285</v>
      </c>
      <c r="B239" s="172">
        <f t="shared" ref="B239:F240" si="12">B158</f>
        <v>16162</v>
      </c>
      <c r="C239" s="172">
        <f t="shared" si="12"/>
        <v>16162</v>
      </c>
      <c r="D239" s="172">
        <f t="shared" si="12"/>
        <v>16012</v>
      </c>
      <c r="E239" s="172">
        <f t="shared" si="12"/>
        <v>12019</v>
      </c>
      <c r="F239" s="172">
        <f t="shared" si="12"/>
        <v>0</v>
      </c>
    </row>
    <row r="240" spans="1:6" s="147" customFormat="1" x14ac:dyDescent="0.25">
      <c r="A240" s="193" t="s">
        <v>286</v>
      </c>
      <c r="B240" s="172">
        <f t="shared" si="12"/>
        <v>0</v>
      </c>
      <c r="C240" s="172">
        <f t="shared" si="12"/>
        <v>0</v>
      </c>
      <c r="D240" s="172">
        <f t="shared" si="12"/>
        <v>0</v>
      </c>
      <c r="E240" s="172">
        <f t="shared" si="12"/>
        <v>0</v>
      </c>
      <c r="F240" s="172">
        <f t="shared" si="12"/>
        <v>0</v>
      </c>
    </row>
    <row r="241" spans="1:6" s="147" customFormat="1" x14ac:dyDescent="0.25"/>
    <row r="242" spans="1:6" s="147" customFormat="1" x14ac:dyDescent="0.25">
      <c r="A242" s="154" t="s">
        <v>287</v>
      </c>
      <c r="B242" s="154">
        <f>B243+B244</f>
        <v>1141846</v>
      </c>
      <c r="C242" s="154">
        <f>C243+C244</f>
        <v>1517509</v>
      </c>
      <c r="D242" s="154">
        <f>D243+D244</f>
        <v>1313976</v>
      </c>
      <c r="E242" s="154">
        <f>E243+E244</f>
        <v>1019655</v>
      </c>
      <c r="F242" s="154">
        <f>F243+F244</f>
        <v>0</v>
      </c>
    </row>
    <row r="243" spans="1:6" s="147" customFormat="1" x14ac:dyDescent="0.25">
      <c r="A243" s="172" t="s">
        <v>265</v>
      </c>
      <c r="B243" s="172">
        <f t="shared" ref="B243:F244" si="13">B165</f>
        <v>0</v>
      </c>
      <c r="C243" s="172">
        <f t="shared" si="13"/>
        <v>0</v>
      </c>
      <c r="D243" s="172">
        <f t="shared" si="13"/>
        <v>0</v>
      </c>
      <c r="E243" s="172">
        <f t="shared" si="13"/>
        <v>0</v>
      </c>
      <c r="F243" s="172">
        <f t="shared" si="13"/>
        <v>0</v>
      </c>
    </row>
    <row r="244" spans="1:6" s="147" customFormat="1" x14ac:dyDescent="0.25">
      <c r="A244" s="172" t="s">
        <v>266</v>
      </c>
      <c r="B244" s="172">
        <f t="shared" si="13"/>
        <v>1141846</v>
      </c>
      <c r="C244" s="172">
        <f t="shared" si="13"/>
        <v>1517509</v>
      </c>
      <c r="D244" s="172">
        <f t="shared" si="13"/>
        <v>1313976</v>
      </c>
      <c r="E244" s="172">
        <f t="shared" si="13"/>
        <v>1019655</v>
      </c>
      <c r="F244" s="172">
        <f t="shared" si="13"/>
        <v>0</v>
      </c>
    </row>
    <row r="245" spans="1:6" s="147" customFormat="1" ht="13.8" thickBot="1" x14ac:dyDescent="0.3"/>
    <row r="246" spans="1:6" s="147" customFormat="1" ht="13.8" thickBot="1" x14ac:dyDescent="0.3">
      <c r="A246" s="177" t="s">
        <v>267</v>
      </c>
      <c r="B246" s="167">
        <f>B229+B234+B238+B242</f>
        <v>3759433</v>
      </c>
      <c r="C246" s="167">
        <f>C229+C234+C238+C242</f>
        <v>3951635</v>
      </c>
      <c r="D246" s="167">
        <f>D229+D234+D238+D242</f>
        <v>3983068</v>
      </c>
      <c r="E246" s="167">
        <f>E229+E234+E238+E242</f>
        <v>4376164</v>
      </c>
      <c r="F246" s="178">
        <f>F229+F234+F238+F242</f>
        <v>0</v>
      </c>
    </row>
    <row r="247" spans="1:6" s="147" customFormat="1" x14ac:dyDescent="0.25"/>
    <row r="248" spans="1:6" s="147" customFormat="1" x14ac:dyDescent="0.25">
      <c r="A248" s="154" t="s">
        <v>268</v>
      </c>
      <c r="B248" s="154">
        <f>B170</f>
        <v>1424842</v>
      </c>
      <c r="C248" s="154">
        <f>C170</f>
        <v>1434317</v>
      </c>
      <c r="D248" s="154">
        <f>D170</f>
        <v>1639688</v>
      </c>
      <c r="E248" s="154">
        <f>E170</f>
        <v>1861991</v>
      </c>
      <c r="F248" s="154">
        <f>F170</f>
        <v>0</v>
      </c>
    </row>
    <row r="249" spans="1:6" s="147" customFormat="1" x14ac:dyDescent="0.25"/>
    <row r="250" spans="1:6" s="147" customFormat="1" x14ac:dyDescent="0.25">
      <c r="A250" s="154" t="s">
        <v>288</v>
      </c>
      <c r="B250" s="154">
        <f>SUM(B251:B253)</f>
        <v>212163</v>
      </c>
      <c r="C250" s="154">
        <f>SUM(C251:C253)</f>
        <v>223339</v>
      </c>
      <c r="D250" s="154">
        <f>SUM(D251:D253)</f>
        <v>251217</v>
      </c>
      <c r="E250" s="154">
        <f>SUM(E251:E253)</f>
        <v>273143</v>
      </c>
      <c r="F250" s="154">
        <f>SUM(F251:F253)</f>
        <v>0</v>
      </c>
    </row>
    <row r="251" spans="1:6" s="147" customFormat="1" x14ac:dyDescent="0.25">
      <c r="A251" s="172" t="s">
        <v>270</v>
      </c>
      <c r="B251" s="172">
        <f>B173</f>
        <v>0</v>
      </c>
      <c r="C251" s="172">
        <f>C173</f>
        <v>0</v>
      </c>
      <c r="D251" s="172">
        <f>D173</f>
        <v>241</v>
      </c>
      <c r="E251" s="172">
        <f>E173</f>
        <v>0</v>
      </c>
      <c r="F251" s="172">
        <f>F173</f>
        <v>0</v>
      </c>
    </row>
    <row r="252" spans="1:6" s="147" customFormat="1" x14ac:dyDescent="0.25">
      <c r="A252" s="172" t="s">
        <v>271</v>
      </c>
      <c r="B252" s="172">
        <f t="shared" ref="B252:F253" si="14">B174</f>
        <v>212163</v>
      </c>
      <c r="C252" s="172">
        <f t="shared" si="14"/>
        <v>223339</v>
      </c>
      <c r="D252" s="172">
        <f t="shared" si="14"/>
        <v>250976</v>
      </c>
      <c r="E252" s="172">
        <f t="shared" si="14"/>
        <v>273143</v>
      </c>
      <c r="F252" s="172">
        <f t="shared" si="14"/>
        <v>0</v>
      </c>
    </row>
    <row r="253" spans="1:6" s="147" customFormat="1" x14ac:dyDescent="0.25">
      <c r="A253" s="172" t="s">
        <v>272</v>
      </c>
      <c r="B253" s="172">
        <f t="shared" si="14"/>
        <v>0</v>
      </c>
      <c r="C253" s="172">
        <f t="shared" si="14"/>
        <v>0</v>
      </c>
      <c r="D253" s="172">
        <f t="shared" si="14"/>
        <v>0</v>
      </c>
      <c r="E253" s="172">
        <f t="shared" si="14"/>
        <v>0</v>
      </c>
      <c r="F253" s="172">
        <f t="shared" si="14"/>
        <v>0</v>
      </c>
    </row>
    <row r="254" spans="1:6" s="147" customFormat="1" x14ac:dyDescent="0.25"/>
    <row r="255" spans="1:6" s="147" customFormat="1" x14ac:dyDescent="0.25">
      <c r="A255" s="154" t="s">
        <v>289</v>
      </c>
      <c r="B255" s="154">
        <f>SUM(B256:B258)</f>
        <v>2100090</v>
      </c>
      <c r="C255" s="154">
        <f>SUM(C256:C258)</f>
        <v>2291967</v>
      </c>
      <c r="D255" s="154">
        <f>SUM(D256:D258)</f>
        <v>2089551</v>
      </c>
      <c r="E255" s="154">
        <f>SUM(E256:E258)</f>
        <v>2238816</v>
      </c>
      <c r="F255" s="154">
        <f>SUM(F256:F258)</f>
        <v>0</v>
      </c>
    </row>
    <row r="256" spans="1:6" s="147" customFormat="1" x14ac:dyDescent="0.25">
      <c r="A256" s="172" t="s">
        <v>277</v>
      </c>
      <c r="B256" s="172">
        <f>B181</f>
        <v>1788750</v>
      </c>
      <c r="C256" s="172">
        <f>C181</f>
        <v>1963470</v>
      </c>
      <c r="D256" s="172">
        <f>D181</f>
        <v>1741894</v>
      </c>
      <c r="E256" s="172">
        <f>E181</f>
        <v>1853815</v>
      </c>
      <c r="F256" s="172">
        <f>F181</f>
        <v>0</v>
      </c>
    </row>
    <row r="257" spans="1:6" s="147" customFormat="1" x14ac:dyDescent="0.25">
      <c r="A257" s="172" t="s">
        <v>278</v>
      </c>
      <c r="B257" s="172">
        <f t="shared" ref="B257:F258" si="15">B182</f>
        <v>10056</v>
      </c>
      <c r="C257" s="172">
        <f t="shared" si="15"/>
        <v>13757</v>
      </c>
      <c r="D257" s="172">
        <f t="shared" si="15"/>
        <v>14991</v>
      </c>
      <c r="E257" s="172">
        <f t="shared" si="15"/>
        <v>15711</v>
      </c>
      <c r="F257" s="172">
        <f t="shared" si="15"/>
        <v>0</v>
      </c>
    </row>
    <row r="258" spans="1:6" s="147" customFormat="1" x14ac:dyDescent="0.25">
      <c r="A258" s="172" t="s">
        <v>279</v>
      </c>
      <c r="B258" s="172">
        <f t="shared" si="15"/>
        <v>301284</v>
      </c>
      <c r="C258" s="172">
        <f t="shared" si="15"/>
        <v>314740</v>
      </c>
      <c r="D258" s="172">
        <f t="shared" si="15"/>
        <v>332666</v>
      </c>
      <c r="E258" s="172">
        <f t="shared" si="15"/>
        <v>369290</v>
      </c>
      <c r="F258" s="172">
        <f t="shared" si="15"/>
        <v>0</v>
      </c>
    </row>
    <row r="259" spans="1:6" s="147" customFormat="1" x14ac:dyDescent="0.25"/>
    <row r="260" spans="1:6" s="147" customFormat="1" x14ac:dyDescent="0.25">
      <c r="A260" s="154" t="s">
        <v>290</v>
      </c>
      <c r="B260" s="154">
        <f>B261</f>
        <v>19606</v>
      </c>
      <c r="C260" s="154">
        <f>C261</f>
        <v>0</v>
      </c>
      <c r="D260" s="154">
        <f>D261</f>
        <v>0</v>
      </c>
      <c r="E260" s="154">
        <f>E261</f>
        <v>0</v>
      </c>
      <c r="F260" s="154">
        <f>F261</f>
        <v>0</v>
      </c>
    </row>
    <row r="261" spans="1:6" s="147" customFormat="1" x14ac:dyDescent="0.25">
      <c r="A261" s="172" t="s">
        <v>273</v>
      </c>
      <c r="B261" s="172">
        <f>B176</f>
        <v>19606</v>
      </c>
      <c r="C261" s="172">
        <f>C176</f>
        <v>0</v>
      </c>
      <c r="D261" s="172">
        <f>D176</f>
        <v>0</v>
      </c>
      <c r="E261" s="172">
        <f>E176</f>
        <v>0</v>
      </c>
      <c r="F261" s="172">
        <f>F176</f>
        <v>0</v>
      </c>
    </row>
    <row r="262" spans="1:6" s="147" customFormat="1" x14ac:dyDescent="0.25"/>
    <row r="263" spans="1:6" s="147" customFormat="1" x14ac:dyDescent="0.25">
      <c r="A263" s="154" t="s">
        <v>291</v>
      </c>
      <c r="B263" s="154">
        <f>B264+B265</f>
        <v>2732</v>
      </c>
      <c r="C263" s="154">
        <f>C264+C265</f>
        <v>2012</v>
      </c>
      <c r="D263" s="154">
        <f>D264+D265</f>
        <v>2612</v>
      </c>
      <c r="E263" s="154">
        <f>E264+E265</f>
        <v>2214</v>
      </c>
      <c r="F263" s="154">
        <f>F264+F265</f>
        <v>0</v>
      </c>
    </row>
    <row r="264" spans="1:6" s="147" customFormat="1" x14ac:dyDescent="0.25">
      <c r="A264" s="172" t="s">
        <v>275</v>
      </c>
      <c r="B264" s="172">
        <f t="shared" ref="B264:F265" si="16">B179</f>
        <v>2732</v>
      </c>
      <c r="C264" s="172">
        <f t="shared" si="16"/>
        <v>2012</v>
      </c>
      <c r="D264" s="172">
        <f t="shared" si="16"/>
        <v>2612</v>
      </c>
      <c r="E264" s="172">
        <f t="shared" si="16"/>
        <v>1614</v>
      </c>
      <c r="F264" s="172">
        <f t="shared" si="16"/>
        <v>0</v>
      </c>
    </row>
    <row r="265" spans="1:6" s="147" customFormat="1" x14ac:dyDescent="0.25">
      <c r="A265" s="172" t="s">
        <v>276</v>
      </c>
      <c r="B265" s="172">
        <f t="shared" si="16"/>
        <v>0</v>
      </c>
      <c r="C265" s="172">
        <f t="shared" si="16"/>
        <v>0</v>
      </c>
      <c r="D265" s="172">
        <f t="shared" si="16"/>
        <v>0</v>
      </c>
      <c r="E265" s="172">
        <f t="shared" si="16"/>
        <v>600</v>
      </c>
      <c r="F265" s="172">
        <f t="shared" si="16"/>
        <v>0</v>
      </c>
    </row>
    <row r="266" spans="1:6" s="147" customFormat="1" ht="13.8" thickBot="1" x14ac:dyDescent="0.3"/>
    <row r="267" spans="1:6" s="147" customFormat="1" ht="13.8" thickBot="1" x14ac:dyDescent="0.3">
      <c r="A267" s="177" t="s">
        <v>280</v>
      </c>
      <c r="B267" s="167">
        <f>B248+B250+B255+B260+B263</f>
        <v>3759433</v>
      </c>
      <c r="C267" s="167">
        <f>C248+C250+C255+C260+C263</f>
        <v>3951635</v>
      </c>
      <c r="D267" s="167">
        <f>D248+D250+D255+D260+D263</f>
        <v>3983068</v>
      </c>
      <c r="E267" s="167">
        <f>E248+E250+E255+E260+E263</f>
        <v>4376164</v>
      </c>
      <c r="F267" s="167">
        <f>F248+F250+F255+F260+F263</f>
        <v>0</v>
      </c>
    </row>
    <row r="268" spans="1:6" s="147" customFormat="1" x14ac:dyDescent="0.25"/>
    <row r="269" spans="1:6" s="147" customFormat="1" x14ac:dyDescent="0.25"/>
    <row r="270" spans="1:6" s="195" customFormat="1" x14ac:dyDescent="0.25">
      <c r="A270" s="194" t="s">
        <v>292</v>
      </c>
      <c r="B270" s="172">
        <f>B229-B250</f>
        <v>58877</v>
      </c>
      <c r="C270" s="172">
        <f>C229-C250</f>
        <v>31084</v>
      </c>
      <c r="D270" s="172">
        <f>D229-D250</f>
        <v>-12756</v>
      </c>
      <c r="E270" s="172">
        <f>E229-E250</f>
        <v>-53278</v>
      </c>
      <c r="F270" s="172">
        <f>F229-F250</f>
        <v>0</v>
      </c>
    </row>
    <row r="271" spans="1:6" s="195" customFormat="1" x14ac:dyDescent="0.25">
      <c r="A271" s="194" t="s">
        <v>293</v>
      </c>
      <c r="B271" s="172">
        <f>B234+B238-B255</f>
        <v>246457</v>
      </c>
      <c r="C271" s="172">
        <f>C234-C255</f>
        <v>-128426</v>
      </c>
      <c r="D271" s="172">
        <f>D234-D255</f>
        <v>325068</v>
      </c>
      <c r="E271" s="172">
        <f>E234-E255</f>
        <v>885809</v>
      </c>
      <c r="F271" s="172">
        <f>F234-F255</f>
        <v>0</v>
      </c>
    </row>
    <row r="272" spans="1:6" s="195" customFormat="1" x14ac:dyDescent="0.25">
      <c r="A272" s="196" t="s">
        <v>294</v>
      </c>
      <c r="B272" s="154">
        <f>B270+B271</f>
        <v>305334</v>
      </c>
      <c r="C272" s="154">
        <f>C270+C271</f>
        <v>-97342</v>
      </c>
      <c r="D272" s="154">
        <f>D270+D271</f>
        <v>312312</v>
      </c>
      <c r="E272" s="154">
        <f>E270+E271</f>
        <v>832531</v>
      </c>
      <c r="F272" s="154">
        <f>F270+F271</f>
        <v>0</v>
      </c>
    </row>
    <row r="273" spans="1:6" s="195" customFormat="1" x14ac:dyDescent="0.25">
      <c r="A273" s="194" t="s">
        <v>295</v>
      </c>
      <c r="B273" s="172">
        <f>B248</f>
        <v>1424842</v>
      </c>
      <c r="C273" s="172">
        <f>C248</f>
        <v>1434317</v>
      </c>
      <c r="D273" s="172">
        <f>D248</f>
        <v>1639688</v>
      </c>
      <c r="E273" s="172">
        <f>E248</f>
        <v>1861991</v>
      </c>
      <c r="F273" s="172">
        <f>F248</f>
        <v>0</v>
      </c>
    </row>
    <row r="274" spans="1:6" s="195" customFormat="1" x14ac:dyDescent="0.25">
      <c r="A274" s="194" t="s">
        <v>296</v>
      </c>
      <c r="B274" s="172">
        <f>B260-B238</f>
        <v>3444</v>
      </c>
      <c r="C274" s="172">
        <f>C260-C238</f>
        <v>-16162</v>
      </c>
      <c r="D274" s="172">
        <f>D260-D238</f>
        <v>-16012</v>
      </c>
      <c r="E274" s="172">
        <f>E260-E238</f>
        <v>-12019</v>
      </c>
      <c r="F274" s="172">
        <f>F260-F238</f>
        <v>0</v>
      </c>
    </row>
    <row r="275" spans="1:6" s="195" customFormat="1" x14ac:dyDescent="0.25">
      <c r="A275" s="194" t="s">
        <v>297</v>
      </c>
      <c r="B275" s="172">
        <f>B263-B242</f>
        <v>-1139114</v>
      </c>
      <c r="C275" s="172">
        <f>C263-C242</f>
        <v>-1515497</v>
      </c>
      <c r="D275" s="172">
        <f>D263-D242</f>
        <v>-1311364</v>
      </c>
      <c r="E275" s="172">
        <f>E263-E242</f>
        <v>-1017441</v>
      </c>
      <c r="F275" s="172">
        <f>F263-F242</f>
        <v>0</v>
      </c>
    </row>
    <row r="276" spans="1:6" s="195" customFormat="1" x14ac:dyDescent="0.25">
      <c r="A276" s="196" t="s">
        <v>298</v>
      </c>
      <c r="B276" s="154">
        <f>B273+B274+B275</f>
        <v>289172</v>
      </c>
      <c r="C276" s="154">
        <f>C273+C274+C275</f>
        <v>-97342</v>
      </c>
      <c r="D276" s="154">
        <f>D273+D274+D275</f>
        <v>312312</v>
      </c>
      <c r="E276" s="154">
        <f>E273+E274+E275</f>
        <v>832531</v>
      </c>
      <c r="F276" s="154">
        <f>F273+F274+F275</f>
        <v>0</v>
      </c>
    </row>
    <row r="277" spans="1:6" s="147" customFormat="1" x14ac:dyDescent="0.25"/>
    <row r="278" spans="1:6" s="147" customFormat="1" x14ac:dyDescent="0.25"/>
    <row r="279" spans="1:6" s="147" customFormat="1" x14ac:dyDescent="0.25">
      <c r="A279" s="194" t="s">
        <v>292</v>
      </c>
      <c r="B279" s="172">
        <f t="shared" ref="B279:F280" si="17">B270</f>
        <v>58877</v>
      </c>
      <c r="C279" s="172">
        <f t="shared" si="17"/>
        <v>31084</v>
      </c>
      <c r="D279" s="172">
        <f t="shared" si="17"/>
        <v>-12756</v>
      </c>
      <c r="E279" s="172">
        <f t="shared" si="17"/>
        <v>-53278</v>
      </c>
      <c r="F279" s="172">
        <f t="shared" si="17"/>
        <v>0</v>
      </c>
    </row>
    <row r="280" spans="1:6" s="147" customFormat="1" x14ac:dyDescent="0.25">
      <c r="A280" s="194" t="s">
        <v>293</v>
      </c>
      <c r="B280" s="172">
        <f t="shared" si="17"/>
        <v>246457</v>
      </c>
      <c r="C280" s="172">
        <f t="shared" si="17"/>
        <v>-128426</v>
      </c>
      <c r="D280" s="172">
        <f t="shared" si="17"/>
        <v>325068</v>
      </c>
      <c r="E280" s="172">
        <f t="shared" si="17"/>
        <v>885809</v>
      </c>
      <c r="F280" s="172">
        <f t="shared" si="17"/>
        <v>0</v>
      </c>
    </row>
    <row r="281" spans="1:6" s="147" customFormat="1" x14ac:dyDescent="0.25">
      <c r="A281" s="196" t="s">
        <v>294</v>
      </c>
      <c r="B281" s="154">
        <f>B279+B280</f>
        <v>305334</v>
      </c>
      <c r="C281" s="154">
        <f>C279+C280</f>
        <v>-97342</v>
      </c>
      <c r="D281" s="154">
        <f>D279+D280</f>
        <v>312312</v>
      </c>
      <c r="E281" s="154">
        <f>E279+E280</f>
        <v>832531</v>
      </c>
      <c r="F281" s="154">
        <f>F279+F280</f>
        <v>0</v>
      </c>
    </row>
    <row r="282" spans="1:6" s="147" customFormat="1" x14ac:dyDescent="0.25">
      <c r="A282" s="194" t="s">
        <v>299</v>
      </c>
      <c r="B282" s="172">
        <f>B238</f>
        <v>16162</v>
      </c>
      <c r="C282" s="172">
        <f>C238</f>
        <v>16162</v>
      </c>
      <c r="D282" s="172">
        <f>D238</f>
        <v>16012</v>
      </c>
      <c r="E282" s="172">
        <f>E238</f>
        <v>12019</v>
      </c>
      <c r="F282" s="172">
        <f>F238</f>
        <v>0</v>
      </c>
    </row>
    <row r="283" spans="1:6" s="147" customFormat="1" x14ac:dyDescent="0.25">
      <c r="A283" s="194" t="s">
        <v>300</v>
      </c>
      <c r="B283" s="172">
        <f>B242</f>
        <v>1141846</v>
      </c>
      <c r="C283" s="172">
        <f>C242</f>
        <v>1517509</v>
      </c>
      <c r="D283" s="172">
        <f>D242</f>
        <v>1313976</v>
      </c>
      <c r="E283" s="172">
        <f>E242</f>
        <v>1019655</v>
      </c>
      <c r="F283" s="172">
        <f>F242</f>
        <v>0</v>
      </c>
    </row>
    <row r="284" spans="1:6" s="147" customFormat="1" x14ac:dyDescent="0.25">
      <c r="A284" s="196" t="s">
        <v>301</v>
      </c>
      <c r="B284" s="154">
        <f>B281+B282+B283</f>
        <v>1463342</v>
      </c>
      <c r="C284" s="154">
        <f>C281+C282+C283</f>
        <v>1436329</v>
      </c>
      <c r="D284" s="154">
        <f>D281+D282+D283</f>
        <v>1642300</v>
      </c>
      <c r="E284" s="154">
        <f>E281+E282+E283</f>
        <v>1864205</v>
      </c>
      <c r="F284" s="154">
        <f>F281+F282+F283</f>
        <v>0</v>
      </c>
    </row>
    <row r="285" spans="1:6" s="147" customFormat="1" x14ac:dyDescent="0.25">
      <c r="A285" s="194" t="s">
        <v>295</v>
      </c>
      <c r="B285" s="172">
        <f>B248</f>
        <v>1424842</v>
      </c>
      <c r="C285" s="172">
        <f>C248</f>
        <v>1434317</v>
      </c>
      <c r="D285" s="172">
        <f>D248</f>
        <v>1639688</v>
      </c>
      <c r="E285" s="172">
        <f>E248</f>
        <v>1861991</v>
      </c>
      <c r="F285" s="172">
        <f>F248</f>
        <v>0</v>
      </c>
    </row>
    <row r="286" spans="1:6" s="147" customFormat="1" x14ac:dyDescent="0.25">
      <c r="A286" s="194" t="s">
        <v>302</v>
      </c>
      <c r="B286" s="172">
        <f>B260</f>
        <v>19606</v>
      </c>
      <c r="C286" s="172">
        <f>C260</f>
        <v>0</v>
      </c>
      <c r="D286" s="172">
        <f>D260</f>
        <v>0</v>
      </c>
      <c r="E286" s="172">
        <f>E260</f>
        <v>0</v>
      </c>
      <c r="F286" s="172">
        <f>F260</f>
        <v>0</v>
      </c>
    </row>
    <row r="287" spans="1:6" s="147" customFormat="1" x14ac:dyDescent="0.25">
      <c r="A287" s="194" t="s">
        <v>303</v>
      </c>
      <c r="B287" s="172">
        <f>B263</f>
        <v>2732</v>
      </c>
      <c r="C287" s="172">
        <f>C263</f>
        <v>2012</v>
      </c>
      <c r="D287" s="172">
        <f>D263</f>
        <v>2612</v>
      </c>
      <c r="E287" s="172">
        <f>E263</f>
        <v>2214</v>
      </c>
      <c r="F287" s="172">
        <f>F263</f>
        <v>0</v>
      </c>
    </row>
    <row r="288" spans="1:6" s="147" customFormat="1" x14ac:dyDescent="0.25">
      <c r="A288" s="196" t="s">
        <v>298</v>
      </c>
      <c r="B288" s="154">
        <f>B285+B286+B287</f>
        <v>1447180</v>
      </c>
      <c r="C288" s="154">
        <f>C285+C286+C287</f>
        <v>1436329</v>
      </c>
      <c r="D288" s="154">
        <f>D285+D286+D287</f>
        <v>1642300</v>
      </c>
      <c r="E288" s="154">
        <f>E285+E286+E287</f>
        <v>1864205</v>
      </c>
      <c r="F288" s="154">
        <f>F285+F286+F287</f>
        <v>0</v>
      </c>
    </row>
  </sheetData>
  <sheetProtection password="84D3" sheet="1" objects="1" scenarios="1" selectLockedCells="1"/>
  <mergeCells count="4">
    <mergeCell ref="A1:F1"/>
    <mergeCell ref="A2:F2"/>
    <mergeCell ref="A149:F149"/>
    <mergeCell ref="A224:F224"/>
  </mergeCells>
  <pageMargins left="0.75" right="0.75" top="1" bottom="1" header="0.5" footer="0.5"/>
  <pageSetup paperSize="9" scale="66" orientation="portrait" horizontalDpi="4294967292" verticalDpi="4294967292" r:id="rId1"/>
  <headerFooter alignWithMargins="0"/>
  <rowBreaks count="4" manualBreakCount="4">
    <brk id="91" max="16383" man="1"/>
    <brk id="147" max="5" man="1"/>
    <brk id="222" max="5" man="1"/>
    <brk id="29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23BD-8A44-42BB-B50B-C4563592340E}">
  <dimension ref="A1:F114"/>
  <sheetViews>
    <sheetView zoomScaleNormal="100" workbookViewId="0">
      <selection activeCell="A7" sqref="A7"/>
    </sheetView>
  </sheetViews>
  <sheetFormatPr defaultColWidth="12.33203125" defaultRowHeight="13.2" x14ac:dyDescent="0.25"/>
  <cols>
    <col min="1" max="1" width="44.109375" style="181" customWidth="1"/>
    <col min="2" max="16384" width="12.33203125" style="181"/>
  </cols>
  <sheetData>
    <row r="1" spans="1:6" x14ac:dyDescent="0.25">
      <c r="A1" s="257" t="s">
        <v>304</v>
      </c>
      <c r="B1" s="257"/>
      <c r="C1" s="257"/>
      <c r="D1" s="257"/>
      <c r="E1" s="257"/>
      <c r="F1" s="257"/>
    </row>
    <row r="2" spans="1:6" x14ac:dyDescent="0.25">
      <c r="A2" s="257" t="s">
        <v>305</v>
      </c>
      <c r="B2" s="257"/>
      <c r="C2" s="257"/>
      <c r="D2" s="257"/>
      <c r="E2" s="257"/>
      <c r="F2" s="257"/>
    </row>
    <row r="3" spans="1:6" x14ac:dyDescent="0.25">
      <c r="A3" s="147"/>
      <c r="B3" s="147"/>
    </row>
    <row r="4" spans="1:6" x14ac:dyDescent="0.25">
      <c r="A4" s="147" t="s">
        <v>398</v>
      </c>
      <c r="B4" s="147"/>
    </row>
    <row r="5" spans="1:6" x14ac:dyDescent="0.25">
      <c r="A5" s="148" t="s">
        <v>134</v>
      </c>
      <c r="B5" s="149">
        <v>2019</v>
      </c>
    </row>
    <row r="6" spans="1:6" x14ac:dyDescent="0.25">
      <c r="A6" s="147"/>
      <c r="B6" s="147"/>
    </row>
    <row r="7" spans="1:6" x14ac:dyDescent="0.25">
      <c r="A7" s="147"/>
      <c r="B7" s="150"/>
    </row>
    <row r="8" spans="1:6" ht="17.399999999999999" x14ac:dyDescent="0.3">
      <c r="A8" s="179" t="s">
        <v>306</v>
      </c>
      <c r="B8" s="180">
        <f>B5</f>
        <v>2019</v>
      </c>
      <c r="C8" s="180">
        <f>B8+1</f>
        <v>2020</v>
      </c>
      <c r="D8" s="180">
        <f>C8+1</f>
        <v>2021</v>
      </c>
      <c r="E8" s="180">
        <f>D8+1</f>
        <v>2022</v>
      </c>
      <c r="F8" s="180">
        <f>E8+1</f>
        <v>2023</v>
      </c>
    </row>
    <row r="10" spans="1:6" s="147" customFormat="1" x14ac:dyDescent="0.25">
      <c r="A10" s="154" t="s">
        <v>307</v>
      </c>
      <c r="B10" s="154">
        <f>SUM(B11:B15)</f>
        <v>7476643</v>
      </c>
      <c r="C10" s="154">
        <f>SUM(C11:C15)</f>
        <v>6622986</v>
      </c>
      <c r="D10" s="154">
        <f>SUM(D11:D15)</f>
        <v>7730794</v>
      </c>
      <c r="E10" s="154">
        <f>SUM(E11:E15)</f>
        <v>8394239</v>
      </c>
      <c r="F10" s="154">
        <f>SUM(F11:F15)</f>
        <v>0</v>
      </c>
    </row>
    <row r="11" spans="1:6" s="147" customFormat="1" x14ac:dyDescent="0.25">
      <c r="A11" s="155" t="s">
        <v>308</v>
      </c>
      <c r="B11" s="156">
        <v>7323799</v>
      </c>
      <c r="C11" s="156">
        <v>6500785</v>
      </c>
      <c r="D11" s="156">
        <v>7547492</v>
      </c>
      <c r="E11" s="156">
        <v>8359039</v>
      </c>
      <c r="F11" s="156"/>
    </row>
    <row r="12" spans="1:6" s="147" customFormat="1" x14ac:dyDescent="0.25">
      <c r="A12" s="155" t="s">
        <v>309</v>
      </c>
      <c r="B12" s="156"/>
      <c r="C12" s="156"/>
      <c r="D12" s="156"/>
      <c r="E12" s="156"/>
      <c r="F12" s="156"/>
    </row>
    <row r="13" spans="1:6" s="147" customFormat="1" x14ac:dyDescent="0.25">
      <c r="A13" s="155" t="s">
        <v>310</v>
      </c>
      <c r="B13" s="156"/>
      <c r="C13" s="156"/>
      <c r="D13" s="156"/>
      <c r="E13" s="156"/>
      <c r="F13" s="156"/>
    </row>
    <row r="14" spans="1:6" s="147" customFormat="1" x14ac:dyDescent="0.25">
      <c r="A14" s="155" t="s">
        <v>311</v>
      </c>
      <c r="B14" s="156"/>
      <c r="C14" s="156"/>
      <c r="D14" s="156"/>
      <c r="E14" s="156"/>
      <c r="F14" s="156"/>
    </row>
    <row r="15" spans="1:6" s="147" customFormat="1" x14ac:dyDescent="0.25">
      <c r="A15" s="155" t="s">
        <v>312</v>
      </c>
      <c r="B15" s="156">
        <v>152844</v>
      </c>
      <c r="C15" s="156">
        <v>122201</v>
      </c>
      <c r="D15" s="156">
        <v>183302</v>
      </c>
      <c r="E15" s="156">
        <v>35200</v>
      </c>
      <c r="F15" s="156"/>
    </row>
    <row r="16" spans="1:6" s="147" customFormat="1" x14ac:dyDescent="0.25"/>
    <row r="17" spans="1:6" s="147" customFormat="1" x14ac:dyDescent="0.25">
      <c r="A17" s="154" t="s">
        <v>313</v>
      </c>
      <c r="B17" s="154">
        <f>B18+B19+B20+B21+B27+B32+B33+B34+B35</f>
        <v>7492845</v>
      </c>
      <c r="C17" s="154">
        <f>C18+C19+C20+C21+C27+C32+C33+C34+C35</f>
        <v>6595410</v>
      </c>
      <c r="D17" s="154">
        <f>D18+D19+D20+D21+D27+D32+D33+D34+D35</f>
        <v>7512641</v>
      </c>
      <c r="E17" s="154">
        <f>E18+E19+E20+E21+E27+E32+E33+E34+E35</f>
        <v>8137580</v>
      </c>
      <c r="F17" s="154">
        <f>F18+F19+F20+F21+F27+F32+F33+F34+F35</f>
        <v>0</v>
      </c>
    </row>
    <row r="18" spans="1:6" s="147" customFormat="1" x14ac:dyDescent="0.25">
      <c r="A18" s="155" t="s">
        <v>314</v>
      </c>
      <c r="B18" s="156">
        <v>8822</v>
      </c>
      <c r="C18" s="156">
        <v>7382</v>
      </c>
      <c r="D18" s="156">
        <v>8271</v>
      </c>
      <c r="E18" s="156">
        <v>7637</v>
      </c>
      <c r="F18" s="156"/>
    </row>
    <row r="19" spans="1:6" s="147" customFormat="1" x14ac:dyDescent="0.25">
      <c r="A19" s="155" t="s">
        <v>315</v>
      </c>
      <c r="B19" s="156">
        <v>6767512</v>
      </c>
      <c r="C19" s="156">
        <v>5985039</v>
      </c>
      <c r="D19" s="156">
        <v>6882450</v>
      </c>
      <c r="E19" s="156">
        <v>7397846</v>
      </c>
      <c r="F19" s="156"/>
    </row>
    <row r="20" spans="1:6" s="147" customFormat="1" x14ac:dyDescent="0.25">
      <c r="A20" s="155" t="s">
        <v>316</v>
      </c>
      <c r="B20" s="156">
        <v>211368</v>
      </c>
      <c r="C20" s="156">
        <v>154415</v>
      </c>
      <c r="D20" s="156">
        <v>148477</v>
      </c>
      <c r="E20" s="156">
        <v>136190</v>
      </c>
      <c r="F20" s="156"/>
    </row>
    <row r="21" spans="1:6" s="147" customFormat="1" x14ac:dyDescent="0.25">
      <c r="A21" s="155" t="s">
        <v>317</v>
      </c>
      <c r="B21" s="156">
        <f>+B22+B23+B24+B25+B26</f>
        <v>370508</v>
      </c>
      <c r="C21" s="156">
        <f>+C22+C23+C24+C25+C26</f>
        <v>364772</v>
      </c>
      <c r="D21" s="156">
        <f>+D22+D23+D24+D25+D26</f>
        <v>382931</v>
      </c>
      <c r="E21" s="156">
        <f>+E22+E23+E24+E25+E26</f>
        <v>424127</v>
      </c>
      <c r="F21" s="156">
        <f>+F22+F23+F24+F25+F26</f>
        <v>0</v>
      </c>
    </row>
    <row r="22" spans="1:6" s="147" customFormat="1" x14ac:dyDescent="0.25">
      <c r="A22" s="197" t="s">
        <v>318</v>
      </c>
      <c r="B22" s="198">
        <v>274588</v>
      </c>
      <c r="C22" s="198">
        <v>270180</v>
      </c>
      <c r="D22" s="198">
        <v>278038</v>
      </c>
      <c r="E22" s="198">
        <f>303247-8447+1</f>
        <v>294801</v>
      </c>
      <c r="F22" s="198"/>
    </row>
    <row r="23" spans="1:6" s="147" customFormat="1" x14ac:dyDescent="0.25">
      <c r="A23" s="197" t="s">
        <v>319</v>
      </c>
      <c r="B23" s="198">
        <v>72518</v>
      </c>
      <c r="C23" s="198">
        <v>72170</v>
      </c>
      <c r="D23" s="198">
        <v>75001</v>
      </c>
      <c r="E23" s="198">
        <f>83118+720+1015-2231-22+1</f>
        <v>82601</v>
      </c>
      <c r="F23" s="198"/>
    </row>
    <row r="24" spans="1:6" s="147" customFormat="1" x14ac:dyDescent="0.25">
      <c r="A24" s="197" t="s">
        <v>320</v>
      </c>
      <c r="B24" s="198">
        <v>23402</v>
      </c>
      <c r="C24" s="198">
        <v>22422</v>
      </c>
      <c r="D24" s="198">
        <v>29892</v>
      </c>
      <c r="E24" s="198">
        <v>45144</v>
      </c>
      <c r="F24" s="198"/>
    </row>
    <row r="25" spans="1:6" s="147" customFormat="1" x14ac:dyDescent="0.25">
      <c r="A25" s="197" t="s">
        <v>321</v>
      </c>
      <c r="B25" s="198"/>
      <c r="C25" s="198"/>
      <c r="D25" s="198"/>
      <c r="E25" s="198"/>
      <c r="F25" s="198"/>
    </row>
    <row r="26" spans="1:6" s="147" customFormat="1" x14ac:dyDescent="0.25">
      <c r="A26" s="197" t="s">
        <v>322</v>
      </c>
      <c r="B26" s="198"/>
      <c r="C26" s="198"/>
      <c r="D26" s="198"/>
      <c r="E26" s="198">
        <f>1299+282</f>
        <v>1581</v>
      </c>
      <c r="F26" s="198"/>
    </row>
    <row r="27" spans="1:6" s="147" customFormat="1" x14ac:dyDescent="0.25">
      <c r="A27" s="199" t="s">
        <v>323</v>
      </c>
      <c r="B27" s="156">
        <f>+B28+B29+B30+B31</f>
        <v>22397</v>
      </c>
      <c r="C27" s="156">
        <f>+C28+C29+C30+C31</f>
        <v>28967</v>
      </c>
      <c r="D27" s="156">
        <f>+D28+D29+D30+D31</f>
        <v>32158</v>
      </c>
      <c r="E27" s="156">
        <f>+E28+E29+E30+E31</f>
        <v>101383</v>
      </c>
      <c r="F27" s="156">
        <f>+F28+F29+F30+F31</f>
        <v>0</v>
      </c>
    </row>
    <row r="28" spans="1:6" s="147" customFormat="1" x14ac:dyDescent="0.25">
      <c r="A28" s="197" t="s">
        <v>324</v>
      </c>
      <c r="B28" s="198">
        <v>160</v>
      </c>
      <c r="C28" s="198">
        <v>83</v>
      </c>
      <c r="D28" s="198">
        <v>3493</v>
      </c>
      <c r="E28" s="198">
        <v>6875</v>
      </c>
      <c r="F28" s="198"/>
    </row>
    <row r="29" spans="1:6" s="147" customFormat="1" x14ac:dyDescent="0.25">
      <c r="A29" s="197" t="s">
        <v>325</v>
      </c>
      <c r="B29" s="198">
        <v>21244</v>
      </c>
      <c r="C29" s="198">
        <v>21796</v>
      </c>
      <c r="D29" s="198">
        <v>21792</v>
      </c>
      <c r="E29" s="198">
        <v>19930</v>
      </c>
      <c r="F29" s="198"/>
    </row>
    <row r="30" spans="1:6" s="147" customFormat="1" x14ac:dyDescent="0.25">
      <c r="A30" s="197" t="s">
        <v>326</v>
      </c>
      <c r="B30" s="198">
        <v>993</v>
      </c>
      <c r="C30" s="198">
        <v>7088</v>
      </c>
      <c r="D30" s="198"/>
      <c r="E30" s="198"/>
      <c r="F30" s="198"/>
    </row>
    <row r="31" spans="1:6" s="147" customFormat="1" x14ac:dyDescent="0.25">
      <c r="A31" s="197" t="s">
        <v>327</v>
      </c>
      <c r="B31" s="198"/>
      <c r="C31" s="198"/>
      <c r="D31" s="198">
        <v>6873</v>
      </c>
      <c r="E31" s="198">
        <v>74578</v>
      </c>
      <c r="F31" s="198"/>
    </row>
    <row r="32" spans="1:6" s="147" customFormat="1" x14ac:dyDescent="0.25">
      <c r="A32" s="155" t="s">
        <v>328</v>
      </c>
      <c r="B32" s="156"/>
      <c r="C32" s="156"/>
      <c r="D32" s="156"/>
      <c r="E32" s="156"/>
      <c r="F32" s="156"/>
    </row>
    <row r="33" spans="1:6" s="147" customFormat="1" x14ac:dyDescent="0.25">
      <c r="A33" s="155" t="s">
        <v>329</v>
      </c>
      <c r="B33" s="156"/>
      <c r="C33" s="156"/>
      <c r="D33" s="156"/>
      <c r="E33" s="156"/>
      <c r="F33" s="156"/>
    </row>
    <row r="34" spans="1:6" s="147" customFormat="1" x14ac:dyDescent="0.25">
      <c r="A34" s="155" t="s">
        <v>330</v>
      </c>
      <c r="B34" s="156"/>
      <c r="C34" s="156"/>
      <c r="D34" s="156"/>
      <c r="E34" s="156"/>
      <c r="F34" s="156"/>
    </row>
    <row r="35" spans="1:6" s="147" customFormat="1" x14ac:dyDescent="0.25">
      <c r="A35" s="155" t="s">
        <v>331</v>
      </c>
      <c r="B35" s="156">
        <v>112238</v>
      </c>
      <c r="C35" s="156">
        <v>54835</v>
      </c>
      <c r="D35" s="156">
        <v>58354</v>
      </c>
      <c r="E35" s="156">
        <v>70397</v>
      </c>
      <c r="F35" s="156"/>
    </row>
    <row r="36" spans="1:6" s="147" customFormat="1" x14ac:dyDescent="0.25"/>
    <row r="37" spans="1:6" s="147" customFormat="1" x14ac:dyDescent="0.25">
      <c r="A37" s="200" t="s">
        <v>332</v>
      </c>
      <c r="B37" s="154">
        <f>B10-B17</f>
        <v>-16202</v>
      </c>
      <c r="C37" s="154">
        <f>C10-C17</f>
        <v>27576</v>
      </c>
      <c r="D37" s="154">
        <f>D10-D17</f>
        <v>218153</v>
      </c>
      <c r="E37" s="154">
        <f>E10-E17</f>
        <v>256659</v>
      </c>
      <c r="F37" s="154">
        <f>F10-F17</f>
        <v>0</v>
      </c>
    </row>
    <row r="38" spans="1:6" s="147" customFormat="1" x14ac:dyDescent="0.25"/>
    <row r="39" spans="1:6" s="147" customFormat="1" x14ac:dyDescent="0.25">
      <c r="A39" s="154" t="s">
        <v>333</v>
      </c>
      <c r="B39" s="154">
        <f>B40+B41-B46+B49</f>
        <v>-29798</v>
      </c>
      <c r="C39" s="154">
        <f>C40+C41-C46+C49</f>
        <v>-19587</v>
      </c>
      <c r="D39" s="154">
        <f>D40+D41-D46+D49</f>
        <v>-11053</v>
      </c>
      <c r="E39" s="154">
        <f>E40+E41-E46+E49</f>
        <v>-9896</v>
      </c>
      <c r="F39" s="154">
        <f>F40+F41-F46+F49</f>
        <v>0</v>
      </c>
    </row>
    <row r="40" spans="1:6" s="147" customFormat="1" x14ac:dyDescent="0.25">
      <c r="A40" s="156" t="s">
        <v>334</v>
      </c>
      <c r="B40" s="156"/>
      <c r="C40" s="156"/>
      <c r="D40" s="156"/>
      <c r="E40" s="156"/>
      <c r="F40" s="156"/>
    </row>
    <row r="41" spans="1:6" s="147" customFormat="1" x14ac:dyDescent="0.25">
      <c r="A41" s="156" t="s">
        <v>335</v>
      </c>
      <c r="B41" s="156">
        <f>B42+B43+B44+B45</f>
        <v>3792</v>
      </c>
      <c r="C41" s="156">
        <f>C42+C43+C44+C45</f>
        <v>2080</v>
      </c>
      <c r="D41" s="156">
        <f>D42+D43+D44+D45</f>
        <v>9518</v>
      </c>
      <c r="E41" s="156">
        <f>E42+E43+E44+E45</f>
        <v>930</v>
      </c>
      <c r="F41" s="156">
        <f>F42+F43+F44+F45</f>
        <v>0</v>
      </c>
    </row>
    <row r="42" spans="1:6" s="147" customFormat="1" x14ac:dyDescent="0.25">
      <c r="A42" s="201" t="s">
        <v>336</v>
      </c>
      <c r="B42" s="198"/>
      <c r="C42" s="198"/>
      <c r="D42" s="198"/>
      <c r="E42" s="198"/>
      <c r="F42" s="198"/>
    </row>
    <row r="43" spans="1:6" s="147" customFormat="1" x14ac:dyDescent="0.25">
      <c r="A43" s="201" t="s">
        <v>337</v>
      </c>
      <c r="B43" s="198"/>
      <c r="C43" s="198"/>
      <c r="D43" s="198"/>
      <c r="E43" s="198"/>
      <c r="F43" s="198"/>
    </row>
    <row r="44" spans="1:6" s="147" customFormat="1" x14ac:dyDescent="0.25">
      <c r="A44" s="201" t="s">
        <v>338</v>
      </c>
      <c r="B44" s="198"/>
      <c r="C44" s="198"/>
      <c r="D44" s="198"/>
      <c r="E44" s="198"/>
      <c r="F44" s="198"/>
    </row>
    <row r="45" spans="1:6" s="147" customFormat="1" x14ac:dyDescent="0.25">
      <c r="A45" s="201" t="s">
        <v>339</v>
      </c>
      <c r="B45" s="198">
        <v>3792</v>
      </c>
      <c r="C45" s="198">
        <v>2080</v>
      </c>
      <c r="D45" s="198">
        <v>9518</v>
      </c>
      <c r="E45" s="198">
        <v>930</v>
      </c>
      <c r="F45" s="198"/>
    </row>
    <row r="46" spans="1:6" s="147" customFormat="1" x14ac:dyDescent="0.25">
      <c r="A46" s="156" t="s">
        <v>340</v>
      </c>
      <c r="B46" s="156">
        <f>+B47+B48</f>
        <v>33590</v>
      </c>
      <c r="C46" s="156">
        <f>+C47+C48</f>
        <v>21667</v>
      </c>
      <c r="D46" s="156">
        <f>+D47+D48</f>
        <v>20571</v>
      </c>
      <c r="E46" s="156">
        <f t="shared" ref="E46:F46" si="0">+E47+E48</f>
        <v>10826</v>
      </c>
      <c r="F46" s="156">
        <f t="shared" si="0"/>
        <v>0</v>
      </c>
    </row>
    <row r="47" spans="1:6" s="147" customFormat="1" x14ac:dyDescent="0.25">
      <c r="A47" s="201" t="s">
        <v>341</v>
      </c>
      <c r="B47" s="198">
        <v>33590</v>
      </c>
      <c r="C47" s="198">
        <v>21667</v>
      </c>
      <c r="D47" s="198">
        <v>20571</v>
      </c>
      <c r="E47" s="198">
        <v>10826</v>
      </c>
      <c r="F47" s="198"/>
    </row>
    <row r="48" spans="1:6" s="147" customFormat="1" x14ac:dyDescent="0.25">
      <c r="A48" s="201" t="s">
        <v>342</v>
      </c>
      <c r="B48" s="198"/>
      <c r="C48" s="198"/>
      <c r="D48" s="198"/>
      <c r="E48" s="198"/>
      <c r="F48" s="198"/>
    </row>
    <row r="49" spans="1:6" s="147" customFormat="1" x14ac:dyDescent="0.25">
      <c r="A49" s="169" t="s">
        <v>343</v>
      </c>
      <c r="B49" s="156"/>
      <c r="C49" s="156"/>
      <c r="D49" s="156"/>
      <c r="E49" s="156"/>
      <c r="F49" s="156"/>
    </row>
    <row r="50" spans="1:6" s="147" customFormat="1" x14ac:dyDescent="0.25"/>
    <row r="51" spans="1:6" s="147" customFormat="1" x14ac:dyDescent="0.25">
      <c r="A51" s="154" t="s">
        <v>344</v>
      </c>
      <c r="B51" s="154">
        <f>B52-B56</f>
        <v>0</v>
      </c>
      <c r="C51" s="154">
        <f>C52-C56</f>
        <v>0</v>
      </c>
      <c r="D51" s="154">
        <f>D52-D56</f>
        <v>0</v>
      </c>
      <c r="E51" s="154">
        <f>E52-E56</f>
        <v>0</v>
      </c>
      <c r="F51" s="154">
        <f>F52-F56</f>
        <v>0</v>
      </c>
    </row>
    <row r="52" spans="1:6" s="147" customFormat="1" x14ac:dyDescent="0.25">
      <c r="A52" s="156" t="s">
        <v>345</v>
      </c>
      <c r="B52" s="156">
        <f>SUM(B53:B55)</f>
        <v>0</v>
      </c>
      <c r="C52" s="156">
        <f>SUM(C53:C55)</f>
        <v>0</v>
      </c>
      <c r="D52" s="156">
        <f>SUM(D53:D55)</f>
        <v>0</v>
      </c>
      <c r="E52" s="156">
        <f>SUM(E53:E55)</f>
        <v>0</v>
      </c>
      <c r="F52" s="156">
        <f>SUM(F53:F55)</f>
        <v>0</v>
      </c>
    </row>
    <row r="53" spans="1:6" s="147" customFormat="1" x14ac:dyDescent="0.25">
      <c r="A53" s="202" t="s">
        <v>346</v>
      </c>
      <c r="B53" s="198"/>
      <c r="C53" s="198"/>
      <c r="D53" s="198"/>
      <c r="E53" s="198"/>
      <c r="F53" s="198"/>
    </row>
    <row r="54" spans="1:6" s="147" customFormat="1" x14ac:dyDescent="0.25">
      <c r="A54" s="202" t="s">
        <v>347</v>
      </c>
      <c r="B54" s="198"/>
      <c r="C54" s="198"/>
      <c r="D54" s="198"/>
      <c r="E54" s="198"/>
      <c r="F54" s="198"/>
    </row>
    <row r="55" spans="1:6" s="147" customFormat="1" x14ac:dyDescent="0.25">
      <c r="A55" s="202" t="s">
        <v>348</v>
      </c>
      <c r="B55" s="198"/>
      <c r="C55" s="198"/>
      <c r="D55" s="198"/>
      <c r="E55" s="198"/>
      <c r="F55" s="198"/>
    </row>
    <row r="56" spans="1:6" s="147" customFormat="1" x14ac:dyDescent="0.25">
      <c r="A56" s="156" t="s">
        <v>349</v>
      </c>
      <c r="B56" s="156">
        <f>SUM(B57:B59)</f>
        <v>0</v>
      </c>
      <c r="C56" s="156">
        <f>SUM(C57:C59)</f>
        <v>0</v>
      </c>
      <c r="D56" s="156">
        <f>SUM(D57:D59)</f>
        <v>0</v>
      </c>
      <c r="E56" s="156">
        <f>SUM(E57:E59)</f>
        <v>0</v>
      </c>
      <c r="F56" s="156">
        <f>SUM(F57:F59)</f>
        <v>0</v>
      </c>
    </row>
    <row r="57" spans="1:6" s="147" customFormat="1" x14ac:dyDescent="0.25">
      <c r="A57" s="202" t="s">
        <v>350</v>
      </c>
      <c r="B57" s="198"/>
      <c r="C57" s="198"/>
      <c r="D57" s="198"/>
      <c r="E57" s="198"/>
      <c r="F57" s="198"/>
    </row>
    <row r="58" spans="1:6" s="147" customFormat="1" x14ac:dyDescent="0.25">
      <c r="A58" s="202" t="s">
        <v>351</v>
      </c>
      <c r="B58" s="198"/>
      <c r="C58" s="198"/>
      <c r="D58" s="198"/>
      <c r="E58" s="198"/>
      <c r="F58" s="198"/>
    </row>
    <row r="59" spans="1:6" s="147" customFormat="1" x14ac:dyDescent="0.25">
      <c r="A59" s="202" t="s">
        <v>352</v>
      </c>
      <c r="B59" s="198"/>
      <c r="C59" s="198"/>
      <c r="D59" s="198"/>
      <c r="E59" s="198"/>
      <c r="F59" s="198"/>
    </row>
    <row r="60" spans="1:6" s="147" customFormat="1" x14ac:dyDescent="0.25"/>
    <row r="61" spans="1:6" s="147" customFormat="1" x14ac:dyDescent="0.25">
      <c r="A61" s="154" t="s">
        <v>353</v>
      </c>
      <c r="B61" s="154">
        <f>B62-B64</f>
        <v>0</v>
      </c>
      <c r="C61" s="154">
        <f>C62-C64</f>
        <v>0</v>
      </c>
      <c r="D61" s="154">
        <f>D62-D64</f>
        <v>0</v>
      </c>
      <c r="E61" s="154">
        <f>E62-E64</f>
        <v>-17789</v>
      </c>
      <c r="F61" s="154">
        <f>F62-F64</f>
        <v>0</v>
      </c>
    </row>
    <row r="62" spans="1:6" s="147" customFormat="1" x14ac:dyDescent="0.25">
      <c r="A62" s="156" t="s">
        <v>354</v>
      </c>
      <c r="B62" s="156">
        <f>+B63</f>
        <v>0</v>
      </c>
      <c r="C62" s="156">
        <f t="shared" ref="C62:F62" si="1">+C63</f>
        <v>0</v>
      </c>
      <c r="D62" s="156">
        <f t="shared" si="1"/>
        <v>0</v>
      </c>
      <c r="E62" s="156">
        <f t="shared" si="1"/>
        <v>202529</v>
      </c>
      <c r="F62" s="156">
        <f t="shared" si="1"/>
        <v>0</v>
      </c>
    </row>
    <row r="63" spans="1:6" s="147" customFormat="1" x14ac:dyDescent="0.25">
      <c r="A63" s="203" t="s">
        <v>355</v>
      </c>
      <c r="B63" s="156"/>
      <c r="C63" s="156"/>
      <c r="D63" s="156"/>
      <c r="E63" s="156">
        <v>202529</v>
      </c>
      <c r="F63" s="156"/>
    </row>
    <row r="64" spans="1:6" s="147" customFormat="1" x14ac:dyDescent="0.25">
      <c r="A64" s="156" t="s">
        <v>356</v>
      </c>
      <c r="B64" s="156">
        <f>B65+B66</f>
        <v>0</v>
      </c>
      <c r="C64" s="156">
        <f>C65+C66</f>
        <v>0</v>
      </c>
      <c r="D64" s="156">
        <f>D65+D66</f>
        <v>0</v>
      </c>
      <c r="E64" s="156">
        <f>E65+E66</f>
        <v>220318</v>
      </c>
      <c r="F64" s="156">
        <f>F65+F66</f>
        <v>0</v>
      </c>
    </row>
    <row r="65" spans="1:6" s="147" customFormat="1" x14ac:dyDescent="0.25">
      <c r="A65" s="203" t="s">
        <v>357</v>
      </c>
      <c r="B65" s="156"/>
      <c r="C65" s="156"/>
      <c r="D65" s="156"/>
      <c r="E65" s="156"/>
      <c r="F65" s="156"/>
    </row>
    <row r="66" spans="1:6" s="147" customFormat="1" x14ac:dyDescent="0.25">
      <c r="A66" s="203" t="s">
        <v>358</v>
      </c>
      <c r="B66" s="156"/>
      <c r="C66" s="156"/>
      <c r="D66" s="156"/>
      <c r="E66" s="156">
        <v>220318</v>
      </c>
      <c r="F66" s="156"/>
    </row>
    <row r="67" spans="1:6" s="147" customFormat="1" x14ac:dyDescent="0.25"/>
    <row r="68" spans="1:6" s="147" customFormat="1" x14ac:dyDescent="0.25">
      <c r="A68" s="154" t="s">
        <v>359</v>
      </c>
      <c r="B68" s="154">
        <f>B37+B39+B51+B61</f>
        <v>-46000</v>
      </c>
      <c r="C68" s="154">
        <f>C37+C39+C51+C61</f>
        <v>7989</v>
      </c>
      <c r="D68" s="154">
        <f>D37+D39+D51+D61</f>
        <v>207100</v>
      </c>
      <c r="E68" s="154">
        <f>E37+E39+E51+E61</f>
        <v>228974</v>
      </c>
      <c r="F68" s="154">
        <f>F37+F39+F51+F61</f>
        <v>0</v>
      </c>
    </row>
    <row r="69" spans="1:6" s="147" customFormat="1" x14ac:dyDescent="0.25">
      <c r="A69" s="204" t="s">
        <v>360</v>
      </c>
      <c r="B69" s="156"/>
      <c r="C69" s="156">
        <v>58</v>
      </c>
      <c r="D69" s="156">
        <v>1491</v>
      </c>
      <c r="E69" s="156"/>
      <c r="F69" s="156"/>
    </row>
    <row r="70" spans="1:6" s="147" customFormat="1" x14ac:dyDescent="0.25">
      <c r="A70" s="154" t="s">
        <v>361</v>
      </c>
      <c r="B70" s="154">
        <f>B68-B69</f>
        <v>-46000</v>
      </c>
      <c r="C70" s="154">
        <f>C68-C69</f>
        <v>7931</v>
      </c>
      <c r="D70" s="154">
        <f>D68-D69</f>
        <v>205609</v>
      </c>
      <c r="E70" s="154">
        <f>E68-E69</f>
        <v>228974</v>
      </c>
      <c r="F70" s="154">
        <f>F68-F69</f>
        <v>0</v>
      </c>
    </row>
    <row r="71" spans="1:6" s="147" customFormat="1" x14ac:dyDescent="0.25"/>
    <row r="72" spans="1:6" s="147" customFormat="1" x14ac:dyDescent="0.25">
      <c r="A72" s="173" t="s">
        <v>362</v>
      </c>
      <c r="B72" s="174">
        <f>IF((B70-[1]SP!B103)=0,(B70-[1]SP!B103),"ERRORE")</f>
        <v>0</v>
      </c>
      <c r="C72" s="174">
        <f>IF((C70-[1]SP!C103)=0,(C70-[1]SP!C103),"ERRORE")</f>
        <v>0</v>
      </c>
      <c r="D72" s="174">
        <f>IF((D70-[1]SP!D103)=0,(D70-[1]SP!D103),"ERRORE")</f>
        <v>0</v>
      </c>
      <c r="E72" s="174">
        <f>IF((E70-[1]SP!E103)=0,(E70-[1]SP!E103),"ERRORE")</f>
        <v>0</v>
      </c>
      <c r="F72" s="174">
        <f>IF((F70-[1]SP!F103)=0,(F70-[1]SP!F103),"ERRORE")</f>
        <v>0</v>
      </c>
    </row>
    <row r="73" spans="1:6" s="147" customFormat="1" x14ac:dyDescent="0.25"/>
    <row r="74" spans="1:6" s="147" customFormat="1" x14ac:dyDescent="0.25"/>
    <row r="75" spans="1:6" s="147" customFormat="1" x14ac:dyDescent="0.25"/>
    <row r="76" spans="1:6" s="147" customFormat="1" ht="17.399999999999999" x14ac:dyDescent="0.3">
      <c r="A76" s="151" t="s">
        <v>363</v>
      </c>
      <c r="B76" s="152">
        <f>B8</f>
        <v>2019</v>
      </c>
      <c r="C76" s="152">
        <f>B76+1</f>
        <v>2020</v>
      </c>
      <c r="D76" s="152">
        <f>C76+1</f>
        <v>2021</v>
      </c>
      <c r="E76" s="152">
        <f>D76+1</f>
        <v>2022</v>
      </c>
      <c r="F76" s="152">
        <f>E76+1</f>
        <v>2023</v>
      </c>
    </row>
    <row r="77" spans="1:6" s="147" customFormat="1" x14ac:dyDescent="0.25"/>
    <row r="78" spans="1:6" s="147" customFormat="1" x14ac:dyDescent="0.25">
      <c r="A78" s="205" t="s">
        <v>364</v>
      </c>
      <c r="B78" s="172">
        <f t="shared" ref="B78:F82" si="2">B11</f>
        <v>7323799</v>
      </c>
      <c r="C78" s="172">
        <f t="shared" si="2"/>
        <v>6500785</v>
      </c>
      <c r="D78" s="172">
        <f t="shared" si="2"/>
        <v>7547492</v>
      </c>
      <c r="E78" s="172">
        <f t="shared" si="2"/>
        <v>8359039</v>
      </c>
      <c r="F78" s="172">
        <f t="shared" si="2"/>
        <v>0</v>
      </c>
    </row>
    <row r="79" spans="1:6" s="147" customFormat="1" x14ac:dyDescent="0.25">
      <c r="A79" s="205" t="s">
        <v>365</v>
      </c>
      <c r="B79" s="172">
        <f t="shared" si="2"/>
        <v>0</v>
      </c>
      <c r="C79" s="172">
        <f t="shared" si="2"/>
        <v>0</v>
      </c>
      <c r="D79" s="172">
        <f t="shared" si="2"/>
        <v>0</v>
      </c>
      <c r="E79" s="172">
        <f t="shared" si="2"/>
        <v>0</v>
      </c>
      <c r="F79" s="172">
        <f t="shared" si="2"/>
        <v>0</v>
      </c>
    </row>
    <row r="80" spans="1:6" s="147" customFormat="1" x14ac:dyDescent="0.25">
      <c r="A80" s="205" t="s">
        <v>366</v>
      </c>
      <c r="B80" s="172">
        <f t="shared" si="2"/>
        <v>0</v>
      </c>
      <c r="C80" s="172">
        <f t="shared" si="2"/>
        <v>0</v>
      </c>
      <c r="D80" s="172">
        <f t="shared" si="2"/>
        <v>0</v>
      </c>
      <c r="E80" s="172">
        <f t="shared" si="2"/>
        <v>0</v>
      </c>
      <c r="F80" s="172">
        <f t="shared" si="2"/>
        <v>0</v>
      </c>
    </row>
    <row r="81" spans="1:6" s="147" customFormat="1" x14ac:dyDescent="0.25">
      <c r="A81" s="205" t="s">
        <v>367</v>
      </c>
      <c r="B81" s="172">
        <f t="shared" si="2"/>
        <v>0</v>
      </c>
      <c r="C81" s="172">
        <f t="shared" si="2"/>
        <v>0</v>
      </c>
      <c r="D81" s="172">
        <f t="shared" si="2"/>
        <v>0</v>
      </c>
      <c r="E81" s="172">
        <f t="shared" si="2"/>
        <v>0</v>
      </c>
      <c r="F81" s="172">
        <f t="shared" si="2"/>
        <v>0</v>
      </c>
    </row>
    <row r="82" spans="1:6" s="147" customFormat="1" x14ac:dyDescent="0.25">
      <c r="A82" s="205" t="s">
        <v>368</v>
      </c>
      <c r="B82" s="172">
        <f t="shared" si="2"/>
        <v>152844</v>
      </c>
      <c r="C82" s="172">
        <f t="shared" si="2"/>
        <v>122201</v>
      </c>
      <c r="D82" s="172">
        <f t="shared" si="2"/>
        <v>183302</v>
      </c>
      <c r="E82" s="172">
        <f t="shared" si="2"/>
        <v>35200</v>
      </c>
      <c r="F82" s="172">
        <f t="shared" si="2"/>
        <v>0</v>
      </c>
    </row>
    <row r="83" spans="1:6" s="147" customFormat="1" x14ac:dyDescent="0.25">
      <c r="A83" s="154" t="s">
        <v>30</v>
      </c>
      <c r="B83" s="154">
        <f>SUM(B78:B82)</f>
        <v>7476643</v>
      </c>
      <c r="C83" s="154">
        <f>SUM(C78:C82)</f>
        <v>6622986</v>
      </c>
      <c r="D83" s="154">
        <f>SUM(D78:D82)</f>
        <v>7730794</v>
      </c>
      <c r="E83" s="154">
        <f>SUM(E78:E82)</f>
        <v>8394239</v>
      </c>
      <c r="F83" s="154">
        <f>SUM(F78:F82)</f>
        <v>0</v>
      </c>
    </row>
    <row r="84" spans="1:6" s="147" customFormat="1" x14ac:dyDescent="0.25"/>
    <row r="85" spans="1:6" s="147" customFormat="1" x14ac:dyDescent="0.25">
      <c r="A85" s="205" t="s">
        <v>369</v>
      </c>
      <c r="B85" s="172">
        <f>B18</f>
        <v>8822</v>
      </c>
      <c r="C85" s="172">
        <f>C18</f>
        <v>7382</v>
      </c>
      <c r="D85" s="172">
        <f>D18</f>
        <v>8271</v>
      </c>
      <c r="E85" s="172">
        <f>E18</f>
        <v>7637</v>
      </c>
      <c r="F85" s="172">
        <f>F18</f>
        <v>0</v>
      </c>
    </row>
    <row r="86" spans="1:6" s="147" customFormat="1" x14ac:dyDescent="0.25">
      <c r="A86" s="205" t="s">
        <v>370</v>
      </c>
      <c r="B86" s="172">
        <f t="shared" ref="B86:F87" si="3">B19</f>
        <v>6767512</v>
      </c>
      <c r="C86" s="172">
        <f t="shared" si="3"/>
        <v>5985039</v>
      </c>
      <c r="D86" s="172">
        <f t="shared" si="3"/>
        <v>6882450</v>
      </c>
      <c r="E86" s="172">
        <f t="shared" si="3"/>
        <v>7397846</v>
      </c>
      <c r="F86" s="172">
        <f t="shared" si="3"/>
        <v>0</v>
      </c>
    </row>
    <row r="87" spans="1:6" s="147" customFormat="1" x14ac:dyDescent="0.25">
      <c r="A87" s="205" t="s">
        <v>371</v>
      </c>
      <c r="B87" s="172">
        <f t="shared" si="3"/>
        <v>211368</v>
      </c>
      <c r="C87" s="172">
        <f t="shared" si="3"/>
        <v>154415</v>
      </c>
      <c r="D87" s="172">
        <f t="shared" si="3"/>
        <v>148477</v>
      </c>
      <c r="E87" s="172">
        <f t="shared" si="3"/>
        <v>136190</v>
      </c>
      <c r="F87" s="172">
        <f t="shared" si="3"/>
        <v>0</v>
      </c>
    </row>
    <row r="88" spans="1:6" s="147" customFormat="1" x14ac:dyDescent="0.25">
      <c r="A88" s="205" t="s">
        <v>372</v>
      </c>
      <c r="B88" s="172">
        <f>B32</f>
        <v>0</v>
      </c>
      <c r="C88" s="172">
        <f>C32</f>
        <v>0</v>
      </c>
      <c r="D88" s="172">
        <f>D32</f>
        <v>0</v>
      </c>
      <c r="E88" s="172">
        <f>E32</f>
        <v>0</v>
      </c>
      <c r="F88" s="172">
        <f>F32</f>
        <v>0</v>
      </c>
    </row>
    <row r="89" spans="1:6" s="147" customFormat="1" x14ac:dyDescent="0.25">
      <c r="A89" s="205" t="s">
        <v>373</v>
      </c>
      <c r="B89" s="172">
        <f>B35</f>
        <v>112238</v>
      </c>
      <c r="C89" s="172">
        <f>C35</f>
        <v>54835</v>
      </c>
      <c r="D89" s="172">
        <f>D35</f>
        <v>58354</v>
      </c>
      <c r="E89" s="172">
        <f>E35</f>
        <v>70397</v>
      </c>
      <c r="F89" s="172">
        <f>F35</f>
        <v>0</v>
      </c>
    </row>
    <row r="90" spans="1:6" s="147" customFormat="1" x14ac:dyDescent="0.25">
      <c r="A90" s="154" t="s">
        <v>36</v>
      </c>
      <c r="B90" s="154">
        <f>B83-B85-B86-B87-B88-B89</f>
        <v>376703</v>
      </c>
      <c r="C90" s="154">
        <f>C83-C85-C86-C87-C88-C89</f>
        <v>421315</v>
      </c>
      <c r="D90" s="154">
        <f>D83-D85-D86-D87-D88-D89</f>
        <v>633242</v>
      </c>
      <c r="E90" s="154">
        <f>E83-E85-E86-E87-E88-E89</f>
        <v>782169</v>
      </c>
      <c r="F90" s="154">
        <f>F83-F85-F86-F87-F88-F89</f>
        <v>0</v>
      </c>
    </row>
    <row r="91" spans="1:6" s="147" customFormat="1" x14ac:dyDescent="0.25"/>
    <row r="92" spans="1:6" s="147" customFormat="1" x14ac:dyDescent="0.25">
      <c r="A92" s="172" t="s">
        <v>374</v>
      </c>
      <c r="B92" s="172">
        <f>B22+B23+B26</f>
        <v>347106</v>
      </c>
      <c r="C92" s="172">
        <f>C22+C23+C26</f>
        <v>342350</v>
      </c>
      <c r="D92" s="172">
        <f>D22+D23+D26</f>
        <v>353039</v>
      </c>
      <c r="E92" s="172">
        <f>E22+E23+E26</f>
        <v>378983</v>
      </c>
      <c r="F92" s="172">
        <f>F22+F23+F26</f>
        <v>0</v>
      </c>
    </row>
    <row r="93" spans="1:6" s="147" customFormat="1" x14ac:dyDescent="0.25">
      <c r="A93" s="154" t="s">
        <v>375</v>
      </c>
      <c r="B93" s="154">
        <f>B90-B92</f>
        <v>29597</v>
      </c>
      <c r="C93" s="154">
        <f>C90-C92</f>
        <v>78965</v>
      </c>
      <c r="D93" s="154">
        <f>D90-D92</f>
        <v>280203</v>
      </c>
      <c r="E93" s="154">
        <f>E90-E92</f>
        <v>403186</v>
      </c>
      <c r="F93" s="154">
        <f>F90-F92</f>
        <v>0</v>
      </c>
    </row>
    <row r="94" spans="1:6" s="147" customFormat="1" x14ac:dyDescent="0.25"/>
    <row r="95" spans="1:6" s="147" customFormat="1" x14ac:dyDescent="0.25">
      <c r="A95" s="172" t="s">
        <v>376</v>
      </c>
      <c r="B95" s="172">
        <f>B24+B25</f>
        <v>23402</v>
      </c>
      <c r="C95" s="172">
        <f>C24+C25</f>
        <v>22422</v>
      </c>
      <c r="D95" s="172">
        <f>D24+D25</f>
        <v>29892</v>
      </c>
      <c r="E95" s="172">
        <f>E24+E25</f>
        <v>45144</v>
      </c>
      <c r="F95" s="172">
        <f>F24+F25</f>
        <v>0</v>
      </c>
    </row>
    <row r="96" spans="1:6" s="147" customFormat="1" x14ac:dyDescent="0.25">
      <c r="A96" s="172" t="s">
        <v>377</v>
      </c>
      <c r="B96" s="172">
        <f t="shared" ref="B96:F97" si="4">B28</f>
        <v>160</v>
      </c>
      <c r="C96" s="172">
        <f t="shared" si="4"/>
        <v>83</v>
      </c>
      <c r="D96" s="172">
        <f t="shared" si="4"/>
        <v>3493</v>
      </c>
      <c r="E96" s="172">
        <f t="shared" si="4"/>
        <v>6875</v>
      </c>
      <c r="F96" s="172">
        <f t="shared" si="4"/>
        <v>0</v>
      </c>
    </row>
    <row r="97" spans="1:6" s="147" customFormat="1" x14ac:dyDescent="0.25">
      <c r="A97" s="172" t="s">
        <v>378</v>
      </c>
      <c r="B97" s="172">
        <f t="shared" si="4"/>
        <v>21244</v>
      </c>
      <c r="C97" s="172">
        <f t="shared" si="4"/>
        <v>21796</v>
      </c>
      <c r="D97" s="172">
        <f t="shared" si="4"/>
        <v>21792</v>
      </c>
      <c r="E97" s="172">
        <f t="shared" si="4"/>
        <v>19930</v>
      </c>
      <c r="F97" s="172">
        <f t="shared" si="4"/>
        <v>0</v>
      </c>
    </row>
    <row r="98" spans="1:6" s="147" customFormat="1" x14ac:dyDescent="0.25">
      <c r="A98" s="172" t="s">
        <v>379</v>
      </c>
      <c r="B98" s="172">
        <f>B30+B31</f>
        <v>993</v>
      </c>
      <c r="C98" s="172">
        <f>C30+C31</f>
        <v>7088</v>
      </c>
      <c r="D98" s="172">
        <f>D30+D31</f>
        <v>6873</v>
      </c>
      <c r="E98" s="172">
        <f>E30+E31</f>
        <v>74578</v>
      </c>
      <c r="F98" s="172">
        <f>F30+F31</f>
        <v>0</v>
      </c>
    </row>
    <row r="99" spans="1:6" s="147" customFormat="1" x14ac:dyDescent="0.25">
      <c r="A99" s="172" t="s">
        <v>380</v>
      </c>
      <c r="B99" s="172">
        <f>B33+B34</f>
        <v>0</v>
      </c>
      <c r="C99" s="172">
        <f>C33+C34</f>
        <v>0</v>
      </c>
      <c r="D99" s="172">
        <f>D33+D34</f>
        <v>0</v>
      </c>
      <c r="E99" s="172">
        <f>E33+E34</f>
        <v>0</v>
      </c>
      <c r="F99" s="172">
        <f>F33+F34</f>
        <v>0</v>
      </c>
    </row>
    <row r="100" spans="1:6" s="147" customFormat="1" x14ac:dyDescent="0.25">
      <c r="A100" s="154" t="s">
        <v>381</v>
      </c>
      <c r="B100" s="154">
        <f>B93-B95-B96-B97-B98-B99</f>
        <v>-16202</v>
      </c>
      <c r="C100" s="154">
        <f>C93-C95-C96-C97-C98-C99</f>
        <v>27576</v>
      </c>
      <c r="D100" s="154">
        <f>D93-D95-D96-D97-D98-D99</f>
        <v>218153</v>
      </c>
      <c r="E100" s="154">
        <f>E93-E95-E96-E97-E98-E99</f>
        <v>256659</v>
      </c>
      <c r="F100" s="154">
        <f>F93-F95-F96-F97-F98-F99</f>
        <v>0</v>
      </c>
    </row>
    <row r="101" spans="1:6" s="147" customFormat="1" x14ac:dyDescent="0.25"/>
    <row r="102" spans="1:6" s="147" customFormat="1" x14ac:dyDescent="0.25">
      <c r="A102" s="172" t="s">
        <v>382</v>
      </c>
      <c r="B102" s="172">
        <f>B40+B41</f>
        <v>3792</v>
      </c>
      <c r="C102" s="172">
        <f>C40+C41</f>
        <v>2080</v>
      </c>
      <c r="D102" s="172">
        <f>D40+D41</f>
        <v>9518</v>
      </c>
      <c r="E102" s="172">
        <f>E40+E41</f>
        <v>930</v>
      </c>
      <c r="F102" s="172">
        <f>F40+F41</f>
        <v>0</v>
      </c>
    </row>
    <row r="103" spans="1:6" s="147" customFormat="1" x14ac:dyDescent="0.25">
      <c r="A103" s="172" t="s">
        <v>383</v>
      </c>
      <c r="B103" s="172">
        <f>B48+B49</f>
        <v>0</v>
      </c>
      <c r="C103" s="172">
        <f>C48+C49</f>
        <v>0</v>
      </c>
      <c r="D103" s="172">
        <f>D48+D49</f>
        <v>0</v>
      </c>
      <c r="E103" s="172">
        <f>E48+E49</f>
        <v>0</v>
      </c>
      <c r="F103" s="172">
        <f>F48+F49</f>
        <v>0</v>
      </c>
    </row>
    <row r="104" spans="1:6" s="147" customFormat="1" x14ac:dyDescent="0.25">
      <c r="A104" s="172" t="s">
        <v>384</v>
      </c>
      <c r="B104" s="172">
        <f>B51</f>
        <v>0</v>
      </c>
      <c r="C104" s="172">
        <f>C51</f>
        <v>0</v>
      </c>
      <c r="D104" s="172">
        <f>D51</f>
        <v>0</v>
      </c>
      <c r="E104" s="172">
        <f>E51</f>
        <v>0</v>
      </c>
      <c r="F104" s="172">
        <f>F51</f>
        <v>0</v>
      </c>
    </row>
    <row r="105" spans="1:6" s="147" customFormat="1" x14ac:dyDescent="0.25">
      <c r="A105" s="154" t="s">
        <v>385</v>
      </c>
      <c r="B105" s="154">
        <f>B100+B102-B103+B104</f>
        <v>-12410</v>
      </c>
      <c r="C105" s="154">
        <f>C100+C102-C103+C104</f>
        <v>29656</v>
      </c>
      <c r="D105" s="154">
        <f>D100+D102-D103+D104</f>
        <v>227671</v>
      </c>
      <c r="E105" s="154">
        <f>E100+E102-E103+E104</f>
        <v>257589</v>
      </c>
      <c r="F105" s="154">
        <f>F100+F102-F103+F104</f>
        <v>0</v>
      </c>
    </row>
    <row r="106" spans="1:6" s="147" customFormat="1" x14ac:dyDescent="0.25"/>
    <row r="107" spans="1:6" s="147" customFormat="1" x14ac:dyDescent="0.25">
      <c r="A107" s="172" t="s">
        <v>386</v>
      </c>
      <c r="B107" s="172">
        <f>B47</f>
        <v>33590</v>
      </c>
      <c r="C107" s="172">
        <f>C47</f>
        <v>21667</v>
      </c>
      <c r="D107" s="172">
        <f>D47</f>
        <v>20571</v>
      </c>
      <c r="E107" s="172">
        <f>E47</f>
        <v>10826</v>
      </c>
      <c r="F107" s="172">
        <f>F47</f>
        <v>0</v>
      </c>
    </row>
    <row r="108" spans="1:6" s="147" customFormat="1" x14ac:dyDescent="0.25">
      <c r="A108" s="154" t="s">
        <v>387</v>
      </c>
      <c r="B108" s="154">
        <f>B105-B107</f>
        <v>-46000</v>
      </c>
      <c r="C108" s="154">
        <f>C105-C107</f>
        <v>7989</v>
      </c>
      <c r="D108" s="154">
        <f>D105-D107</f>
        <v>207100</v>
      </c>
      <c r="E108" s="154">
        <f>E105-E107</f>
        <v>246763</v>
      </c>
      <c r="F108" s="154">
        <f>F105-F107</f>
        <v>0</v>
      </c>
    </row>
    <row r="109" spans="1:6" s="147" customFormat="1" x14ac:dyDescent="0.25"/>
    <row r="110" spans="1:6" s="147" customFormat="1" x14ac:dyDescent="0.25">
      <c r="A110" s="172" t="s">
        <v>388</v>
      </c>
      <c r="B110" s="172">
        <f>B61</f>
        <v>0</v>
      </c>
      <c r="C110" s="172">
        <f>C61</f>
        <v>0</v>
      </c>
      <c r="D110" s="172">
        <f>D61</f>
        <v>0</v>
      </c>
      <c r="E110" s="172">
        <f>E61</f>
        <v>-17789</v>
      </c>
      <c r="F110" s="172">
        <f>F61</f>
        <v>0</v>
      </c>
    </row>
    <row r="111" spans="1:6" s="147" customFormat="1" x14ac:dyDescent="0.25">
      <c r="A111" s="154" t="s">
        <v>359</v>
      </c>
      <c r="B111" s="154">
        <f>B108+B110</f>
        <v>-46000</v>
      </c>
      <c r="C111" s="154">
        <f>C108+C110</f>
        <v>7989</v>
      </c>
      <c r="D111" s="154">
        <f>D108+D110</f>
        <v>207100</v>
      </c>
      <c r="E111" s="154">
        <f>E108+E110</f>
        <v>228974</v>
      </c>
      <c r="F111" s="154">
        <f>F108+F110</f>
        <v>0</v>
      </c>
    </row>
    <row r="112" spans="1:6" s="147" customFormat="1" x14ac:dyDescent="0.25"/>
    <row r="113" spans="1:6" s="147" customFormat="1" x14ac:dyDescent="0.25">
      <c r="A113" s="172" t="s">
        <v>360</v>
      </c>
      <c r="B113" s="172">
        <f>B69</f>
        <v>0</v>
      </c>
      <c r="C113" s="172">
        <f>C69</f>
        <v>58</v>
      </c>
      <c r="D113" s="172">
        <f>D69</f>
        <v>1491</v>
      </c>
      <c r="E113" s="172">
        <f>E69</f>
        <v>0</v>
      </c>
      <c r="F113" s="172">
        <f>F69</f>
        <v>0</v>
      </c>
    </row>
    <row r="114" spans="1:6" s="147" customFormat="1" x14ac:dyDescent="0.25">
      <c r="A114" s="154" t="s">
        <v>361</v>
      </c>
      <c r="B114" s="154">
        <f>B111-B113</f>
        <v>-46000</v>
      </c>
      <c r="C114" s="154">
        <f>C111-C113</f>
        <v>7931</v>
      </c>
      <c r="D114" s="154">
        <f>D111-D113</f>
        <v>205609</v>
      </c>
      <c r="E114" s="154">
        <f>E111-E113</f>
        <v>228974</v>
      </c>
      <c r="F114" s="154">
        <f>F111-F113</f>
        <v>0</v>
      </c>
    </row>
  </sheetData>
  <sheetProtection password="84D3" sheet="1" objects="1" scenarios="1" selectLockedCells="1"/>
  <mergeCells count="2">
    <mergeCell ref="A1:F1"/>
    <mergeCell ref="A2:F2"/>
  </mergeCells>
  <pageMargins left="0.74803149606299213" right="0.74803149606299213" top="0.98425196850393704" bottom="0.98425196850393704" header="0.51181102362204722" footer="0.51181102362204722"/>
  <pageSetup paperSize="9" scale="75" orientation="portrait" horizontalDpi="4294967292" verticalDpi="4294967292" r:id="rId1"/>
  <headerFooter alignWithMargins="0"/>
  <rowBreaks count="1" manualBreakCount="1">
    <brk id="7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3"/>
  <sheetViews>
    <sheetView tabSelected="1" zoomScale="150" zoomScaleNormal="150" workbookViewId="0">
      <selection activeCell="A53" sqref="A53"/>
    </sheetView>
  </sheetViews>
  <sheetFormatPr defaultColWidth="9.109375" defaultRowHeight="13.2" x14ac:dyDescent="0.25"/>
  <cols>
    <col min="1" max="1" width="39.6640625" style="10" customWidth="1"/>
    <col min="2" max="2" width="13" style="10" customWidth="1"/>
    <col min="3" max="3" width="12.109375" style="10" customWidth="1"/>
    <col min="4" max="4" width="12" style="10" customWidth="1"/>
    <col min="5" max="5" width="9.44140625" style="10" customWidth="1"/>
    <col min="6" max="6" width="8.5546875" style="10" bestFit="1" customWidth="1"/>
    <col min="7" max="7" width="7.5546875" style="10" customWidth="1"/>
    <col min="8" max="8" width="11.33203125" style="10" bestFit="1" customWidth="1"/>
    <col min="9" max="9" width="12.109375" style="10" customWidth="1"/>
    <col min="10" max="10" width="12.109375" style="10" hidden="1" customWidth="1"/>
    <col min="11" max="11" width="10" style="10" customWidth="1"/>
    <col min="12" max="12" width="13.6640625" style="10" customWidth="1"/>
    <col min="13" max="16384" width="9.109375" style="10"/>
  </cols>
  <sheetData>
    <row r="1" spans="1:20" ht="13.8" thickBot="1" x14ac:dyDescent="0.3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5">
      <c r="A2" s="2" t="s">
        <v>393</v>
      </c>
      <c r="B2" s="115"/>
      <c r="C2" s="12"/>
      <c r="D2" s="13"/>
      <c r="E2" s="258" t="s">
        <v>14</v>
      </c>
      <c r="F2" s="258"/>
      <c r="G2" s="258"/>
      <c r="H2" s="259" t="s">
        <v>15</v>
      </c>
      <c r="I2" s="259"/>
      <c r="J2" s="14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3.8" thickBot="1" x14ac:dyDescent="0.3">
      <c r="A3" s="219" t="s">
        <v>1</v>
      </c>
      <c r="B3" s="223">
        <v>2020</v>
      </c>
      <c r="C3" s="224">
        <v>2021</v>
      </c>
      <c r="D3" s="225">
        <v>2022</v>
      </c>
      <c r="E3" s="3" t="s">
        <v>16</v>
      </c>
      <c r="F3" s="4" t="s">
        <v>17</v>
      </c>
      <c r="G3" s="5" t="s">
        <v>2</v>
      </c>
      <c r="H3" s="16" t="s">
        <v>18</v>
      </c>
      <c r="I3" s="17" t="s">
        <v>19</v>
      </c>
      <c r="J3" s="18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5">
      <c r="A4" s="228" t="s">
        <v>127</v>
      </c>
      <c r="B4" s="229">
        <f>SUM(B5:B9)</f>
        <v>167220</v>
      </c>
      <c r="C4" s="229">
        <f t="shared" ref="C4:D4" si="0">SUM(C5:C9)</f>
        <v>157842</v>
      </c>
      <c r="D4" s="230">
        <f t="shared" si="0"/>
        <v>141984</v>
      </c>
      <c r="E4" s="221">
        <f>ROUND(B4/$B$15,4)</f>
        <v>4.3499999999999997E-2</v>
      </c>
      <c r="F4" s="20">
        <f>ROUND(C4/$C$15,4)</f>
        <v>4.0599999999999997E-2</v>
      </c>
      <c r="G4" s="21">
        <f>ROUND(D4/$D$18,4)</f>
        <v>7.6300000000000007E-2</v>
      </c>
      <c r="H4" s="6">
        <f t="shared" ref="H4:H7" si="1">C4-B4</f>
        <v>-9378</v>
      </c>
      <c r="I4" s="22">
        <f t="shared" ref="I4:I7" si="2">D4-C4</f>
        <v>-15858</v>
      </c>
      <c r="J4" s="23"/>
      <c r="K4" s="24">
        <f>B4/B15</f>
        <v>4.3453291998742295E-2</v>
      </c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5">
      <c r="A5" s="231" t="s">
        <v>3</v>
      </c>
      <c r="B5" s="227">
        <f>+SP!C15</f>
        <v>280</v>
      </c>
      <c r="C5" s="227">
        <f>+SP!D15</f>
        <v>3687</v>
      </c>
      <c r="D5" s="232">
        <f>+SP!E15</f>
        <v>3577</v>
      </c>
      <c r="E5" s="222">
        <f>ROUND(B5/$B$15,4)</f>
        <v>1E-4</v>
      </c>
      <c r="F5" s="26">
        <f>ROUND(C5/$C$15,4)</f>
        <v>8.9999999999999998E-4</v>
      </c>
      <c r="G5" s="27">
        <f>ROUND(D5/$D$18,4)</f>
        <v>1.9E-3</v>
      </c>
      <c r="H5" s="7">
        <f t="shared" si="1"/>
        <v>3407</v>
      </c>
      <c r="I5" s="8">
        <f t="shared" si="2"/>
        <v>-110</v>
      </c>
      <c r="J5" s="28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25">
      <c r="A6" s="231" t="s">
        <v>4</v>
      </c>
      <c r="B6" s="227">
        <f>+SP!C24</f>
        <v>254143</v>
      </c>
      <c r="C6" s="227">
        <f>+SP!D24</f>
        <v>234774</v>
      </c>
      <c r="D6" s="232">
        <f>+SP!E24</f>
        <v>216288</v>
      </c>
      <c r="E6" s="222">
        <f>ROUND(B6/$B$15,4)</f>
        <v>6.6000000000000003E-2</v>
      </c>
      <c r="F6" s="26">
        <f>ROUND(C6/$C$15,4)</f>
        <v>6.0400000000000002E-2</v>
      </c>
      <c r="G6" s="27">
        <f>ROUND(D6/$D$18,4)</f>
        <v>0.1162</v>
      </c>
      <c r="H6" s="7">
        <f t="shared" si="1"/>
        <v>-19369</v>
      </c>
      <c r="I6" s="8">
        <f t="shared" si="2"/>
        <v>-18486</v>
      </c>
      <c r="J6" s="28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5">
      <c r="A7" s="231" t="s">
        <v>5</v>
      </c>
      <c r="B7" s="227">
        <f>+SP!C31</f>
        <v>16162</v>
      </c>
      <c r="C7" s="227">
        <f>+SP!D31</f>
        <v>16012</v>
      </c>
      <c r="D7" s="232">
        <f>+SP!E31</f>
        <v>12019</v>
      </c>
      <c r="E7" s="222">
        <f>ROUND(B7/$B$15,4)</f>
        <v>4.1999999999999997E-3</v>
      </c>
      <c r="F7" s="26">
        <f>ROUND(C7/$C$15,4)</f>
        <v>4.1000000000000003E-3</v>
      </c>
      <c r="G7" s="27">
        <f>ROUND(D7/$D$18,4)</f>
        <v>6.4999999999999997E-3</v>
      </c>
      <c r="H7" s="7">
        <f t="shared" si="1"/>
        <v>-150</v>
      </c>
      <c r="I7" s="8">
        <f t="shared" si="2"/>
        <v>-3993</v>
      </c>
      <c r="J7" s="28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x14ac:dyDescent="0.25">
      <c r="A8" s="231" t="s">
        <v>133</v>
      </c>
      <c r="B8" s="227"/>
      <c r="C8" s="227"/>
      <c r="D8" s="232"/>
      <c r="E8" s="222" t="s">
        <v>20</v>
      </c>
      <c r="F8" s="26">
        <f>ROUND(C8/$C$15,4)</f>
        <v>0</v>
      </c>
      <c r="G8" s="27" t="s">
        <v>20</v>
      </c>
      <c r="H8" s="29"/>
      <c r="I8" s="3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3.8" thickBot="1" x14ac:dyDescent="0.3">
      <c r="A9" s="233" t="s">
        <v>389</v>
      </c>
      <c r="B9" s="234">
        <f>-SP!C143</f>
        <v>-103365</v>
      </c>
      <c r="C9" s="234">
        <f>-SP!D143</f>
        <v>-96631</v>
      </c>
      <c r="D9" s="235">
        <f>-SP!E143</f>
        <v>-89900</v>
      </c>
      <c r="E9" s="222"/>
      <c r="F9" s="26"/>
      <c r="G9" s="27"/>
      <c r="H9" s="29"/>
      <c r="I9" s="3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3.8" thickBot="1" x14ac:dyDescent="0.3">
      <c r="A10" s="220" t="s">
        <v>128</v>
      </c>
      <c r="B10" s="226">
        <f>SUM(B11:B13)</f>
        <v>3681050</v>
      </c>
      <c r="C10" s="226">
        <f>SUM(C11:C13)</f>
        <v>3728595</v>
      </c>
      <c r="D10" s="226">
        <f>SUM(D11:D13)</f>
        <v>4144280</v>
      </c>
      <c r="E10" s="19">
        <f t="shared" ref="E10:E13" si="3">ROUND(B10/$B$15,4)</f>
        <v>0.95650000000000002</v>
      </c>
      <c r="F10" s="20">
        <f>ROUND(C10/$C$15,4)</f>
        <v>0.95940000000000003</v>
      </c>
      <c r="G10" s="21">
        <f>ROUND(D10/$D$18,4)</f>
        <v>2.2256999999999998</v>
      </c>
      <c r="H10" s="6">
        <f t="shared" ref="H10:H13" si="4">C10-B10</f>
        <v>47545</v>
      </c>
      <c r="I10" s="22">
        <f t="shared" ref="I10:I13" si="5">D10-C10</f>
        <v>415685</v>
      </c>
      <c r="J10" s="23"/>
      <c r="K10" s="24">
        <f>B10/B15</f>
        <v>0.95654670800125774</v>
      </c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1.25" customHeight="1" x14ac:dyDescent="0.25">
      <c r="A11" s="1" t="s">
        <v>6</v>
      </c>
      <c r="B11" s="122">
        <f>+SP!C51</f>
        <v>0</v>
      </c>
      <c r="C11" s="122">
        <f>+SP!D51</f>
        <v>0</v>
      </c>
      <c r="D11" s="122">
        <f>+SP!E51</f>
        <v>0</v>
      </c>
      <c r="E11" s="25">
        <f t="shared" si="3"/>
        <v>0</v>
      </c>
      <c r="F11" s="26">
        <f>ROUND(C11/$C$15,4)</f>
        <v>0</v>
      </c>
      <c r="G11" s="27">
        <f>ROUND(D11/$D$18,4)</f>
        <v>0</v>
      </c>
      <c r="H11" s="7">
        <f t="shared" si="4"/>
        <v>0</v>
      </c>
      <c r="I11" s="8">
        <f t="shared" si="5"/>
        <v>0</v>
      </c>
      <c r="J11" s="28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" t="s">
        <v>7</v>
      </c>
      <c r="B12" s="122">
        <f>+SP!C58+SP!C88</f>
        <v>2163541</v>
      </c>
      <c r="C12" s="122">
        <f>+SP!D58+SP!D88</f>
        <v>2414619</v>
      </c>
      <c r="D12" s="122">
        <f>+SP!E58+SP!E88</f>
        <v>3124625</v>
      </c>
      <c r="E12" s="25">
        <f t="shared" si="3"/>
        <v>0.56220000000000003</v>
      </c>
      <c r="F12" s="26">
        <f>ROUND(C12/$C$15,4)</f>
        <v>0.62129999999999996</v>
      </c>
      <c r="G12" s="27">
        <f>ROUND(D12/$D$18,4)</f>
        <v>1.6780999999999999</v>
      </c>
      <c r="H12" s="7">
        <f t="shared" si="4"/>
        <v>251078</v>
      </c>
      <c r="I12" s="8">
        <f t="shared" si="5"/>
        <v>710006</v>
      </c>
      <c r="J12" s="28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x14ac:dyDescent="0.25">
      <c r="A13" s="1" t="s">
        <v>8</v>
      </c>
      <c r="B13" s="122">
        <f>+SP!C83</f>
        <v>1517509</v>
      </c>
      <c r="C13" s="122">
        <f>+SP!D83</f>
        <v>1313976</v>
      </c>
      <c r="D13" s="122">
        <f>+SP!E83</f>
        <v>1019655</v>
      </c>
      <c r="E13" s="25">
        <f t="shared" si="3"/>
        <v>0.39429999999999998</v>
      </c>
      <c r="F13" s="26">
        <f>ROUND(C13/$C$15,4)</f>
        <v>0.33810000000000001</v>
      </c>
      <c r="G13" s="27">
        <f>ROUND(D13/$D$18,4)</f>
        <v>0.54759999999999998</v>
      </c>
      <c r="H13" s="7">
        <f t="shared" si="4"/>
        <v>-203533</v>
      </c>
      <c r="I13" s="8">
        <f t="shared" si="5"/>
        <v>-294321</v>
      </c>
      <c r="J13" s="28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3.8" thickBot="1" x14ac:dyDescent="0.3">
      <c r="A14" s="1"/>
      <c r="B14" s="122"/>
      <c r="C14" s="124"/>
      <c r="D14" s="123"/>
      <c r="E14" s="25"/>
      <c r="F14" s="26" t="s">
        <v>20</v>
      </c>
      <c r="G14" s="27" t="s">
        <v>20</v>
      </c>
      <c r="H14" s="29"/>
      <c r="I14" s="3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13.8" thickBot="1" x14ac:dyDescent="0.3">
      <c r="A15" s="40" t="s">
        <v>129</v>
      </c>
      <c r="B15" s="121">
        <f>B10+B4</f>
        <v>3848270</v>
      </c>
      <c r="C15" s="121">
        <f>C10+C4</f>
        <v>3886437</v>
      </c>
      <c r="D15" s="121">
        <f>D10+D4</f>
        <v>4286264</v>
      </c>
      <c r="E15" s="19">
        <f>ROUND(B15/$B$15,4)</f>
        <v>1</v>
      </c>
      <c r="F15" s="20">
        <f>ROUND(C15/$C$15,4)</f>
        <v>1</v>
      </c>
      <c r="G15" s="21">
        <f>ROUND(D15/$D$18,4)</f>
        <v>2.302</v>
      </c>
      <c r="H15" s="6">
        <f>C15-B15</f>
        <v>38167</v>
      </c>
      <c r="I15" s="22">
        <f>D15-C15</f>
        <v>399827</v>
      </c>
      <c r="J15" s="23"/>
      <c r="K15" s="31">
        <f>+K4+K10</f>
        <v>1</v>
      </c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5">
      <c r="A16" s="1"/>
      <c r="B16" s="122"/>
      <c r="C16" s="124"/>
      <c r="D16" s="123"/>
      <c r="E16" s="29"/>
      <c r="F16" s="32"/>
      <c r="G16" s="30"/>
      <c r="H16" s="29"/>
      <c r="I16" s="3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13.8" thickBot="1" x14ac:dyDescent="0.3">
      <c r="A17" s="2" t="s">
        <v>9</v>
      </c>
      <c r="B17" s="125">
        <f>+B3</f>
        <v>2020</v>
      </c>
      <c r="C17" s="126">
        <f>+C3</f>
        <v>2021</v>
      </c>
      <c r="D17" s="127">
        <f>+D3</f>
        <v>2022</v>
      </c>
      <c r="E17" s="29"/>
      <c r="F17" s="32"/>
      <c r="G17" s="30"/>
      <c r="H17" s="29"/>
      <c r="I17" s="3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3.8" thickBot="1" x14ac:dyDescent="0.3">
      <c r="A18" s="40" t="s">
        <v>130</v>
      </c>
      <c r="B18" s="121">
        <f>SUM(B19:B21)</f>
        <v>1434317</v>
      </c>
      <c r="C18" s="121">
        <f>SUM(C19:C21)</f>
        <v>1639688</v>
      </c>
      <c r="D18" s="121">
        <f>SUM(D19:D21)</f>
        <v>1861991</v>
      </c>
      <c r="E18" s="19">
        <f t="shared" ref="E18:E21" si="6">ROUND(B18/$B$27,4)</f>
        <v>0.37269999999999998</v>
      </c>
      <c r="F18" s="20">
        <f t="shared" ref="F18:F21" si="7">ROUND(C18/$C$27,4)</f>
        <v>0.4219</v>
      </c>
      <c r="G18" s="21">
        <f t="shared" ref="G18:G21" si="8">ROUND(D18/$D$27,4)</f>
        <v>0.43440000000000001</v>
      </c>
      <c r="H18" s="6">
        <f t="shared" ref="H18:H21" si="9">C18-B18</f>
        <v>205371</v>
      </c>
      <c r="I18" s="22">
        <f t="shared" ref="I18:I20" si="10">D18-C18</f>
        <v>222303</v>
      </c>
      <c r="J18" s="23"/>
      <c r="K18" s="11" t="s">
        <v>21</v>
      </c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A19" s="1" t="s">
        <v>22</v>
      </c>
      <c r="B19" s="122">
        <f>+SP!C95</f>
        <v>45500</v>
      </c>
      <c r="C19" s="122">
        <f>+SP!D95</f>
        <v>45500</v>
      </c>
      <c r="D19" s="122">
        <f>+SP!E95</f>
        <v>45000</v>
      </c>
      <c r="E19" s="25">
        <f t="shared" si="6"/>
        <v>1.18E-2</v>
      </c>
      <c r="F19" s="26">
        <f t="shared" si="7"/>
        <v>1.17E-2</v>
      </c>
      <c r="G19" s="27">
        <f t="shared" si="8"/>
        <v>1.0500000000000001E-2</v>
      </c>
      <c r="H19" s="7">
        <f t="shared" si="9"/>
        <v>0</v>
      </c>
      <c r="I19" s="8">
        <f t="shared" si="10"/>
        <v>-500</v>
      </c>
      <c r="J19" s="28"/>
      <c r="K19" s="11" t="s">
        <v>20</v>
      </c>
      <c r="L19" s="11"/>
      <c r="M19" s="11"/>
      <c r="N19" s="11"/>
      <c r="O19" s="11"/>
      <c r="P19" s="11"/>
      <c r="Q19" s="11"/>
      <c r="R19" s="11"/>
      <c r="S19" s="11"/>
      <c r="T19" s="11"/>
    </row>
    <row r="20" spans="1:20" x14ac:dyDescent="0.25">
      <c r="A20" s="1" t="s">
        <v>23</v>
      </c>
      <c r="B20" s="122">
        <f>+SP!C96+SP!C98+SP!C99+SP!C101</f>
        <v>1380886</v>
      </c>
      <c r="C20" s="122">
        <f>+SP!D96+SP!D98+SP!D99+SP!D101</f>
        <v>1388579</v>
      </c>
      <c r="D20" s="122">
        <f>+SP!E96+SP!E98+SP!E99+SP!E101</f>
        <v>1588017</v>
      </c>
      <c r="E20" s="25">
        <f t="shared" si="6"/>
        <v>0.35880000000000001</v>
      </c>
      <c r="F20" s="26">
        <f t="shared" si="7"/>
        <v>0.35730000000000001</v>
      </c>
      <c r="G20" s="27">
        <f t="shared" si="8"/>
        <v>0.3705</v>
      </c>
      <c r="H20" s="7">
        <f t="shared" si="9"/>
        <v>7693</v>
      </c>
      <c r="I20" s="8">
        <f t="shared" si="10"/>
        <v>199438</v>
      </c>
      <c r="J20" s="28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" t="s">
        <v>10</v>
      </c>
      <c r="B21" s="122">
        <f>+SP!C103</f>
        <v>7931</v>
      </c>
      <c r="C21" s="122">
        <f>+SP!D103</f>
        <v>205609</v>
      </c>
      <c r="D21" s="122">
        <f>+SP!E103</f>
        <v>228974</v>
      </c>
      <c r="E21" s="25">
        <f t="shared" si="6"/>
        <v>2.0999999999999999E-3</v>
      </c>
      <c r="F21" s="26">
        <f t="shared" si="7"/>
        <v>5.2900000000000003E-2</v>
      </c>
      <c r="G21" s="27">
        <f t="shared" si="8"/>
        <v>5.3400000000000003E-2</v>
      </c>
      <c r="H21" s="7">
        <f t="shared" si="9"/>
        <v>197678</v>
      </c>
      <c r="I21" s="3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3.8" thickBot="1" x14ac:dyDescent="0.3">
      <c r="A22" s="1"/>
      <c r="B22" s="122"/>
      <c r="C22" s="124"/>
      <c r="D22" s="123"/>
      <c r="E22" s="25" t="s">
        <v>20</v>
      </c>
      <c r="F22" s="26" t="s">
        <v>20</v>
      </c>
      <c r="G22" s="27" t="s">
        <v>20</v>
      </c>
      <c r="H22" s="29"/>
      <c r="I22" s="3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3.8" thickBot="1" x14ac:dyDescent="0.3">
      <c r="A23" s="40" t="s">
        <v>11</v>
      </c>
      <c r="B23" s="121">
        <f>SUM(B24:B25)</f>
        <v>2413953</v>
      </c>
      <c r="C23" s="121">
        <f>SUM(C24:C25)</f>
        <v>2246749</v>
      </c>
      <c r="D23" s="121">
        <f>SUM(D24:D25)</f>
        <v>2424273</v>
      </c>
      <c r="E23" s="19">
        <f t="shared" ref="E23:E25" si="11">ROUND(B23/$B$27,4)</f>
        <v>0.62729999999999997</v>
      </c>
      <c r="F23" s="20">
        <f t="shared" ref="F23:F25" si="12">ROUND(C23/$C$27,4)</f>
        <v>0.57809999999999995</v>
      </c>
      <c r="G23" s="21">
        <f t="shared" ref="G23:G25" si="13">ROUND(D23/$D$27,4)</f>
        <v>0.56559999999999999</v>
      </c>
      <c r="H23" s="6">
        <f t="shared" ref="H23:H25" si="14">C23-B23</f>
        <v>-167204</v>
      </c>
      <c r="I23" s="22">
        <f t="shared" ref="I23:I25" si="15">D23-C23</f>
        <v>177524</v>
      </c>
      <c r="J23" s="23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x14ac:dyDescent="0.25">
      <c r="A24" s="1" t="s">
        <v>131</v>
      </c>
      <c r="B24" s="122">
        <f>+SP!C105+SP!C110</f>
        <v>223339</v>
      </c>
      <c r="C24" s="122">
        <f>+SP!D105+SP!D110</f>
        <v>251217</v>
      </c>
      <c r="D24" s="122">
        <f>+SP!E105+SP!E110</f>
        <v>273143</v>
      </c>
      <c r="E24" s="25">
        <f t="shared" si="11"/>
        <v>5.8000000000000003E-2</v>
      </c>
      <c r="F24" s="26">
        <f t="shared" si="12"/>
        <v>6.4600000000000005E-2</v>
      </c>
      <c r="G24" s="27">
        <f t="shared" si="13"/>
        <v>6.3700000000000007E-2</v>
      </c>
      <c r="H24" s="7">
        <f t="shared" si="14"/>
        <v>27878</v>
      </c>
      <c r="I24" s="8">
        <f t="shared" si="15"/>
        <v>21926</v>
      </c>
      <c r="J24" s="28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5">
      <c r="A25" s="1" t="s">
        <v>132</v>
      </c>
      <c r="B25" s="122">
        <f>+SP!C112+SP!C142-SP!C143</f>
        <v>2190614</v>
      </c>
      <c r="C25" s="122">
        <f>+SP!D112+SP!D142-SP!D143</f>
        <v>1995532</v>
      </c>
      <c r="D25" s="122">
        <f>+SP!E112+SP!E142-SP!E143</f>
        <v>2151130</v>
      </c>
      <c r="E25" s="25">
        <f t="shared" si="11"/>
        <v>0.56920000000000004</v>
      </c>
      <c r="F25" s="26">
        <f t="shared" si="12"/>
        <v>0.51349999999999996</v>
      </c>
      <c r="G25" s="27">
        <f t="shared" si="13"/>
        <v>0.50190000000000001</v>
      </c>
      <c r="H25" s="7">
        <f t="shared" si="14"/>
        <v>-195082</v>
      </c>
      <c r="I25" s="8">
        <f t="shared" si="15"/>
        <v>155598</v>
      </c>
      <c r="J25" s="28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3.8" thickBot="1" x14ac:dyDescent="0.3">
      <c r="A26" s="1"/>
      <c r="B26" s="122"/>
      <c r="C26" s="124"/>
      <c r="D26" s="123"/>
      <c r="E26" s="25" t="s">
        <v>20</v>
      </c>
      <c r="F26" s="26" t="s">
        <v>20</v>
      </c>
      <c r="G26" s="27" t="s">
        <v>20</v>
      </c>
      <c r="H26" s="29"/>
      <c r="I26" s="3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3.8" thickBot="1" x14ac:dyDescent="0.3">
      <c r="A27" s="40" t="s">
        <v>12</v>
      </c>
      <c r="B27" s="121">
        <f>B18+B23</f>
        <v>3848270</v>
      </c>
      <c r="C27" s="121">
        <f>C18+C23</f>
        <v>3886437</v>
      </c>
      <c r="D27" s="121">
        <f>D18+D23</f>
        <v>4286264</v>
      </c>
      <c r="E27" s="19">
        <f>ROUND(B27/$B$27,4)</f>
        <v>1</v>
      </c>
      <c r="F27" s="20">
        <f>ROUND(C27/$C$27,4)</f>
        <v>1</v>
      </c>
      <c r="G27" s="21">
        <f>ROUND(D27/$D$27,4)</f>
        <v>1</v>
      </c>
      <c r="H27" s="6">
        <f>C27-B27</f>
        <v>38167</v>
      </c>
      <c r="I27" s="22">
        <f>D27-C27</f>
        <v>399827</v>
      </c>
      <c r="J27" s="23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25">
      <c r="A28" s="11"/>
      <c r="B28" s="128"/>
      <c r="C28" s="128"/>
      <c r="D28" s="128"/>
      <c r="E28" s="11"/>
      <c r="F28" s="11"/>
      <c r="G28" s="11"/>
      <c r="H28" s="11"/>
      <c r="I28" s="11"/>
      <c r="J28" s="11"/>
      <c r="K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11"/>
      <c r="B29" s="128"/>
      <c r="C29" s="128"/>
      <c r="D29" s="128"/>
      <c r="E29" s="11"/>
      <c r="F29" s="11"/>
      <c r="G29" s="11"/>
      <c r="H29" s="11"/>
      <c r="I29" s="11"/>
      <c r="J29" s="11"/>
      <c r="K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25">
      <c r="A30" s="66" t="s">
        <v>121</v>
      </c>
      <c r="B30" s="128"/>
      <c r="C30" s="128"/>
      <c r="D30" s="128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A31" s="66" t="s">
        <v>122</v>
      </c>
      <c r="B31" s="122">
        <f>+SP!C135</f>
        <v>13757</v>
      </c>
      <c r="C31" s="122">
        <f>+SP!D135</f>
        <v>14991</v>
      </c>
      <c r="D31" s="122">
        <f>+SP!E135</f>
        <v>15711</v>
      </c>
      <c r="E31" s="11"/>
      <c r="F31" s="11"/>
      <c r="G31" s="11"/>
      <c r="H31" s="11"/>
      <c r="I31" s="11"/>
      <c r="J31" s="102">
        <v>0.7</v>
      </c>
      <c r="K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25">
      <c r="A32" s="66" t="s">
        <v>123</v>
      </c>
      <c r="B32" s="122">
        <f>+SP!C137</f>
        <v>11469</v>
      </c>
      <c r="C32" s="122">
        <f>+SP!D137</f>
        <v>14385</v>
      </c>
      <c r="D32" s="122">
        <f>+SP!E137</f>
        <v>22523</v>
      </c>
      <c r="E32" s="11"/>
      <c r="F32" s="11"/>
      <c r="G32" s="11"/>
      <c r="H32" s="11"/>
      <c r="I32" s="11"/>
      <c r="J32" s="102">
        <v>0.3</v>
      </c>
      <c r="K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66" t="s">
        <v>124</v>
      </c>
      <c r="B33" s="129">
        <f>+B31+B32</f>
        <v>25226</v>
      </c>
      <c r="C33" s="129">
        <f t="shared" ref="C33:D33" si="16">+C31+C32</f>
        <v>29376</v>
      </c>
      <c r="D33" s="129">
        <f t="shared" si="16"/>
        <v>38234</v>
      </c>
      <c r="E33" s="11"/>
      <c r="F33" s="11"/>
      <c r="G33" s="11"/>
      <c r="H33" s="11"/>
      <c r="I33" s="11"/>
      <c r="J33" s="11"/>
      <c r="K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11" t="s">
        <v>24</v>
      </c>
      <c r="B35" s="33" t="str">
        <f>IF(B15=B27,"OK",B15-B27)</f>
        <v>OK</v>
      </c>
      <c r="C35" s="33" t="str">
        <f>IF(C15=C27,"OK",C15-C27)</f>
        <v>OK</v>
      </c>
      <c r="D35" s="33" t="str">
        <f>IF(D15=D27,"OK",D15-D27)</f>
        <v>OK</v>
      </c>
      <c r="E35" s="11"/>
      <c r="F35" s="11"/>
      <c r="G35" s="11"/>
      <c r="H35" s="11"/>
      <c r="I35" s="11"/>
      <c r="J35" s="11"/>
      <c r="K35" s="11"/>
      <c r="M35" s="11"/>
      <c r="N35" s="11"/>
      <c r="O35" s="11"/>
      <c r="P35" s="11"/>
      <c r="Q35" s="11"/>
      <c r="R35" s="11"/>
      <c r="S35" s="11"/>
      <c r="T35" s="11"/>
    </row>
    <row r="36" spans="1:20" ht="13.8" thickBo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A37" s="4" t="s">
        <v>25</v>
      </c>
      <c r="B37" s="103">
        <f>+B3</f>
        <v>2020</v>
      </c>
      <c r="C37" s="103">
        <f>+C3</f>
        <v>2021</v>
      </c>
      <c r="D37" s="103">
        <f>+D3</f>
        <v>2022</v>
      </c>
      <c r="E37" s="260" t="s">
        <v>14</v>
      </c>
      <c r="F37" s="260"/>
      <c r="G37" s="260"/>
      <c r="H37" s="259" t="s">
        <v>15</v>
      </c>
      <c r="I37" s="259"/>
      <c r="J37" s="14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25">
      <c r="A38" s="32"/>
      <c r="B38" s="15"/>
      <c r="C38" s="104"/>
      <c r="D38" s="98"/>
      <c r="E38" s="4" t="s">
        <v>16</v>
      </c>
      <c r="F38" s="4" t="s">
        <v>17</v>
      </c>
      <c r="G38" s="4" t="s">
        <v>2</v>
      </c>
      <c r="H38" s="35" t="s">
        <v>18</v>
      </c>
      <c r="I38" s="35" t="s">
        <v>19</v>
      </c>
      <c r="J38" s="18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5">
      <c r="A39" s="32" t="s">
        <v>26</v>
      </c>
      <c r="B39" s="130">
        <f>+CE!C11</f>
        <v>6500785</v>
      </c>
      <c r="C39" s="130">
        <f>+CE!D11</f>
        <v>7547492</v>
      </c>
      <c r="D39" s="130">
        <f>+CE!E11</f>
        <v>8359039</v>
      </c>
      <c r="E39" s="36">
        <f t="shared" ref="E39:E47" si="17">ROUND(B39/$B$43,2)</f>
        <v>0.98</v>
      </c>
      <c r="F39" s="36">
        <f t="shared" ref="F39:F47" si="18">ROUND(C39/$C$43,2)</f>
        <v>0.98</v>
      </c>
      <c r="G39" s="36">
        <f t="shared" ref="G39:G47" si="19">ROUND(D39/$D$43,2)</f>
        <v>1</v>
      </c>
      <c r="H39" s="9">
        <f t="shared" ref="H39:H47" si="20">C39-B39</f>
        <v>1046707</v>
      </c>
      <c r="I39" s="9">
        <f t="shared" ref="I39:I47" si="21">D39-C39</f>
        <v>811547</v>
      </c>
      <c r="J39" s="28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25">
      <c r="A40" s="32" t="s">
        <v>27</v>
      </c>
      <c r="B40" s="130">
        <f>+CE!C14</f>
        <v>0</v>
      </c>
      <c r="C40" s="130">
        <f>+CE!D14</f>
        <v>0</v>
      </c>
      <c r="D40" s="130">
        <f>+CE!E14</f>
        <v>0</v>
      </c>
      <c r="E40" s="36">
        <f t="shared" si="17"/>
        <v>0</v>
      </c>
      <c r="F40" s="36">
        <f t="shared" si="18"/>
        <v>0</v>
      </c>
      <c r="G40" s="36">
        <f t="shared" si="19"/>
        <v>0</v>
      </c>
      <c r="H40" s="9">
        <f t="shared" si="20"/>
        <v>0</v>
      </c>
      <c r="I40" s="9">
        <f t="shared" si="21"/>
        <v>0</v>
      </c>
      <c r="J40" s="28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x14ac:dyDescent="0.25">
      <c r="A41" s="32" t="s">
        <v>28</v>
      </c>
      <c r="B41" s="130">
        <f>+CE!C12</f>
        <v>0</v>
      </c>
      <c r="C41" s="130">
        <f>+CE!D12</f>
        <v>0</v>
      </c>
      <c r="D41" s="130">
        <f>+CE!E12</f>
        <v>0</v>
      </c>
      <c r="E41" s="36">
        <f t="shared" si="17"/>
        <v>0</v>
      </c>
      <c r="F41" s="36">
        <f t="shared" si="18"/>
        <v>0</v>
      </c>
      <c r="G41" s="36">
        <f t="shared" si="19"/>
        <v>0</v>
      </c>
      <c r="H41" s="9">
        <f t="shared" si="20"/>
        <v>0</v>
      </c>
      <c r="I41" s="9">
        <f t="shared" si="21"/>
        <v>0</v>
      </c>
      <c r="J41" s="28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3.8" thickBot="1" x14ac:dyDescent="0.3">
      <c r="A42" s="37" t="s">
        <v>29</v>
      </c>
      <c r="B42" s="132">
        <f>+CE!C82</f>
        <v>122201</v>
      </c>
      <c r="C42" s="132">
        <f>+CE!D82</f>
        <v>183302</v>
      </c>
      <c r="D42" s="132">
        <f>+CE!E82</f>
        <v>35200</v>
      </c>
      <c r="E42" s="38">
        <f t="shared" si="17"/>
        <v>0.02</v>
      </c>
      <c r="F42" s="38">
        <f t="shared" si="18"/>
        <v>0.02</v>
      </c>
      <c r="G42" s="38">
        <f t="shared" si="19"/>
        <v>0</v>
      </c>
      <c r="H42" s="39">
        <f t="shared" si="20"/>
        <v>61101</v>
      </c>
      <c r="I42" s="39">
        <f t="shared" si="21"/>
        <v>-148102</v>
      </c>
      <c r="J42" s="28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ht="13.8" thickBot="1" x14ac:dyDescent="0.3">
      <c r="A43" s="40" t="s">
        <v>30</v>
      </c>
      <c r="B43" s="121">
        <f>SUM(B39:B42)</f>
        <v>6622986</v>
      </c>
      <c r="C43" s="121">
        <f>SUM(C39:C42)</f>
        <v>7730794</v>
      </c>
      <c r="D43" s="121">
        <f>SUM(D39:D42)</f>
        <v>8394239</v>
      </c>
      <c r="E43" s="41">
        <f t="shared" si="17"/>
        <v>1</v>
      </c>
      <c r="F43" s="41">
        <f t="shared" si="18"/>
        <v>1</v>
      </c>
      <c r="G43" s="41">
        <f t="shared" si="19"/>
        <v>1</v>
      </c>
      <c r="H43" s="42">
        <f t="shared" si="20"/>
        <v>1107808</v>
      </c>
      <c r="I43" s="43">
        <f t="shared" si="21"/>
        <v>663445</v>
      </c>
      <c r="J43" s="44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x14ac:dyDescent="0.25">
      <c r="A44" s="45" t="s">
        <v>31</v>
      </c>
      <c r="B44" s="134">
        <f>+CE!C18</f>
        <v>7382</v>
      </c>
      <c r="C44" s="134">
        <f>+CE!D18</f>
        <v>8271</v>
      </c>
      <c r="D44" s="134">
        <f>+CE!E18</f>
        <v>7637</v>
      </c>
      <c r="E44" s="46">
        <f t="shared" si="17"/>
        <v>0</v>
      </c>
      <c r="F44" s="46">
        <f t="shared" si="18"/>
        <v>0</v>
      </c>
      <c r="G44" s="46">
        <f t="shared" si="19"/>
        <v>0</v>
      </c>
      <c r="H44" s="47">
        <f t="shared" si="20"/>
        <v>889</v>
      </c>
      <c r="I44" s="47">
        <f t="shared" si="21"/>
        <v>-634</v>
      </c>
      <c r="J44" s="28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25">
      <c r="A45" s="32" t="s">
        <v>32</v>
      </c>
      <c r="B45" s="132">
        <f>+CE!C19+CE!C20</f>
        <v>6139454</v>
      </c>
      <c r="C45" s="132">
        <f>+CE!D19+CE!D20</f>
        <v>7030927</v>
      </c>
      <c r="D45" s="132">
        <f>+CE!E19+CE!E20</f>
        <v>7534036</v>
      </c>
      <c r="E45" s="36">
        <f t="shared" si="17"/>
        <v>0.93</v>
      </c>
      <c r="F45" s="36">
        <f t="shared" si="18"/>
        <v>0.91</v>
      </c>
      <c r="G45" s="36">
        <f t="shared" si="19"/>
        <v>0.9</v>
      </c>
      <c r="H45" s="9">
        <f t="shared" si="20"/>
        <v>891473</v>
      </c>
      <c r="I45" s="9">
        <f t="shared" si="21"/>
        <v>503109</v>
      </c>
      <c r="J45" s="28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x14ac:dyDescent="0.25">
      <c r="A46" s="32" t="s">
        <v>33</v>
      </c>
      <c r="B46" s="130">
        <f>+CE!C32</f>
        <v>0</v>
      </c>
      <c r="C46" s="130">
        <f>+CE!D32</f>
        <v>0</v>
      </c>
      <c r="D46" s="130">
        <f>+CE!E32</f>
        <v>0</v>
      </c>
      <c r="E46" s="36">
        <f t="shared" si="17"/>
        <v>0</v>
      </c>
      <c r="F46" s="36">
        <f t="shared" si="18"/>
        <v>0</v>
      </c>
      <c r="G46" s="36">
        <f t="shared" si="19"/>
        <v>0</v>
      </c>
      <c r="H46" s="9">
        <f t="shared" si="20"/>
        <v>0</v>
      </c>
      <c r="I46" s="9">
        <f t="shared" si="21"/>
        <v>0</v>
      </c>
      <c r="J46" s="28"/>
      <c r="K46" s="48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13.8" thickBot="1" x14ac:dyDescent="0.3">
      <c r="A47" s="37" t="s">
        <v>34</v>
      </c>
      <c r="B47" s="132">
        <f>+CE!C35</f>
        <v>54835</v>
      </c>
      <c r="C47" s="132">
        <f>+CE!D35</f>
        <v>58354</v>
      </c>
      <c r="D47" s="132">
        <f>+CE!E35</f>
        <v>70397</v>
      </c>
      <c r="E47" s="38">
        <f t="shared" si="17"/>
        <v>0.01</v>
      </c>
      <c r="F47" s="38">
        <f t="shared" si="18"/>
        <v>0.01</v>
      </c>
      <c r="G47" s="38">
        <f t="shared" si="19"/>
        <v>0.01</v>
      </c>
      <c r="H47" s="39">
        <f t="shared" si="20"/>
        <v>3519</v>
      </c>
      <c r="I47" s="39">
        <f t="shared" si="21"/>
        <v>12043</v>
      </c>
      <c r="J47" s="28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3.8" thickBot="1" x14ac:dyDescent="0.3">
      <c r="A48" s="49" t="s">
        <v>35</v>
      </c>
      <c r="B48" s="136">
        <f t="shared" ref="B48:I48" si="22">SUM(B44:B47)</f>
        <v>6201671</v>
      </c>
      <c r="C48" s="136">
        <f t="shared" si="22"/>
        <v>7097552</v>
      </c>
      <c r="D48" s="136">
        <f t="shared" si="22"/>
        <v>7612070</v>
      </c>
      <c r="E48" s="50">
        <f t="shared" si="22"/>
        <v>0.94000000000000006</v>
      </c>
      <c r="F48" s="50">
        <f t="shared" si="22"/>
        <v>0.92</v>
      </c>
      <c r="G48" s="50">
        <f t="shared" si="22"/>
        <v>0.91</v>
      </c>
      <c r="H48" s="50">
        <f t="shared" si="22"/>
        <v>895881</v>
      </c>
      <c r="I48" s="50">
        <f t="shared" si="22"/>
        <v>514518</v>
      </c>
      <c r="J48" s="5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3.8" thickBot="1" x14ac:dyDescent="0.3">
      <c r="A49" s="52" t="s">
        <v>36</v>
      </c>
      <c r="B49" s="137">
        <f>B43-B48</f>
        <v>421315</v>
      </c>
      <c r="C49" s="137">
        <f>C43-C48</f>
        <v>633242</v>
      </c>
      <c r="D49" s="137">
        <f>D43-D48</f>
        <v>782169</v>
      </c>
      <c r="E49" s="41">
        <f t="shared" ref="E49:E58" si="23">ROUND(B49/$B$43,2)</f>
        <v>0.06</v>
      </c>
      <c r="F49" s="41">
        <f t="shared" ref="F49:F58" si="24">ROUND(C49/$C$43,2)</f>
        <v>0.08</v>
      </c>
      <c r="G49" s="41">
        <f t="shared" ref="G49:G58" si="25">ROUND(D49/$D$43,2)</f>
        <v>0.09</v>
      </c>
      <c r="H49" s="42">
        <f t="shared" ref="H49:H58" si="26">C49-B49</f>
        <v>211927</v>
      </c>
      <c r="I49" s="43">
        <f t="shared" ref="I49:I58" si="27">D49-C49</f>
        <v>148927</v>
      </c>
      <c r="J49" s="44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3.8" thickBot="1" x14ac:dyDescent="0.3">
      <c r="A50" s="53" t="s">
        <v>37</v>
      </c>
      <c r="B50" s="138">
        <f>+CE!C21</f>
        <v>364772</v>
      </c>
      <c r="C50" s="138">
        <f>+CE!D21</f>
        <v>382931</v>
      </c>
      <c r="D50" s="138">
        <f>+CE!E21</f>
        <v>424127</v>
      </c>
      <c r="E50" s="55">
        <f t="shared" si="23"/>
        <v>0.06</v>
      </c>
      <c r="F50" s="55">
        <f t="shared" si="24"/>
        <v>0.05</v>
      </c>
      <c r="G50" s="55">
        <f t="shared" si="25"/>
        <v>0.05</v>
      </c>
      <c r="H50" s="56">
        <f t="shared" si="26"/>
        <v>18159</v>
      </c>
      <c r="I50" s="56">
        <f t="shared" si="27"/>
        <v>41196</v>
      </c>
      <c r="J50" s="28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3.8" thickBot="1" x14ac:dyDescent="0.3">
      <c r="A51" s="40" t="s">
        <v>399</v>
      </c>
      <c r="B51" s="121">
        <f>B49-B50</f>
        <v>56543</v>
      </c>
      <c r="C51" s="121">
        <f>C49-C50</f>
        <v>250311</v>
      </c>
      <c r="D51" s="121">
        <f>D49-D50</f>
        <v>358042</v>
      </c>
      <c r="E51" s="41">
        <f t="shared" si="23"/>
        <v>0.01</v>
      </c>
      <c r="F51" s="41">
        <f t="shared" si="24"/>
        <v>0.03</v>
      </c>
      <c r="G51" s="41">
        <f t="shared" si="25"/>
        <v>0.04</v>
      </c>
      <c r="H51" s="42">
        <f t="shared" si="26"/>
        <v>193768</v>
      </c>
      <c r="I51" s="43">
        <f t="shared" si="27"/>
        <v>107731</v>
      </c>
      <c r="J51" s="44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x14ac:dyDescent="0.25">
      <c r="A52" s="45" t="s">
        <v>39</v>
      </c>
      <c r="B52" s="134">
        <f>+CE!C28+CE!C29+CE!C30</f>
        <v>28967</v>
      </c>
      <c r="C52" s="134">
        <f>+CE!D28+CE!D29+CE!D30</f>
        <v>25285</v>
      </c>
      <c r="D52" s="134">
        <f>+CE!E28+CE!E29+CE!E30</f>
        <v>26805</v>
      </c>
      <c r="E52" s="46">
        <f t="shared" si="23"/>
        <v>0</v>
      </c>
      <c r="F52" s="46">
        <f t="shared" si="24"/>
        <v>0</v>
      </c>
      <c r="G52" s="46">
        <f t="shared" si="25"/>
        <v>0</v>
      </c>
      <c r="H52" s="47">
        <f t="shared" si="26"/>
        <v>-3682</v>
      </c>
      <c r="I52" s="47">
        <f t="shared" si="27"/>
        <v>1520</v>
      </c>
      <c r="J52" s="28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x14ac:dyDescent="0.25">
      <c r="A53" s="32" t="s">
        <v>40</v>
      </c>
      <c r="B53" s="130"/>
      <c r="C53" s="130"/>
      <c r="D53" s="131">
        <v>0</v>
      </c>
      <c r="E53" s="36">
        <f t="shared" si="23"/>
        <v>0</v>
      </c>
      <c r="F53" s="36">
        <f t="shared" si="24"/>
        <v>0</v>
      </c>
      <c r="G53" s="36">
        <f t="shared" si="25"/>
        <v>0</v>
      </c>
      <c r="H53" s="9">
        <f t="shared" si="26"/>
        <v>0</v>
      </c>
      <c r="I53" s="9">
        <f t="shared" si="27"/>
        <v>0</v>
      </c>
      <c r="J53" s="28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3.8" thickBot="1" x14ac:dyDescent="0.3">
      <c r="A54" s="37" t="s">
        <v>41</v>
      </c>
      <c r="B54" s="132">
        <f>+CE!C31</f>
        <v>0</v>
      </c>
      <c r="C54" s="132">
        <f>+CE!D31</f>
        <v>6873</v>
      </c>
      <c r="D54" s="132">
        <f>+CE!E31</f>
        <v>74578</v>
      </c>
      <c r="E54" s="38">
        <f t="shared" si="23"/>
        <v>0</v>
      </c>
      <c r="F54" s="38">
        <f t="shared" si="24"/>
        <v>0</v>
      </c>
      <c r="G54" s="38">
        <f t="shared" si="25"/>
        <v>0.01</v>
      </c>
      <c r="H54" s="39">
        <f t="shared" si="26"/>
        <v>6873</v>
      </c>
      <c r="I54" s="39">
        <f t="shared" si="27"/>
        <v>67705</v>
      </c>
      <c r="J54" s="28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3.8" thickBot="1" x14ac:dyDescent="0.3">
      <c r="A55" s="40" t="s">
        <v>42</v>
      </c>
      <c r="B55" s="121">
        <f>+B51-B52-B53-B54</f>
        <v>27576</v>
      </c>
      <c r="C55" s="121">
        <f>+C51-C52-C53-C54</f>
        <v>218153</v>
      </c>
      <c r="D55" s="121">
        <f>+D51-D52-D53-D54</f>
        <v>256659</v>
      </c>
      <c r="E55" s="41">
        <f t="shared" si="23"/>
        <v>0</v>
      </c>
      <c r="F55" s="41">
        <f t="shared" si="24"/>
        <v>0.03</v>
      </c>
      <c r="G55" s="41">
        <f t="shared" si="25"/>
        <v>0.03</v>
      </c>
      <c r="H55" s="42">
        <f t="shared" si="26"/>
        <v>190577</v>
      </c>
      <c r="I55" s="43">
        <f t="shared" si="27"/>
        <v>38506</v>
      </c>
      <c r="J55" s="44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x14ac:dyDescent="0.25">
      <c r="A56" s="45" t="s">
        <v>43</v>
      </c>
      <c r="B56" s="134">
        <f>+CE!C41</f>
        <v>2080</v>
      </c>
      <c r="C56" s="134">
        <f>+CE!D41</f>
        <v>9518</v>
      </c>
      <c r="D56" s="134">
        <f>+CE!E41</f>
        <v>930</v>
      </c>
      <c r="E56" s="46">
        <f t="shared" si="23"/>
        <v>0</v>
      </c>
      <c r="F56" s="46">
        <f t="shared" si="24"/>
        <v>0</v>
      </c>
      <c r="G56" s="46">
        <f t="shared" si="25"/>
        <v>0</v>
      </c>
      <c r="H56" s="47">
        <f t="shared" si="26"/>
        <v>7438</v>
      </c>
      <c r="I56" s="47">
        <f t="shared" si="27"/>
        <v>-8588</v>
      </c>
      <c r="J56" s="28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ht="13.8" thickBot="1" x14ac:dyDescent="0.3">
      <c r="A57" s="37" t="s">
        <v>44</v>
      </c>
      <c r="B57" s="138">
        <f>-CE!C46</f>
        <v>-21667</v>
      </c>
      <c r="C57" s="138">
        <f>-CE!D46</f>
        <v>-20571</v>
      </c>
      <c r="D57" s="138">
        <f>-CE!E46</f>
        <v>-10826</v>
      </c>
      <c r="E57" s="38">
        <f t="shared" si="23"/>
        <v>0</v>
      </c>
      <c r="F57" s="38">
        <f t="shared" si="24"/>
        <v>0</v>
      </c>
      <c r="G57" s="38">
        <f t="shared" si="25"/>
        <v>0</v>
      </c>
      <c r="H57" s="39">
        <f t="shared" si="26"/>
        <v>1096</v>
      </c>
      <c r="I57" s="39">
        <f t="shared" si="27"/>
        <v>9745</v>
      </c>
      <c r="J57" s="28"/>
    </row>
    <row r="58" spans="1:20" ht="13.8" thickBot="1" x14ac:dyDescent="0.3">
      <c r="A58" s="49" t="s">
        <v>45</v>
      </c>
      <c r="B58" s="136">
        <f>+B56+B57</f>
        <v>-19587</v>
      </c>
      <c r="C58" s="136">
        <f>+C56+C57</f>
        <v>-11053</v>
      </c>
      <c r="D58" s="136">
        <f>+D56+D57</f>
        <v>-9896</v>
      </c>
      <c r="E58" s="57">
        <f t="shared" si="23"/>
        <v>0</v>
      </c>
      <c r="F58" s="58">
        <f t="shared" si="24"/>
        <v>0</v>
      </c>
      <c r="G58" s="58">
        <f t="shared" si="25"/>
        <v>0</v>
      </c>
      <c r="H58" s="59">
        <f t="shared" si="26"/>
        <v>8534</v>
      </c>
      <c r="I58" s="60">
        <f t="shared" si="27"/>
        <v>1157</v>
      </c>
      <c r="J58" s="28"/>
    </row>
    <row r="59" spans="1:20" x14ac:dyDescent="0.25">
      <c r="A59" s="45" t="s">
        <v>46</v>
      </c>
      <c r="B59" s="134"/>
      <c r="C59" s="139"/>
      <c r="D59" s="139"/>
      <c r="E59" s="61"/>
      <c r="F59" s="62"/>
      <c r="G59" s="62"/>
      <c r="H59" s="56"/>
      <c r="I59" s="54"/>
      <c r="J59" s="28"/>
    </row>
    <row r="60" spans="1:20" ht="13.8" thickBot="1" x14ac:dyDescent="0.3">
      <c r="A60" s="37" t="s">
        <v>47</v>
      </c>
      <c r="B60" s="134"/>
      <c r="C60" s="140"/>
      <c r="D60" s="140"/>
      <c r="E60" s="61"/>
      <c r="F60" s="62"/>
      <c r="G60" s="62"/>
      <c r="H60" s="56"/>
      <c r="I60" s="54"/>
      <c r="J60" s="28"/>
    </row>
    <row r="61" spans="1:20" ht="13.8" thickBot="1" x14ac:dyDescent="0.3">
      <c r="A61" s="49" t="s">
        <v>48</v>
      </c>
      <c r="B61" s="141">
        <f t="shared" ref="B61:I61" si="28">+B59+B60</f>
        <v>0</v>
      </c>
      <c r="C61" s="141">
        <f t="shared" si="28"/>
        <v>0</v>
      </c>
      <c r="D61" s="141">
        <f t="shared" si="28"/>
        <v>0</v>
      </c>
      <c r="E61" s="63">
        <f t="shared" si="28"/>
        <v>0</v>
      </c>
      <c r="F61" s="63">
        <f t="shared" si="28"/>
        <v>0</v>
      </c>
      <c r="G61" s="63">
        <f t="shared" si="28"/>
        <v>0</v>
      </c>
      <c r="H61" s="63">
        <f t="shared" si="28"/>
        <v>0</v>
      </c>
      <c r="I61" s="63">
        <f t="shared" si="28"/>
        <v>0</v>
      </c>
      <c r="J61" s="51"/>
    </row>
    <row r="62" spans="1:20" x14ac:dyDescent="0.25">
      <c r="A62" s="45" t="s">
        <v>49</v>
      </c>
      <c r="B62" s="142"/>
      <c r="C62" s="143">
        <v>0</v>
      </c>
      <c r="D62" s="135">
        <v>0</v>
      </c>
      <c r="E62" s="46">
        <f t="shared" ref="E62:E71" si="29">ROUND(B62/$B$43,2)</f>
        <v>0</v>
      </c>
      <c r="F62" s="46">
        <f t="shared" ref="F62:F71" si="30">ROUND(C62/$C$43,2)</f>
        <v>0</v>
      </c>
      <c r="G62" s="46">
        <f t="shared" ref="G62:G71" si="31">ROUND(D62/$D$43,2)</f>
        <v>0</v>
      </c>
      <c r="H62" s="47">
        <f t="shared" ref="H62:H71" si="32">C62-B62</f>
        <v>0</v>
      </c>
      <c r="I62" s="47">
        <f t="shared" ref="I62:I71" si="33">D62-C62</f>
        <v>0</v>
      </c>
      <c r="J62" s="28"/>
    </row>
    <row r="63" spans="1:20" ht="13.8" thickBot="1" x14ac:dyDescent="0.3">
      <c r="A63" s="37" t="s">
        <v>50</v>
      </c>
      <c r="B63" s="142"/>
      <c r="C63" s="144">
        <v>0</v>
      </c>
      <c r="D63" s="133"/>
      <c r="E63" s="38">
        <f t="shared" si="29"/>
        <v>0</v>
      </c>
      <c r="F63" s="38">
        <f t="shared" si="30"/>
        <v>0</v>
      </c>
      <c r="G63" s="38">
        <f t="shared" si="31"/>
        <v>0</v>
      </c>
      <c r="H63" s="39">
        <f t="shared" si="32"/>
        <v>0</v>
      </c>
      <c r="I63" s="39">
        <f t="shared" si="33"/>
        <v>0</v>
      </c>
      <c r="J63" s="28"/>
    </row>
    <row r="64" spans="1:20" ht="13.8" thickBot="1" x14ac:dyDescent="0.3">
      <c r="A64" s="49" t="s">
        <v>51</v>
      </c>
      <c r="B64" s="136">
        <f>+B62+B63</f>
        <v>0</v>
      </c>
      <c r="C64" s="141">
        <f>+C62+C63</f>
        <v>0</v>
      </c>
      <c r="D64" s="145">
        <f>+D62+D63</f>
        <v>0</v>
      </c>
      <c r="E64" s="58">
        <f t="shared" si="29"/>
        <v>0</v>
      </c>
      <c r="F64" s="58">
        <f t="shared" si="30"/>
        <v>0</v>
      </c>
      <c r="G64" s="58">
        <f t="shared" si="31"/>
        <v>0</v>
      </c>
      <c r="H64" s="59">
        <f t="shared" si="32"/>
        <v>0</v>
      </c>
      <c r="I64" s="60">
        <f t="shared" si="33"/>
        <v>0</v>
      </c>
      <c r="J64" s="28"/>
    </row>
    <row r="65" spans="1:10" ht="13.8" thickBot="1" x14ac:dyDescent="0.3">
      <c r="A65" s="40" t="s">
        <v>52</v>
      </c>
      <c r="B65" s="121">
        <f>+B55+B58+B61+B64</f>
        <v>7989</v>
      </c>
      <c r="C65" s="121">
        <f>+C55+C58+C61+C64</f>
        <v>207100</v>
      </c>
      <c r="D65" s="121">
        <f>+D55+D58+D61+D64</f>
        <v>246763</v>
      </c>
      <c r="E65" s="41">
        <f t="shared" si="29"/>
        <v>0</v>
      </c>
      <c r="F65" s="41">
        <f t="shared" si="30"/>
        <v>0.03</v>
      </c>
      <c r="G65" s="41">
        <f t="shared" si="31"/>
        <v>0.03</v>
      </c>
      <c r="H65" s="42">
        <f t="shared" si="32"/>
        <v>199111</v>
      </c>
      <c r="I65" s="43">
        <f t="shared" si="33"/>
        <v>39663</v>
      </c>
      <c r="J65" s="44"/>
    </row>
    <row r="66" spans="1:10" x14ac:dyDescent="0.25">
      <c r="A66" s="45" t="s">
        <v>53</v>
      </c>
      <c r="B66" s="134">
        <f>+CE!C62</f>
        <v>0</v>
      </c>
      <c r="C66" s="134">
        <f>+CE!D62</f>
        <v>0</v>
      </c>
      <c r="D66" s="134">
        <f>+CE!E62</f>
        <v>202529</v>
      </c>
      <c r="E66" s="46">
        <f t="shared" si="29"/>
        <v>0</v>
      </c>
      <c r="F66" s="46">
        <f t="shared" si="30"/>
        <v>0</v>
      </c>
      <c r="G66" s="46">
        <f t="shared" si="31"/>
        <v>0.02</v>
      </c>
      <c r="H66" s="47">
        <f t="shared" si="32"/>
        <v>0</v>
      </c>
      <c r="I66" s="47">
        <f t="shared" si="33"/>
        <v>202529</v>
      </c>
      <c r="J66" s="28"/>
    </row>
    <row r="67" spans="1:10" ht="13.8" thickBot="1" x14ac:dyDescent="0.3">
      <c r="A67" s="37" t="s">
        <v>54</v>
      </c>
      <c r="B67" s="132">
        <f>-CE!C64</f>
        <v>0</v>
      </c>
      <c r="C67" s="132">
        <f>-CE!D64</f>
        <v>0</v>
      </c>
      <c r="D67" s="132">
        <f>-CE!E64</f>
        <v>-220318</v>
      </c>
      <c r="E67" s="38">
        <f t="shared" si="29"/>
        <v>0</v>
      </c>
      <c r="F67" s="38">
        <f t="shared" si="30"/>
        <v>0</v>
      </c>
      <c r="G67" s="38">
        <f t="shared" si="31"/>
        <v>-0.03</v>
      </c>
      <c r="H67" s="9">
        <f t="shared" si="32"/>
        <v>0</v>
      </c>
      <c r="I67" s="9">
        <f t="shared" si="33"/>
        <v>-220318</v>
      </c>
      <c r="J67" s="28"/>
    </row>
    <row r="68" spans="1:10" ht="13.8" thickBot="1" x14ac:dyDescent="0.3">
      <c r="A68" s="64" t="s">
        <v>55</v>
      </c>
      <c r="B68" s="146">
        <f>+B66+B67</f>
        <v>0</v>
      </c>
      <c r="C68" s="146">
        <f>+C66+C67</f>
        <v>0</v>
      </c>
      <c r="D68" s="146">
        <f>+D66+D67</f>
        <v>-17789</v>
      </c>
      <c r="E68" s="65">
        <f t="shared" si="29"/>
        <v>0</v>
      </c>
      <c r="F68" s="65">
        <f t="shared" si="30"/>
        <v>0</v>
      </c>
      <c r="G68" s="65">
        <f t="shared" si="31"/>
        <v>0</v>
      </c>
      <c r="H68" s="39">
        <f t="shared" si="32"/>
        <v>0</v>
      </c>
      <c r="I68" s="39">
        <f t="shared" si="33"/>
        <v>-17789</v>
      </c>
      <c r="J68" s="28"/>
    </row>
    <row r="69" spans="1:10" ht="13.8" thickBot="1" x14ac:dyDescent="0.3">
      <c r="A69" s="40" t="s">
        <v>56</v>
      </c>
      <c r="B69" s="121">
        <f>+B65+B68</f>
        <v>7989</v>
      </c>
      <c r="C69" s="121">
        <f>+C65+C68</f>
        <v>207100</v>
      </c>
      <c r="D69" s="121">
        <f>+D65+D68</f>
        <v>228974</v>
      </c>
      <c r="E69" s="41">
        <f t="shared" si="29"/>
        <v>0</v>
      </c>
      <c r="F69" s="41">
        <f t="shared" si="30"/>
        <v>0.03</v>
      </c>
      <c r="G69" s="41">
        <f t="shared" si="31"/>
        <v>0.03</v>
      </c>
      <c r="H69" s="42">
        <f t="shared" si="32"/>
        <v>199111</v>
      </c>
      <c r="I69" s="43">
        <f t="shared" si="33"/>
        <v>21874</v>
      </c>
      <c r="J69" s="44"/>
    </row>
    <row r="70" spans="1:10" ht="13.8" thickBot="1" x14ac:dyDescent="0.3">
      <c r="A70" s="53" t="s">
        <v>57</v>
      </c>
      <c r="B70" s="138">
        <f>+CE!C69</f>
        <v>58</v>
      </c>
      <c r="C70" s="138">
        <f>+CE!D69</f>
        <v>1491</v>
      </c>
      <c r="D70" s="138">
        <f>+CE!E69</f>
        <v>0</v>
      </c>
      <c r="E70" s="55">
        <f t="shared" si="29"/>
        <v>0</v>
      </c>
      <c r="F70" s="55">
        <f t="shared" si="30"/>
        <v>0</v>
      </c>
      <c r="G70" s="55">
        <f t="shared" si="31"/>
        <v>0</v>
      </c>
      <c r="H70" s="56">
        <f t="shared" si="32"/>
        <v>1433</v>
      </c>
      <c r="I70" s="56">
        <f t="shared" si="33"/>
        <v>-1491</v>
      </c>
      <c r="J70" s="28"/>
    </row>
    <row r="71" spans="1:10" ht="13.8" thickBot="1" x14ac:dyDescent="0.3">
      <c r="A71" s="40" t="s">
        <v>58</v>
      </c>
      <c r="B71" s="121">
        <f>+B69-B70</f>
        <v>7931</v>
      </c>
      <c r="C71" s="121">
        <f>+C69-C70</f>
        <v>205609</v>
      </c>
      <c r="D71" s="121">
        <f>+D69-D70</f>
        <v>228974</v>
      </c>
      <c r="E71" s="41">
        <f t="shared" si="29"/>
        <v>0</v>
      </c>
      <c r="F71" s="41">
        <f t="shared" si="30"/>
        <v>0.03</v>
      </c>
      <c r="G71" s="41">
        <f t="shared" si="31"/>
        <v>0.03</v>
      </c>
      <c r="H71" s="42">
        <f t="shared" si="32"/>
        <v>197678</v>
      </c>
      <c r="I71" s="43">
        <f t="shared" si="33"/>
        <v>23365</v>
      </c>
      <c r="J71" s="44"/>
    </row>
    <row r="72" spans="1:10" x14ac:dyDescent="0.25">
      <c r="A72" s="66"/>
      <c r="B72" s="51"/>
      <c r="C72" s="51"/>
      <c r="D72" s="51"/>
      <c r="E72" s="11"/>
      <c r="F72" s="11"/>
    </row>
    <row r="73" spans="1:10" ht="14.4" x14ac:dyDescent="0.3">
      <c r="A73" s="240" t="s">
        <v>390</v>
      </c>
      <c r="B73" s="241">
        <v>7.4999999999999997E-3</v>
      </c>
      <c r="C73" s="241">
        <v>1.2500000000000001E-2</v>
      </c>
      <c r="D73" s="241">
        <v>1.5599999999999999E-2</v>
      </c>
      <c r="E73" s="11"/>
      <c r="F73" s="11"/>
    </row>
    <row r="74" spans="1:10" ht="14.4" x14ac:dyDescent="0.3">
      <c r="A74" s="240" t="s">
        <v>391</v>
      </c>
      <c r="B74" s="241">
        <v>6.7000000000000004E-2</v>
      </c>
      <c r="C74" s="241">
        <v>7.1199999999999999E-2</v>
      </c>
      <c r="D74" s="241">
        <v>7.1999999999999995E-2</v>
      </c>
      <c r="E74" s="11"/>
      <c r="F74" s="11"/>
    </row>
    <row r="75" spans="1:10" x14ac:dyDescent="0.25">
      <c r="A75" s="236"/>
      <c r="B75" s="237" t="s">
        <v>0</v>
      </c>
      <c r="C75" s="238"/>
      <c r="D75" s="239"/>
      <c r="E75" s="11"/>
      <c r="F75" s="11"/>
    </row>
    <row r="76" spans="1:10" x14ac:dyDescent="0.25">
      <c r="A76" s="32"/>
      <c r="B76" s="3">
        <f>+B37</f>
        <v>2020</v>
      </c>
      <c r="C76" s="3">
        <f>+C37</f>
        <v>2021</v>
      </c>
      <c r="D76" s="3">
        <f>+D37</f>
        <v>2022</v>
      </c>
      <c r="E76" s="11"/>
      <c r="F76" s="11"/>
    </row>
    <row r="77" spans="1:10" x14ac:dyDescent="0.25">
      <c r="A77" s="4" t="s">
        <v>59</v>
      </c>
      <c r="B77" s="32"/>
      <c r="C77" s="32"/>
      <c r="D77" s="32"/>
      <c r="E77" s="11"/>
      <c r="F77" s="11"/>
    </row>
    <row r="78" spans="1:10" x14ac:dyDescent="0.25">
      <c r="A78" s="32" t="s">
        <v>60</v>
      </c>
      <c r="B78" s="9"/>
      <c r="C78" s="9"/>
      <c r="D78" s="9">
        <v>0</v>
      </c>
      <c r="E78" s="11"/>
      <c r="F78" s="11"/>
    </row>
    <row r="79" spans="1:10" x14ac:dyDescent="0.25">
      <c r="A79" s="32" t="s">
        <v>61</v>
      </c>
      <c r="B79" s="69">
        <v>12</v>
      </c>
      <c r="C79" s="69">
        <v>12.13</v>
      </c>
      <c r="D79" s="69">
        <v>13.13</v>
      </c>
      <c r="E79" s="11"/>
      <c r="F79" s="11"/>
    </row>
    <row r="80" spans="1:10" x14ac:dyDescent="0.25">
      <c r="A80" s="32" t="s">
        <v>62</v>
      </c>
      <c r="B80" s="70">
        <f>+SP!C59</f>
        <v>1969960</v>
      </c>
      <c r="C80" s="70">
        <f>+SP!D59</f>
        <v>2182925</v>
      </c>
      <c r="D80" s="70">
        <f>+SP!E59</f>
        <v>2920207</v>
      </c>
      <c r="E80" s="11"/>
      <c r="F80" s="11"/>
    </row>
    <row r="81" spans="1:12" x14ac:dyDescent="0.25">
      <c r="A81" s="32" t="s">
        <v>63</v>
      </c>
      <c r="B81" s="70">
        <f>+SP!C125</f>
        <v>1963470</v>
      </c>
      <c r="C81" s="70">
        <f>+SP!D125</f>
        <v>1741894</v>
      </c>
      <c r="D81" s="70">
        <f>+SP!E125</f>
        <v>1853815</v>
      </c>
      <c r="E81" s="11"/>
      <c r="F81" s="11"/>
    </row>
    <row r="82" spans="1:12" x14ac:dyDescent="0.25">
      <c r="A82" s="207" t="s">
        <v>64</v>
      </c>
      <c r="B82" s="206">
        <f>+B39*(1+B73)</f>
        <v>6549540.8875000002</v>
      </c>
      <c r="C82" s="206">
        <f t="shared" ref="C82:D82" si="34">+C39*(1+C73)</f>
        <v>7641835.6499999994</v>
      </c>
      <c r="D82" s="206">
        <f t="shared" si="34"/>
        <v>8489440.0084000006</v>
      </c>
      <c r="E82" s="11"/>
      <c r="F82" s="11"/>
    </row>
    <row r="83" spans="1:12" x14ac:dyDescent="0.25">
      <c r="A83" s="207" t="s">
        <v>65</v>
      </c>
      <c r="B83" s="206">
        <f>(B44+B45)*(1+B74)</f>
        <v>6558674.0120000001</v>
      </c>
      <c r="C83" s="206">
        <f t="shared" ref="C83:D83" si="35">(C44+C45)*(1+C74)</f>
        <v>7540388.8975999998</v>
      </c>
      <c r="D83" s="206">
        <f t="shared" si="35"/>
        <v>8084673.4560000002</v>
      </c>
      <c r="E83" s="11"/>
      <c r="F83" s="11"/>
    </row>
    <row r="84" spans="1:12" x14ac:dyDescent="0.25">
      <c r="A84" s="211" t="s">
        <v>66</v>
      </c>
      <c r="B84" s="208">
        <f>+SP!C74</f>
        <v>0</v>
      </c>
      <c r="C84" s="208">
        <f>+SP!D74</f>
        <v>0</v>
      </c>
      <c r="D84" s="208">
        <f>+SP!E74</f>
        <v>0</v>
      </c>
      <c r="E84" s="11"/>
      <c r="F84" s="11"/>
    </row>
    <row r="85" spans="1:12" x14ac:dyDescent="0.25">
      <c r="A85" s="211" t="s">
        <v>67</v>
      </c>
      <c r="B85" s="208">
        <f>+SP!C119</f>
        <v>2012</v>
      </c>
      <c r="C85" s="208">
        <f>+SP!D119</f>
        <v>2612</v>
      </c>
      <c r="D85" s="208">
        <f>+SP!E119</f>
        <v>1614</v>
      </c>
      <c r="E85" s="11"/>
      <c r="F85" s="11"/>
    </row>
    <row r="86" spans="1:12" x14ac:dyDescent="0.25">
      <c r="A86" s="207" t="s">
        <v>68</v>
      </c>
      <c r="B86" s="208">
        <f>+SP!C120</f>
        <v>0</v>
      </c>
      <c r="C86" s="208">
        <f>+SP!D120</f>
        <v>0</v>
      </c>
      <c r="D86" s="208">
        <f>+SP!E120</f>
        <v>0</v>
      </c>
      <c r="E86" s="11"/>
      <c r="F86" s="11"/>
    </row>
    <row r="87" spans="1:12" ht="21" x14ac:dyDescent="0.25">
      <c r="A87" s="209" t="s">
        <v>69</v>
      </c>
      <c r="B87" s="210">
        <f>+B85+B86</f>
        <v>2012</v>
      </c>
      <c r="C87" s="210">
        <f>+C85+C86</f>
        <v>2612</v>
      </c>
      <c r="D87" s="210">
        <f>+D85+D86</f>
        <v>1614</v>
      </c>
      <c r="E87" s="11"/>
      <c r="F87" s="11"/>
    </row>
    <row r="88" spans="1:12" x14ac:dyDescent="0.25">
      <c r="A88" s="4" t="s">
        <v>13</v>
      </c>
      <c r="B88" s="34" t="s">
        <v>0</v>
      </c>
      <c r="C88" s="67"/>
      <c r="D88" s="68"/>
      <c r="E88" s="11"/>
      <c r="F88" s="11"/>
      <c r="L88" s="10">
        <f>+L86-L87</f>
        <v>0</v>
      </c>
    </row>
    <row r="89" spans="1:12" x14ac:dyDescent="0.25">
      <c r="A89" s="37"/>
      <c r="B89" s="3">
        <f>+B76</f>
        <v>2020</v>
      </c>
      <c r="C89" s="3">
        <f>+C76</f>
        <v>2021</v>
      </c>
      <c r="D89" s="3">
        <f>+D76</f>
        <v>2022</v>
      </c>
      <c r="E89" s="11"/>
      <c r="F89" s="11"/>
    </row>
    <row r="90" spans="1:12" x14ac:dyDescent="0.25">
      <c r="A90" s="71" t="s">
        <v>70</v>
      </c>
      <c r="B90" s="11"/>
      <c r="C90" s="11"/>
      <c r="D90" s="11"/>
      <c r="E90" s="11"/>
      <c r="F90" s="11"/>
      <c r="L90" s="72"/>
    </row>
    <row r="91" spans="1:12" x14ac:dyDescent="0.25">
      <c r="A91" s="73" t="s">
        <v>71</v>
      </c>
      <c r="B91" s="11"/>
      <c r="C91" s="11"/>
      <c r="D91" s="11"/>
      <c r="E91" s="11"/>
      <c r="F91" s="11"/>
    </row>
    <row r="92" spans="1:12" x14ac:dyDescent="0.25">
      <c r="A92" s="74" t="s">
        <v>72</v>
      </c>
      <c r="B92" s="75">
        <f>ROUND(B4/B15,4)</f>
        <v>4.3499999999999997E-2</v>
      </c>
      <c r="C92" s="75">
        <f>ROUND(C4/C15,2)</f>
        <v>0.04</v>
      </c>
      <c r="D92" s="76">
        <f>ROUND(D4/D15,2)</f>
        <v>0.03</v>
      </c>
      <c r="F92" s="11"/>
      <c r="L92" s="261"/>
    </row>
    <row r="93" spans="1:12" x14ac:dyDescent="0.25">
      <c r="A93" s="77" t="s">
        <v>73</v>
      </c>
      <c r="B93" s="26">
        <f>ROUND(B10/B15,4)</f>
        <v>0.95650000000000002</v>
      </c>
      <c r="C93" s="26">
        <f>ROUND(C10/C15,2)</f>
        <v>0.96</v>
      </c>
      <c r="D93" s="32">
        <f>ROUND(D10/D15,2)</f>
        <v>0.97</v>
      </c>
      <c r="F93" s="11"/>
      <c r="L93" s="261"/>
    </row>
    <row r="94" spans="1:12" x14ac:dyDescent="0.25">
      <c r="A94" s="11"/>
      <c r="B94" s="78"/>
      <c r="C94" s="11"/>
      <c r="D94" s="11"/>
      <c r="E94" s="11"/>
      <c r="F94" s="11"/>
    </row>
    <row r="95" spans="1:12" x14ac:dyDescent="0.25">
      <c r="A95" s="73" t="s">
        <v>74</v>
      </c>
      <c r="B95" s="79">
        <f>+B89</f>
        <v>2020</v>
      </c>
      <c r="C95" s="79">
        <f>+C89</f>
        <v>2021</v>
      </c>
      <c r="D95" s="79">
        <f>+D89</f>
        <v>2022</v>
      </c>
      <c r="E95" s="11"/>
      <c r="F95" s="11"/>
    </row>
    <row r="96" spans="1:12" ht="13.5" customHeight="1" x14ac:dyDescent="0.25">
      <c r="A96" s="80" t="s">
        <v>75</v>
      </c>
      <c r="B96" s="75">
        <f>ROUND(B18/B15,4)</f>
        <v>0.37269999999999998</v>
      </c>
      <c r="C96" s="75">
        <f>ROUND(C18/C15,4)</f>
        <v>0.4219</v>
      </c>
      <c r="D96" s="75">
        <f>ROUND(D18/D15,4)</f>
        <v>0.43440000000000001</v>
      </c>
      <c r="E96" s="81"/>
      <c r="F96" s="11"/>
      <c r="L96" s="82"/>
    </row>
    <row r="97" spans="1:12" x14ac:dyDescent="0.25">
      <c r="A97" s="32" t="s">
        <v>76</v>
      </c>
      <c r="B97" s="83">
        <f>ROUND(B18/B23,4)</f>
        <v>0.59419999999999995</v>
      </c>
      <c r="C97" s="32">
        <f>ROUND(C18/C23,4)</f>
        <v>0.7298</v>
      </c>
      <c r="D97" s="32">
        <f>ROUND(D18/D23,4)</f>
        <v>0.7681</v>
      </c>
      <c r="F97" s="11"/>
      <c r="L97" s="11"/>
    </row>
    <row r="98" spans="1:12" x14ac:dyDescent="0.25">
      <c r="A98" s="32" t="s">
        <v>77</v>
      </c>
      <c r="B98" s="26">
        <f>ROUND(B23/B15,4)</f>
        <v>0.62729999999999997</v>
      </c>
      <c r="C98" s="26">
        <f>ROUND(C23/C15,4)</f>
        <v>0.57809999999999995</v>
      </c>
      <c r="D98" s="26">
        <f>ROUND(D23/D15,4)</f>
        <v>0.56559999999999999</v>
      </c>
      <c r="E98" s="11"/>
      <c r="F98" s="11"/>
      <c r="L98" s="84"/>
    </row>
    <row r="99" spans="1:12" x14ac:dyDescent="0.25">
      <c r="A99" s="11"/>
      <c r="B99" s="11"/>
      <c r="C99" s="11"/>
      <c r="D99" s="11"/>
      <c r="E99" s="11"/>
      <c r="F99" s="11"/>
    </row>
    <row r="100" spans="1:12" x14ac:dyDescent="0.25">
      <c r="A100" s="85" t="s">
        <v>78</v>
      </c>
      <c r="B100" s="3">
        <f>+B95</f>
        <v>2020</v>
      </c>
      <c r="C100" s="3">
        <f>+C95</f>
        <v>2021</v>
      </c>
      <c r="D100" s="3">
        <f>+D95</f>
        <v>2022</v>
      </c>
      <c r="E100" s="11"/>
      <c r="F100" s="11"/>
      <c r="L100" s="84"/>
    </row>
    <row r="101" spans="1:12" x14ac:dyDescent="0.25">
      <c r="A101" s="37" t="s">
        <v>79</v>
      </c>
      <c r="B101" s="37">
        <f>ROUND(B15/B18,4)</f>
        <v>2.6829999999999998</v>
      </c>
      <c r="C101" s="32">
        <f>ROUND(C15/C18,4)</f>
        <v>2.3702000000000001</v>
      </c>
      <c r="D101" s="32">
        <f>ROUND(D15/D18,4)</f>
        <v>2.302</v>
      </c>
      <c r="E101" s="11"/>
      <c r="F101" s="11"/>
    </row>
    <row r="102" spans="1:12" x14ac:dyDescent="0.25">
      <c r="A102" s="32" t="s">
        <v>80</v>
      </c>
      <c r="B102" s="86">
        <f>+(B24+B25)/B18</f>
        <v>1.6829982493409756</v>
      </c>
      <c r="C102" s="86">
        <f t="shared" ref="C102:D102" si="36">+(C24+C25)/C18</f>
        <v>1.3702295802616107</v>
      </c>
      <c r="D102" s="86">
        <f t="shared" si="36"/>
        <v>1.3019789032277815</v>
      </c>
      <c r="E102" s="11"/>
      <c r="F102" s="11"/>
      <c r="L102" s="84"/>
    </row>
    <row r="103" spans="1:12" x14ac:dyDescent="0.25">
      <c r="A103" s="32" t="s">
        <v>81</v>
      </c>
      <c r="B103" s="87">
        <f>(B18+B24)/B15</f>
        <v>0.43075355939162274</v>
      </c>
      <c r="C103" s="87">
        <f t="shared" ref="C103:D103" si="37">(C18+C24)/C15</f>
        <v>0.48653947047128254</v>
      </c>
      <c r="D103" s="87">
        <f t="shared" si="37"/>
        <v>0.49813403934055389</v>
      </c>
      <c r="E103" s="11"/>
      <c r="F103" s="11"/>
      <c r="L103" s="84"/>
    </row>
    <row r="104" spans="1:12" x14ac:dyDescent="0.25">
      <c r="A104" s="11"/>
      <c r="B104" s="11"/>
      <c r="C104" s="11"/>
      <c r="D104" s="11"/>
      <c r="E104" s="11"/>
      <c r="F104" s="11"/>
      <c r="L104" s="84"/>
    </row>
    <row r="105" spans="1:12" x14ac:dyDescent="0.25">
      <c r="A105" s="11"/>
      <c r="B105" s="11"/>
      <c r="C105" s="11"/>
      <c r="D105" s="11"/>
      <c r="E105" s="11"/>
      <c r="F105" s="11"/>
      <c r="L105" s="84"/>
    </row>
    <row r="106" spans="1:12" ht="13.8" thickBot="1" x14ac:dyDescent="0.3">
      <c r="A106" s="11"/>
      <c r="B106" s="11"/>
      <c r="C106" s="11"/>
      <c r="D106" s="11"/>
      <c r="E106" s="11"/>
      <c r="F106" s="11"/>
    </row>
    <row r="107" spans="1:12" ht="13.8" thickBot="1" x14ac:dyDescent="0.3">
      <c r="A107" s="88" t="s">
        <v>82</v>
      </c>
      <c r="B107" s="89">
        <f>+B95</f>
        <v>2020</v>
      </c>
      <c r="C107" s="89">
        <f>+C95</f>
        <v>2021</v>
      </c>
      <c r="D107" s="89">
        <f>+D95</f>
        <v>2022</v>
      </c>
      <c r="E107" s="11"/>
      <c r="F107" s="11"/>
      <c r="L107" s="99"/>
    </row>
    <row r="108" spans="1:12" x14ac:dyDescent="0.25">
      <c r="A108" s="45" t="s">
        <v>83</v>
      </c>
      <c r="B108" s="9">
        <f>B18-B4</f>
        <v>1267097</v>
      </c>
      <c r="C108" s="9">
        <f>C18-C4</f>
        <v>1481846</v>
      </c>
      <c r="D108" s="9">
        <f>D18-D4</f>
        <v>1720007</v>
      </c>
      <c r="E108" s="11"/>
      <c r="F108" s="11"/>
      <c r="L108" s="84"/>
    </row>
    <row r="109" spans="1:12" x14ac:dyDescent="0.25">
      <c r="A109" s="32" t="s">
        <v>84</v>
      </c>
      <c r="B109" s="9">
        <f>(B18+B24)-B4</f>
        <v>1490436</v>
      </c>
      <c r="C109" s="9">
        <f>(C18+C24)-C4</f>
        <v>1733063</v>
      </c>
      <c r="D109" s="9">
        <f>(D18+D24)-D4</f>
        <v>1993150</v>
      </c>
      <c r="E109" s="11"/>
      <c r="F109" s="11"/>
      <c r="L109" s="84"/>
    </row>
    <row r="110" spans="1:12" x14ac:dyDescent="0.25">
      <c r="A110" s="32" t="s">
        <v>85</v>
      </c>
      <c r="B110" s="32">
        <f>ROUND(B18/B4,4)</f>
        <v>8.5774000000000008</v>
      </c>
      <c r="C110" s="32">
        <f>ROUND(C18/C4,4)</f>
        <v>10.388199999999999</v>
      </c>
      <c r="D110" s="32">
        <f>ROUND(D18/D4,4)</f>
        <v>13.114100000000001</v>
      </c>
      <c r="E110" s="11"/>
      <c r="F110" s="11"/>
      <c r="L110" s="84"/>
    </row>
    <row r="111" spans="1:12" x14ac:dyDescent="0.25">
      <c r="A111" s="32" t="s">
        <v>86</v>
      </c>
      <c r="B111" s="90">
        <f>ROUND((B18+B24)/B4,4)</f>
        <v>9.9130000000000003</v>
      </c>
      <c r="C111" s="90">
        <f>ROUND((C18+C24)/C4,4)</f>
        <v>11.979699999999999</v>
      </c>
      <c r="D111" s="83">
        <f>ROUND((D18+D24)/D4,4)</f>
        <v>15.037800000000001</v>
      </c>
      <c r="E111" s="11"/>
      <c r="F111" s="11"/>
      <c r="L111" s="84"/>
    </row>
    <row r="112" spans="1:12" ht="14.25" customHeight="1" thickBot="1" x14ac:dyDescent="0.3">
      <c r="A112" s="11"/>
      <c r="B112" s="11"/>
      <c r="C112" s="11"/>
      <c r="D112" s="11"/>
      <c r="E112" s="11"/>
      <c r="F112" s="11"/>
      <c r="L112" s="100"/>
    </row>
    <row r="113" spans="1:12" ht="13.8" thickBot="1" x14ac:dyDescent="0.3">
      <c r="A113" s="88" t="s">
        <v>87</v>
      </c>
      <c r="B113" s="79">
        <f>+B107</f>
        <v>2020</v>
      </c>
      <c r="C113" s="79">
        <f>+C107</f>
        <v>2021</v>
      </c>
      <c r="D113" s="79">
        <f>+D107</f>
        <v>2022</v>
      </c>
      <c r="E113" s="11"/>
      <c r="F113" s="11"/>
      <c r="L113" s="101"/>
    </row>
    <row r="114" spans="1:12" x14ac:dyDescent="0.25">
      <c r="A114" s="45" t="s">
        <v>88</v>
      </c>
      <c r="B114" s="9">
        <f>B10-B25</f>
        <v>1490436</v>
      </c>
      <c r="C114" s="9">
        <f>C10-C25</f>
        <v>1733063</v>
      </c>
      <c r="D114" s="9">
        <f>D10-D25</f>
        <v>1993150</v>
      </c>
      <c r="F114" s="11"/>
      <c r="L114" s="93"/>
    </row>
    <row r="115" spans="1:12" x14ac:dyDescent="0.25">
      <c r="A115" s="32" t="s">
        <v>89</v>
      </c>
      <c r="B115" s="32">
        <f>ROUND(B10/B25,2)</f>
        <v>1.68</v>
      </c>
      <c r="C115" s="32">
        <f t="shared" ref="C115:D115" si="38">ROUND(C10/C25,2)</f>
        <v>1.87</v>
      </c>
      <c r="D115" s="32">
        <f t="shared" si="38"/>
        <v>1.93</v>
      </c>
      <c r="E115" s="11"/>
      <c r="F115" s="11"/>
      <c r="L115" s="93"/>
    </row>
    <row r="116" spans="1:12" x14ac:dyDescent="0.25">
      <c r="A116" s="32" t="s">
        <v>90</v>
      </c>
      <c r="B116" s="9">
        <f>(B13+B12)-B25</f>
        <v>1490436</v>
      </c>
      <c r="C116" s="9">
        <f>(C13+C12)-C25</f>
        <v>1733063</v>
      </c>
      <c r="D116" s="9">
        <f>(D13+D12)-D25</f>
        <v>1993150</v>
      </c>
      <c r="E116" s="11"/>
      <c r="F116" s="11"/>
      <c r="L116" s="93"/>
    </row>
    <row r="117" spans="1:12" x14ac:dyDescent="0.25">
      <c r="A117" s="32" t="s">
        <v>91</v>
      </c>
      <c r="B117" s="32">
        <f>ROUND((B13+B12)/B25,2)</f>
        <v>1.68</v>
      </c>
      <c r="C117" s="32">
        <f t="shared" ref="C117:D117" si="39">ROUND((C13+C12)/C25,2)</f>
        <v>1.87</v>
      </c>
      <c r="D117" s="32">
        <f t="shared" si="39"/>
        <v>1.93</v>
      </c>
      <c r="E117" s="11"/>
      <c r="F117" s="11"/>
      <c r="L117" s="93"/>
    </row>
    <row r="118" spans="1:12" x14ac:dyDescent="0.25">
      <c r="A118" s="32" t="s">
        <v>92</v>
      </c>
      <c r="B118" s="32" t="e">
        <f>ROUND(B13/B78,2)</f>
        <v>#DIV/0!</v>
      </c>
      <c r="C118" s="32" t="e">
        <f>ROUND(C13/C78,2)</f>
        <v>#DIV/0!</v>
      </c>
      <c r="D118" s="32" t="e">
        <f>ROUND(D13/D78,2)</f>
        <v>#DIV/0!</v>
      </c>
      <c r="E118" s="11"/>
      <c r="F118" s="11"/>
      <c r="L118" s="93"/>
    </row>
    <row r="119" spans="1:12" x14ac:dyDescent="0.25">
      <c r="A119" s="32" t="s">
        <v>93</v>
      </c>
      <c r="B119" s="37">
        <f>ROUND((B13+B12)/B25,2)</f>
        <v>1.68</v>
      </c>
      <c r="C119" s="37">
        <f t="shared" ref="C119:D119" si="40">ROUND((C13+C12)/C25,2)</f>
        <v>1.87</v>
      </c>
      <c r="D119" s="37">
        <f t="shared" si="40"/>
        <v>1.93</v>
      </c>
      <c r="E119" s="11"/>
      <c r="F119" s="11"/>
      <c r="L119" s="93"/>
    </row>
    <row r="120" spans="1:12" ht="21" x14ac:dyDescent="0.25">
      <c r="A120" s="91" t="s">
        <v>94</v>
      </c>
      <c r="B120" s="9">
        <f>(B13+B84)-(B85+B86)</f>
        <v>1515497</v>
      </c>
      <c r="C120" s="9">
        <f t="shared" ref="C120:D120" si="41">(C13+C84)-(C85+C86)</f>
        <v>1311364</v>
      </c>
      <c r="D120" s="9">
        <f t="shared" si="41"/>
        <v>1018041</v>
      </c>
      <c r="E120" s="11"/>
      <c r="F120" s="11"/>
      <c r="L120" s="93"/>
    </row>
    <row r="121" spans="1:12" x14ac:dyDescent="0.25">
      <c r="A121" s="92"/>
      <c r="B121" s="28"/>
      <c r="C121" s="28"/>
      <c r="D121" s="28"/>
      <c r="E121" s="11"/>
      <c r="F121" s="11"/>
      <c r="L121" s="93"/>
    </row>
    <row r="122" spans="1:12" x14ac:dyDescent="0.25">
      <c r="A122" s="71" t="s">
        <v>95</v>
      </c>
      <c r="B122" s="98">
        <f>+B113</f>
        <v>2020</v>
      </c>
      <c r="C122" s="98">
        <f>+C113</f>
        <v>2021</v>
      </c>
      <c r="D122" s="98">
        <f>+D113</f>
        <v>2022</v>
      </c>
      <c r="E122" s="11"/>
      <c r="F122" s="11"/>
      <c r="L122" s="93"/>
    </row>
    <row r="123" spans="1:12" x14ac:dyDescent="0.25">
      <c r="A123" s="45" t="s">
        <v>96</v>
      </c>
      <c r="B123" s="212">
        <f>ROUND(B71/B18,4)</f>
        <v>5.4999999999999997E-3</v>
      </c>
      <c r="C123" s="212">
        <f t="shared" ref="C123:D123" si="42">ROUND(C71/C18,4)</f>
        <v>0.12540000000000001</v>
      </c>
      <c r="D123" s="212">
        <f t="shared" si="42"/>
        <v>0.123</v>
      </c>
      <c r="E123" s="11"/>
      <c r="F123" s="11"/>
      <c r="L123" s="93"/>
    </row>
    <row r="124" spans="1:12" x14ac:dyDescent="0.25">
      <c r="A124" s="32" t="s">
        <v>97</v>
      </c>
      <c r="B124" s="213">
        <f>ROUND(B71/(B18-B21),4)</f>
        <v>5.5999999999999999E-3</v>
      </c>
      <c r="C124" s="213">
        <f t="shared" ref="C124:D124" si="43">ROUND(C71/(C18-C21),4)</f>
        <v>0.1434</v>
      </c>
      <c r="D124" s="213">
        <f t="shared" si="43"/>
        <v>0.14019999999999999</v>
      </c>
      <c r="E124" s="11"/>
      <c r="F124" s="11"/>
      <c r="L124" s="93"/>
    </row>
    <row r="125" spans="1:12" x14ac:dyDescent="0.25">
      <c r="A125" s="32" t="s">
        <v>98</v>
      </c>
      <c r="B125" s="214">
        <f>ROUND(B55/B15,4)</f>
        <v>7.1999999999999998E-3</v>
      </c>
      <c r="C125" s="214">
        <f t="shared" ref="C125:D125" si="44">ROUND(C55/C15,4)</f>
        <v>5.6099999999999997E-2</v>
      </c>
      <c r="D125" s="214">
        <f t="shared" si="44"/>
        <v>5.9900000000000002E-2</v>
      </c>
      <c r="E125" s="11"/>
      <c r="F125" s="11"/>
      <c r="L125" s="93"/>
    </row>
    <row r="126" spans="1:12" x14ac:dyDescent="0.25">
      <c r="A126" s="32" t="s">
        <v>99</v>
      </c>
      <c r="B126" s="69">
        <f>ROUND(B71/B55,4)</f>
        <v>0.28760000000000002</v>
      </c>
      <c r="C126" s="69">
        <f t="shared" ref="C126:D126" si="45">ROUND(C71/C55,4)</f>
        <v>0.9425</v>
      </c>
      <c r="D126" s="69">
        <f t="shared" si="45"/>
        <v>0.8921</v>
      </c>
      <c r="E126" s="11"/>
      <c r="F126" s="11"/>
      <c r="L126" s="93"/>
    </row>
    <row r="127" spans="1:12" x14ac:dyDescent="0.25">
      <c r="A127" s="32" t="s">
        <v>100</v>
      </c>
      <c r="B127" s="213">
        <f>ROUND(B55/B39,4)</f>
        <v>4.1999999999999997E-3</v>
      </c>
      <c r="C127" s="213">
        <f t="shared" ref="C127:D127" si="46">ROUND(C55/C39,4)</f>
        <v>2.8899999999999999E-2</v>
      </c>
      <c r="D127" s="213">
        <f t="shared" si="46"/>
        <v>3.0700000000000002E-2</v>
      </c>
      <c r="E127" s="11"/>
      <c r="F127" s="11"/>
      <c r="L127" s="93"/>
    </row>
    <row r="128" spans="1:12" x14ac:dyDescent="0.25">
      <c r="A128" s="32" t="s">
        <v>101</v>
      </c>
      <c r="B128" s="69">
        <f>ROUND(B39/B15,2)</f>
        <v>1.69</v>
      </c>
      <c r="C128" s="69">
        <f t="shared" ref="C128:D128" si="47">ROUND(C39/C15,2)</f>
        <v>1.94</v>
      </c>
      <c r="D128" s="69">
        <f t="shared" si="47"/>
        <v>1.95</v>
      </c>
      <c r="E128" s="11"/>
      <c r="F128" s="11"/>
      <c r="L128" s="93"/>
    </row>
    <row r="129" spans="1:12" x14ac:dyDescent="0.25">
      <c r="A129" s="32" t="s">
        <v>102</v>
      </c>
      <c r="B129" s="214">
        <f>ROUND(B57/B87,4)*-1</f>
        <v>10.7689</v>
      </c>
      <c r="C129" s="214">
        <f t="shared" ref="C129:D129" si="48">ROUND(C57/C87,4)*-1</f>
        <v>7.8756000000000004</v>
      </c>
      <c r="D129" s="214">
        <f t="shared" si="48"/>
        <v>6.7076000000000002</v>
      </c>
      <c r="E129" s="11"/>
      <c r="F129" s="11"/>
      <c r="L129" s="93"/>
    </row>
    <row r="130" spans="1:12" x14ac:dyDescent="0.25">
      <c r="A130" s="11"/>
      <c r="B130" s="215"/>
      <c r="C130" s="215"/>
      <c r="D130" s="215"/>
      <c r="E130" s="11"/>
      <c r="F130" s="11"/>
      <c r="L130" s="93"/>
    </row>
    <row r="131" spans="1:12" x14ac:dyDescent="0.25">
      <c r="A131" s="71" t="s">
        <v>103</v>
      </c>
      <c r="B131" s="15">
        <f>+B122</f>
        <v>2020</v>
      </c>
      <c r="C131" s="15">
        <f>+C122</f>
        <v>2021</v>
      </c>
      <c r="D131" s="15">
        <f>+D122</f>
        <v>2022</v>
      </c>
      <c r="E131" s="11"/>
      <c r="F131" s="11"/>
      <c r="L131" s="93"/>
    </row>
    <row r="132" spans="1:12" x14ac:dyDescent="0.25">
      <c r="A132" s="32" t="s">
        <v>104</v>
      </c>
      <c r="B132" s="217">
        <f>ROUND(B39/B79,2)</f>
        <v>541732.07999999996</v>
      </c>
      <c r="C132" s="217">
        <f t="shared" ref="C132:D132" si="49">ROUND(C39/C79,2)</f>
        <v>622216.98</v>
      </c>
      <c r="D132" s="217">
        <f t="shared" si="49"/>
        <v>636636.63</v>
      </c>
      <c r="E132" s="11"/>
      <c r="F132" s="11"/>
      <c r="L132" s="93"/>
    </row>
    <row r="133" spans="1:12" x14ac:dyDescent="0.25">
      <c r="A133" s="32" t="s">
        <v>105</v>
      </c>
      <c r="B133" s="69">
        <f>ROUND(B82/B80,2)</f>
        <v>3.32</v>
      </c>
      <c r="C133" s="69">
        <f>ROUND(C82/C80,2)</f>
        <v>3.5</v>
      </c>
      <c r="D133" s="69">
        <f>ROUND(D82/D80,2)</f>
        <v>2.91</v>
      </c>
      <c r="E133" s="11"/>
      <c r="F133" s="11"/>
      <c r="L133" s="93"/>
    </row>
    <row r="134" spans="1:12" x14ac:dyDescent="0.25">
      <c r="A134" s="32" t="s">
        <v>106</v>
      </c>
      <c r="B134" s="69">
        <f t="shared" ref="B134:B135" si="50">ROUND(B80/B82*365,0)</f>
        <v>110</v>
      </c>
      <c r="C134" s="69">
        <f t="shared" ref="C134:C135" si="51">ROUND(C80/C82*365,0)</f>
        <v>104</v>
      </c>
      <c r="D134" s="69">
        <f t="shared" ref="D134:D135" si="52">ROUND(D80/D82*365,0)</f>
        <v>126</v>
      </c>
      <c r="E134" s="11"/>
      <c r="F134" s="11"/>
      <c r="L134" s="93"/>
    </row>
    <row r="135" spans="1:12" x14ac:dyDescent="0.25">
      <c r="A135" s="32" t="s">
        <v>107</v>
      </c>
      <c r="B135" s="69">
        <f t="shared" si="50"/>
        <v>109</v>
      </c>
      <c r="C135" s="69">
        <f t="shared" si="51"/>
        <v>84</v>
      </c>
      <c r="D135" s="69">
        <f t="shared" si="52"/>
        <v>84</v>
      </c>
      <c r="E135" s="11"/>
      <c r="F135" s="11"/>
      <c r="L135" s="93"/>
    </row>
    <row r="136" spans="1:12" x14ac:dyDescent="0.25">
      <c r="A136" s="37" t="s">
        <v>108</v>
      </c>
      <c r="B136" s="216">
        <f>ROUND(B39/B10,2)</f>
        <v>1.77</v>
      </c>
      <c r="C136" s="69">
        <f>ROUND(C39/C10,2)</f>
        <v>2.02</v>
      </c>
      <c r="D136" s="69">
        <f>ROUND(D39/D10,2)</f>
        <v>2.02</v>
      </c>
      <c r="E136" s="11"/>
      <c r="F136" s="11"/>
      <c r="L136" s="93"/>
    </row>
    <row r="137" spans="1:12" x14ac:dyDescent="0.25">
      <c r="A137" s="32" t="s">
        <v>109</v>
      </c>
      <c r="B137" s="216" t="e">
        <f>+B39/B11</f>
        <v>#DIV/0!</v>
      </c>
      <c r="C137" s="216" t="e">
        <f>+C39/C11</f>
        <v>#DIV/0!</v>
      </c>
      <c r="D137" s="216" t="e">
        <f>+D39/D11</f>
        <v>#DIV/0!</v>
      </c>
      <c r="E137" s="11"/>
      <c r="F137" s="11"/>
      <c r="L137" s="93"/>
    </row>
    <row r="138" spans="1:12" x14ac:dyDescent="0.25">
      <c r="A138" s="32" t="s">
        <v>110</v>
      </c>
      <c r="B138" s="69">
        <f>ROUND(B11*365/B39,0)</f>
        <v>0</v>
      </c>
      <c r="C138" s="69">
        <f>ROUND(C11*365/C39,0)</f>
        <v>0</v>
      </c>
      <c r="D138" s="69">
        <f>ROUND(D11*365/D39,0)</f>
        <v>0</v>
      </c>
      <c r="E138" s="11"/>
      <c r="F138" s="11"/>
      <c r="L138" s="93"/>
    </row>
    <row r="139" spans="1:12" ht="21" x14ac:dyDescent="0.25">
      <c r="A139" s="94" t="s">
        <v>111</v>
      </c>
      <c r="B139" s="95">
        <f>B138+B134</f>
        <v>110</v>
      </c>
      <c r="C139" s="95">
        <f>C138+C134</f>
        <v>104</v>
      </c>
      <c r="D139" s="95">
        <f>D138+D134</f>
        <v>126</v>
      </c>
      <c r="E139" s="11"/>
      <c r="F139" s="11"/>
      <c r="L139" s="11"/>
    </row>
    <row r="140" spans="1:12" x14ac:dyDescent="0.25">
      <c r="A140" s="32" t="s">
        <v>112</v>
      </c>
      <c r="B140" s="95">
        <f>+B135</f>
        <v>109</v>
      </c>
      <c r="C140" s="95">
        <f>+C135</f>
        <v>84</v>
      </c>
      <c r="D140" s="95">
        <f>+D135</f>
        <v>84</v>
      </c>
      <c r="E140" s="11"/>
      <c r="F140" s="11"/>
      <c r="L140" s="11"/>
    </row>
    <row r="141" spans="1:12" x14ac:dyDescent="0.25">
      <c r="A141" s="32" t="s">
        <v>113</v>
      </c>
      <c r="B141" s="96">
        <f>+B140-B139</f>
        <v>-1</v>
      </c>
      <c r="C141" s="96">
        <f>+C140-C139</f>
        <v>-20</v>
      </c>
      <c r="D141" s="96">
        <f>+D140-D139</f>
        <v>-42</v>
      </c>
      <c r="E141" s="11"/>
      <c r="F141" s="11"/>
      <c r="L141" s="11"/>
    </row>
    <row r="142" spans="1:12" x14ac:dyDescent="0.25">
      <c r="A142" s="32"/>
      <c r="B142" s="32"/>
      <c r="C142" s="97"/>
      <c r="D142" s="32"/>
      <c r="E142" s="11"/>
      <c r="F142" s="11"/>
      <c r="L142" s="11"/>
    </row>
    <row r="143" spans="1:12" x14ac:dyDescent="0.25">
      <c r="A143" s="218" t="s">
        <v>392</v>
      </c>
      <c r="B143" s="11"/>
      <c r="C143" s="11"/>
      <c r="D143" s="11"/>
      <c r="E143" s="11"/>
      <c r="F143" s="11"/>
      <c r="L143" s="93"/>
    </row>
    <row r="144" spans="1:12" x14ac:dyDescent="0.25">
      <c r="A144" s="11" t="s">
        <v>125</v>
      </c>
      <c r="B144" s="116">
        <f>+B37</f>
        <v>2020</v>
      </c>
      <c r="C144" s="116">
        <f t="shared" ref="C144:D144" si="53">+C37</f>
        <v>2021</v>
      </c>
      <c r="D144" s="116">
        <f t="shared" si="53"/>
        <v>2022</v>
      </c>
      <c r="E144" s="11"/>
      <c r="F144" s="11"/>
      <c r="L144" s="93"/>
    </row>
    <row r="145" spans="1:12" ht="41.4" x14ac:dyDescent="0.25">
      <c r="A145" s="117" t="s">
        <v>114</v>
      </c>
      <c r="B145" s="118">
        <f>-B57/B39</f>
        <v>3.3329820937009914E-3</v>
      </c>
      <c r="C145" s="118">
        <f t="shared" ref="C145:D145" si="54">-C57/C39</f>
        <v>2.7255411466484496E-3</v>
      </c>
      <c r="D145" s="118">
        <f t="shared" si="54"/>
        <v>1.2951249539570279E-3</v>
      </c>
      <c r="E145" s="11"/>
      <c r="F145" s="11"/>
      <c r="L145" s="93"/>
    </row>
    <row r="146" spans="1:12" ht="14.4" x14ac:dyDescent="0.3">
      <c r="A146" s="106" t="s">
        <v>115</v>
      </c>
      <c r="B146" s="107">
        <v>2.7E-2</v>
      </c>
      <c r="C146" s="107">
        <v>2.7E-2</v>
      </c>
      <c r="D146" s="107">
        <v>2.7E-2</v>
      </c>
      <c r="E146" s="11"/>
      <c r="F146" s="11"/>
      <c r="L146" s="93"/>
    </row>
    <row r="147" spans="1:12" ht="14.4" x14ac:dyDescent="0.3">
      <c r="A147" s="106" t="s">
        <v>116</v>
      </c>
      <c r="B147" s="108" t="str">
        <f>IF(B145&lt;B146,"OK","ALERT")</f>
        <v>OK</v>
      </c>
      <c r="C147" s="108" t="str">
        <f t="shared" ref="C147:D147" si="55">IF(C145&lt;C146,"OK","ALERT")</f>
        <v>OK</v>
      </c>
      <c r="D147" s="108" t="str">
        <f t="shared" si="55"/>
        <v>OK</v>
      </c>
      <c r="E147" s="11"/>
      <c r="F147" s="11"/>
      <c r="L147" s="93"/>
    </row>
    <row r="148" spans="1:12" ht="14.4" x14ac:dyDescent="0.3">
      <c r="A148"/>
      <c r="B148"/>
      <c r="C148" s="11"/>
      <c r="D148" s="11"/>
      <c r="E148" s="11"/>
      <c r="F148" s="11"/>
      <c r="L148" s="93"/>
    </row>
    <row r="149" spans="1:12" ht="28.2" x14ac:dyDescent="0.3">
      <c r="A149" s="109" t="s">
        <v>117</v>
      </c>
      <c r="B149" s="119">
        <f>+B18/B23</f>
        <v>0.59417768282978167</v>
      </c>
      <c r="C149" s="119">
        <f t="shared" ref="C149:D149" si="56">+C18/C23</f>
        <v>0.72980470893722438</v>
      </c>
      <c r="D149" s="120">
        <f t="shared" si="56"/>
        <v>0.76806160032306592</v>
      </c>
      <c r="E149" s="11"/>
      <c r="F149" s="11"/>
      <c r="L149" s="93"/>
    </row>
    <row r="150" spans="1:12" ht="14.4" x14ac:dyDescent="0.3">
      <c r="A150" s="106" t="s">
        <v>115</v>
      </c>
      <c r="B150" s="107">
        <v>2.23E-2</v>
      </c>
      <c r="C150" s="107">
        <v>2.23E-2</v>
      </c>
      <c r="D150" s="107">
        <v>2.23E-2</v>
      </c>
      <c r="E150" s="11"/>
      <c r="F150" s="11"/>
      <c r="L150" s="93"/>
    </row>
    <row r="151" spans="1:12" ht="14.4" x14ac:dyDescent="0.3">
      <c r="A151" s="106" t="s">
        <v>116</v>
      </c>
      <c r="B151" s="108" t="str">
        <f>IF(B149&gt;B150,"OK","ALERT")</f>
        <v>OK</v>
      </c>
      <c r="C151" s="108" t="str">
        <f t="shared" ref="C151:D151" si="57">IF(C149&gt;C150,"OK","ALERT")</f>
        <v>OK</v>
      </c>
      <c r="D151" s="108" t="str">
        <f t="shared" si="57"/>
        <v>OK</v>
      </c>
      <c r="E151" s="11"/>
      <c r="F151" s="11"/>
      <c r="L151" s="93"/>
    </row>
    <row r="152" spans="1:12" ht="14.4" x14ac:dyDescent="0.3">
      <c r="A152" s="11"/>
      <c r="B152" s="105"/>
      <c r="C152" s="105"/>
      <c r="D152" s="105"/>
      <c r="E152" s="11"/>
      <c r="F152" s="11"/>
      <c r="L152" s="93"/>
    </row>
    <row r="153" spans="1:12" x14ac:dyDescent="0.25">
      <c r="A153" s="11"/>
      <c r="B153" s="11"/>
      <c r="C153" s="11"/>
      <c r="D153" s="11"/>
      <c r="E153" s="11"/>
      <c r="F153" s="11"/>
      <c r="L153" s="93"/>
    </row>
    <row r="154" spans="1:12" ht="29.25" customHeight="1" x14ac:dyDescent="0.3">
      <c r="A154" s="109" t="s">
        <v>118</v>
      </c>
      <c r="B154" s="110">
        <f>+B155/B15</f>
        <v>9.5882045698456701E-3</v>
      </c>
      <c r="C154" s="110">
        <f>+C155/C15</f>
        <v>5.9410200139613741E-2</v>
      </c>
      <c r="D154" s="110">
        <f>+D155/D15</f>
        <v>5.967411246717421E-2</v>
      </c>
      <c r="E154" s="11"/>
      <c r="F154" s="11"/>
      <c r="L154" s="93"/>
    </row>
    <row r="155" spans="1:12" ht="13.8" x14ac:dyDescent="0.25">
      <c r="A155" s="111" t="s">
        <v>126</v>
      </c>
      <c r="B155" s="112">
        <f>B71+B52</f>
        <v>36898</v>
      </c>
      <c r="C155" s="112">
        <f t="shared" ref="C155:D155" si="58">C71+C52</f>
        <v>230894</v>
      </c>
      <c r="D155" s="112">
        <f t="shared" si="58"/>
        <v>255779</v>
      </c>
      <c r="E155" s="11"/>
      <c r="F155" s="11"/>
      <c r="L155" s="93"/>
    </row>
    <row r="156" spans="1:12" x14ac:dyDescent="0.25">
      <c r="A156" s="106" t="s">
        <v>115</v>
      </c>
      <c r="B156" s="113">
        <v>5.0000000000000001E-3</v>
      </c>
      <c r="C156" s="113">
        <v>5.0000000000000001E-3</v>
      </c>
      <c r="D156" s="113">
        <v>5.0000000000000001E-3</v>
      </c>
      <c r="E156" s="11"/>
      <c r="F156" s="11"/>
      <c r="L156" s="93"/>
    </row>
    <row r="157" spans="1:12" ht="14.4" x14ac:dyDescent="0.3">
      <c r="A157" s="106" t="s">
        <v>116</v>
      </c>
      <c r="B157" s="108" t="str">
        <f>IF(B154&lt;B156,"alert","ok")</f>
        <v>ok</v>
      </c>
      <c r="C157" s="108" t="str">
        <f t="shared" ref="C157:D157" si="59">IF(C154&lt;C156,"alert","ok")</f>
        <v>ok</v>
      </c>
      <c r="D157" s="108" t="str">
        <f t="shared" si="59"/>
        <v>ok</v>
      </c>
      <c r="E157" s="108"/>
      <c r="F157" s="108"/>
      <c r="G157" s="108"/>
      <c r="H157" s="108"/>
      <c r="I157" s="108"/>
      <c r="L157" s="93"/>
    </row>
    <row r="158" spans="1:12" x14ac:dyDescent="0.25">
      <c r="A158" s="11"/>
      <c r="B158" s="11"/>
      <c r="C158" s="11"/>
      <c r="D158" s="11"/>
      <c r="E158" s="11"/>
      <c r="F158" s="11"/>
      <c r="L158" s="93"/>
    </row>
    <row r="159" spans="1:12" x14ac:dyDescent="0.25">
      <c r="A159" s="11"/>
      <c r="B159" s="11"/>
      <c r="C159" s="11"/>
      <c r="D159" s="11"/>
      <c r="E159" s="11"/>
      <c r="F159" s="11"/>
      <c r="L159" s="93"/>
    </row>
    <row r="160" spans="1:12" ht="28.2" x14ac:dyDescent="0.3">
      <c r="A160" s="109" t="s">
        <v>119</v>
      </c>
      <c r="B160" s="119">
        <f t="shared" ref="B160:D160" si="60">+B10/B25</f>
        <v>1.6803736304068175</v>
      </c>
      <c r="C160" s="119">
        <f t="shared" si="60"/>
        <v>1.8684716657011764</v>
      </c>
      <c r="D160" s="119">
        <f t="shared" si="60"/>
        <v>1.926559529177688</v>
      </c>
      <c r="E160" s="114"/>
      <c r="F160" s="114"/>
      <c r="G160" s="114"/>
      <c r="H160" s="114"/>
      <c r="I160" s="114"/>
    </row>
    <row r="161" spans="1:9" ht="14.4" x14ac:dyDescent="0.3">
      <c r="A161" s="106" t="s">
        <v>115</v>
      </c>
      <c r="B161" s="119">
        <v>0.69799999999999995</v>
      </c>
      <c r="C161" s="119">
        <v>0.69799999999999995</v>
      </c>
      <c r="D161" s="119">
        <v>0.69799999999999995</v>
      </c>
      <c r="E161" s="11"/>
      <c r="F161" s="11"/>
    </row>
    <row r="162" spans="1:9" ht="14.4" x14ac:dyDescent="0.3">
      <c r="A162" s="106" t="s">
        <v>116</v>
      </c>
      <c r="B162" s="108" t="str">
        <f>IF(B160&lt;B161,"alert","ok")</f>
        <v>ok</v>
      </c>
      <c r="C162" s="108" t="str">
        <f t="shared" ref="C162:D162" si="61">IF(C160&lt;C161,"alert","ok")</f>
        <v>ok</v>
      </c>
      <c r="D162" s="108" t="str">
        <f t="shared" si="61"/>
        <v>ok</v>
      </c>
      <c r="E162" s="11"/>
      <c r="F162" s="11"/>
    </row>
    <row r="163" spans="1:9" x14ac:dyDescent="0.25">
      <c r="A163" s="11"/>
      <c r="B163" s="11"/>
      <c r="C163" s="11"/>
      <c r="D163" s="11"/>
      <c r="E163" s="11"/>
      <c r="F163" s="11"/>
    </row>
    <row r="164" spans="1:9" x14ac:dyDescent="0.25">
      <c r="A164" s="11"/>
      <c r="B164" s="11"/>
      <c r="C164" s="11"/>
      <c r="D164" s="11"/>
      <c r="E164" s="11"/>
      <c r="F164" s="11"/>
    </row>
    <row r="165" spans="1:9" ht="28.2" x14ac:dyDescent="0.3">
      <c r="A165" s="109" t="s">
        <v>120</v>
      </c>
      <c r="B165" s="119">
        <f t="shared" ref="B165:D165" si="62">+B33/B15</f>
        <v>6.5551533546242859E-3</v>
      </c>
      <c r="C165" s="119">
        <f t="shared" si="62"/>
        <v>7.5585941570646843E-3</v>
      </c>
      <c r="D165" s="119">
        <f t="shared" si="62"/>
        <v>8.920122512285758E-3</v>
      </c>
      <c r="E165" s="114"/>
      <c r="F165" s="114"/>
      <c r="G165" s="114"/>
      <c r="H165" s="114"/>
      <c r="I165" s="114"/>
    </row>
    <row r="166" spans="1:9" ht="14.4" x14ac:dyDescent="0.3">
      <c r="A166" s="106" t="s">
        <v>115</v>
      </c>
      <c r="B166" s="119">
        <v>0.14599999999999999</v>
      </c>
      <c r="C166" s="119">
        <v>0.14599999999999999</v>
      </c>
      <c r="D166" s="119">
        <v>0.14599999999999999</v>
      </c>
      <c r="E166" s="11"/>
      <c r="F166" s="11"/>
    </row>
    <row r="167" spans="1:9" ht="14.4" x14ac:dyDescent="0.3">
      <c r="A167" s="106" t="s">
        <v>116</v>
      </c>
      <c r="B167" s="108" t="str">
        <f>IF(B165&gt;B166,"alert","ok")</f>
        <v>ok</v>
      </c>
      <c r="C167" s="108" t="str">
        <f t="shared" ref="C167:D167" si="63">IF(C165&gt;C166,"alert","ok")</f>
        <v>ok</v>
      </c>
      <c r="D167" s="108" t="str">
        <f t="shared" si="63"/>
        <v>ok</v>
      </c>
      <c r="E167" s="11"/>
      <c r="F167" s="11"/>
    </row>
    <row r="168" spans="1:9" x14ac:dyDescent="0.25">
      <c r="A168" s="11"/>
      <c r="B168" s="11"/>
      <c r="C168" s="11"/>
      <c r="D168" s="11"/>
      <c r="E168" s="11"/>
      <c r="F168" s="11"/>
    </row>
    <row r="169" spans="1:9" x14ac:dyDescent="0.25">
      <c r="A169" s="11"/>
      <c r="B169" s="11"/>
      <c r="C169" s="11"/>
      <c r="D169" s="11"/>
      <c r="E169" s="11"/>
      <c r="F169" s="11"/>
    </row>
    <row r="170" spans="1:9" x14ac:dyDescent="0.25">
      <c r="A170" s="11"/>
      <c r="B170" s="11"/>
      <c r="C170" s="11"/>
      <c r="D170" s="11"/>
      <c r="E170" s="11"/>
      <c r="F170" s="11"/>
    </row>
    <row r="171" spans="1:9" x14ac:dyDescent="0.25">
      <c r="A171" s="11"/>
      <c r="B171" s="11"/>
      <c r="C171" s="11"/>
      <c r="D171" s="11"/>
      <c r="E171" s="11"/>
      <c r="F171" s="11"/>
    </row>
    <row r="172" spans="1:9" x14ac:dyDescent="0.25">
      <c r="A172" s="11"/>
      <c r="B172" s="11"/>
      <c r="C172" s="11"/>
      <c r="D172" s="11"/>
      <c r="E172" s="11"/>
      <c r="F172" s="11"/>
    </row>
    <row r="173" spans="1:9" x14ac:dyDescent="0.25">
      <c r="A173" s="11"/>
      <c r="B173" s="11"/>
      <c r="C173" s="11"/>
      <c r="D173" s="11"/>
      <c r="E173" s="11"/>
      <c r="F173" s="11"/>
    </row>
  </sheetData>
  <sheetProtection selectLockedCells="1" selectUnlockedCells="1"/>
  <mergeCells count="5">
    <mergeCell ref="E2:G2"/>
    <mergeCell ref="H2:I2"/>
    <mergeCell ref="E37:G37"/>
    <mergeCell ref="H37:I37"/>
    <mergeCell ref="L92:L93"/>
  </mergeCells>
  <pageMargins left="0.74803149606299213" right="0.74803149606299213" top="0.98425196850393704" bottom="0.98425196850393704" header="0.51181102362204722" footer="0.51181102362204722"/>
  <pageSetup paperSize="9" scale="79" firstPageNumber="0" fitToHeight="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68A5-5A48-40C5-81D7-3EC40C22BF26}">
  <sheetPr>
    <tabColor theme="9" tint="0.39997558519241921"/>
    <pageSetUpPr fitToPage="1"/>
  </sheetPr>
  <dimension ref="A1:T173"/>
  <sheetViews>
    <sheetView zoomScale="150" zoomScaleNormal="150" workbookViewId="0">
      <selection activeCell="B5" sqref="B5"/>
    </sheetView>
  </sheetViews>
  <sheetFormatPr defaultColWidth="9.109375" defaultRowHeight="13.2" x14ac:dyDescent="0.25"/>
  <cols>
    <col min="1" max="1" width="39.6640625" style="10" customWidth="1"/>
    <col min="2" max="2" width="13" style="10" customWidth="1"/>
    <col min="3" max="3" width="12.109375" style="10" customWidth="1"/>
    <col min="4" max="4" width="12" style="10" customWidth="1"/>
    <col min="5" max="5" width="9.44140625" style="10" customWidth="1"/>
    <col min="6" max="6" width="8.5546875" style="10" bestFit="1" customWidth="1"/>
    <col min="7" max="7" width="7.5546875" style="10" customWidth="1"/>
    <col min="8" max="8" width="11.33203125" style="10" bestFit="1" customWidth="1"/>
    <col min="9" max="9" width="12.109375" style="10" customWidth="1"/>
    <col min="10" max="10" width="12.109375" style="10" hidden="1" customWidth="1"/>
    <col min="11" max="11" width="10" style="10" customWidth="1"/>
    <col min="12" max="12" width="13.6640625" style="10" customWidth="1"/>
    <col min="13" max="16384" width="9.109375" style="10"/>
  </cols>
  <sheetData>
    <row r="1" spans="1:20" ht="13.8" thickBot="1" x14ac:dyDescent="0.3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5">
      <c r="A2" s="2" t="s">
        <v>394</v>
      </c>
      <c r="B2" s="115"/>
      <c r="C2" s="12"/>
      <c r="D2" s="13"/>
      <c r="E2" s="258" t="s">
        <v>14</v>
      </c>
      <c r="F2" s="258"/>
      <c r="G2" s="258"/>
      <c r="H2" s="259" t="s">
        <v>15</v>
      </c>
      <c r="I2" s="259"/>
      <c r="J2" s="14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3.8" thickBot="1" x14ac:dyDescent="0.3">
      <c r="A3" s="219" t="s">
        <v>1</v>
      </c>
      <c r="B3" s="223" t="s">
        <v>395</v>
      </c>
      <c r="C3" s="224" t="s">
        <v>396</v>
      </c>
      <c r="D3" s="225" t="s">
        <v>397</v>
      </c>
      <c r="E3" s="3" t="s">
        <v>16</v>
      </c>
      <c r="F3" s="4" t="s">
        <v>17</v>
      </c>
      <c r="G3" s="5" t="s">
        <v>2</v>
      </c>
      <c r="H3" s="16" t="s">
        <v>18</v>
      </c>
      <c r="I3" s="17" t="s">
        <v>19</v>
      </c>
      <c r="J3" s="18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5">
      <c r="A4" s="228" t="s">
        <v>127</v>
      </c>
      <c r="B4" s="229">
        <f>SUM(B5:B9)</f>
        <v>0</v>
      </c>
      <c r="C4" s="229">
        <f t="shared" ref="C4:D4" si="0">SUM(C5:C9)</f>
        <v>0</v>
      </c>
      <c r="D4" s="230">
        <f t="shared" si="0"/>
        <v>0</v>
      </c>
      <c r="E4" s="221" t="e">
        <f>ROUND(B4/$B$15,4)</f>
        <v>#DIV/0!</v>
      </c>
      <c r="F4" s="20" t="e">
        <f>ROUND(C4/$C$15,4)</f>
        <v>#DIV/0!</v>
      </c>
      <c r="G4" s="21" t="e">
        <f>ROUND(D4/$D$18,4)</f>
        <v>#DIV/0!</v>
      </c>
      <c r="H4" s="6">
        <f t="shared" ref="H4:I7" si="1">C4-B4</f>
        <v>0</v>
      </c>
      <c r="I4" s="22">
        <f t="shared" si="1"/>
        <v>0</v>
      </c>
      <c r="J4" s="23"/>
      <c r="K4" s="24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5">
      <c r="A5" s="231" t="s">
        <v>3</v>
      </c>
      <c r="B5" s="227"/>
      <c r="C5" s="227"/>
      <c r="D5" s="232"/>
      <c r="E5" s="222" t="e">
        <f>ROUND(B5/$B$15,4)</f>
        <v>#DIV/0!</v>
      </c>
      <c r="F5" s="26" t="e">
        <f>ROUND(C5/$C$15,4)</f>
        <v>#DIV/0!</v>
      </c>
      <c r="G5" s="27" t="e">
        <f>ROUND(D5/$D$18,4)</f>
        <v>#DIV/0!</v>
      </c>
      <c r="H5" s="7">
        <f t="shared" si="1"/>
        <v>0</v>
      </c>
      <c r="I5" s="8">
        <f t="shared" si="1"/>
        <v>0</v>
      </c>
      <c r="J5" s="28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25">
      <c r="A6" s="231" t="s">
        <v>4</v>
      </c>
      <c r="B6" s="227"/>
      <c r="C6" s="227"/>
      <c r="D6" s="232"/>
      <c r="E6" s="222" t="e">
        <f>ROUND(B6/$B$15,4)</f>
        <v>#DIV/0!</v>
      </c>
      <c r="F6" s="26" t="e">
        <f>ROUND(C6/$C$15,4)</f>
        <v>#DIV/0!</v>
      </c>
      <c r="G6" s="27" t="e">
        <f>ROUND(D6/$D$18,4)</f>
        <v>#DIV/0!</v>
      </c>
      <c r="H6" s="7">
        <f t="shared" si="1"/>
        <v>0</v>
      </c>
      <c r="I6" s="8">
        <f t="shared" si="1"/>
        <v>0</v>
      </c>
      <c r="J6" s="28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5">
      <c r="A7" s="231" t="s">
        <v>5</v>
      </c>
      <c r="B7" s="227"/>
      <c r="C7" s="227"/>
      <c r="D7" s="232"/>
      <c r="E7" s="222" t="e">
        <f>ROUND(B7/$B$15,4)</f>
        <v>#DIV/0!</v>
      </c>
      <c r="F7" s="26" t="e">
        <f>ROUND(C7/$C$15,4)</f>
        <v>#DIV/0!</v>
      </c>
      <c r="G7" s="27" t="e">
        <f>ROUND(D7/$D$18,4)</f>
        <v>#DIV/0!</v>
      </c>
      <c r="H7" s="7">
        <f t="shared" si="1"/>
        <v>0</v>
      </c>
      <c r="I7" s="8">
        <f t="shared" si="1"/>
        <v>0</v>
      </c>
      <c r="J7" s="28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x14ac:dyDescent="0.25">
      <c r="A8" s="231" t="s">
        <v>133</v>
      </c>
      <c r="B8" s="227"/>
      <c r="C8" s="227"/>
      <c r="D8" s="232"/>
      <c r="E8" s="222" t="s">
        <v>20</v>
      </c>
      <c r="F8" s="26" t="e">
        <f>ROUND(C8/$C$15,4)</f>
        <v>#DIV/0!</v>
      </c>
      <c r="G8" s="27" t="s">
        <v>20</v>
      </c>
      <c r="H8" s="29"/>
      <c r="I8" s="3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3.8" thickBot="1" x14ac:dyDescent="0.3">
      <c r="A9" s="233" t="s">
        <v>389</v>
      </c>
      <c r="B9" s="234"/>
      <c r="C9" s="234"/>
      <c r="D9" s="235"/>
      <c r="E9" s="222"/>
      <c r="F9" s="26"/>
      <c r="G9" s="27"/>
      <c r="H9" s="29"/>
      <c r="I9" s="3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3.8" thickBot="1" x14ac:dyDescent="0.3">
      <c r="A10" s="220" t="s">
        <v>128</v>
      </c>
      <c r="B10" s="226">
        <f>SUM(B11:B13)</f>
        <v>0</v>
      </c>
      <c r="C10" s="226">
        <f>SUM(C11:C13)</f>
        <v>0</v>
      </c>
      <c r="D10" s="226">
        <f>SUM(D11:D13)</f>
        <v>0</v>
      </c>
      <c r="E10" s="19" t="e">
        <f t="shared" ref="E10:E13" si="2">ROUND(B10/$B$15,4)</f>
        <v>#DIV/0!</v>
      </c>
      <c r="F10" s="20" t="e">
        <f>ROUND(C10/$C$15,4)</f>
        <v>#DIV/0!</v>
      </c>
      <c r="G10" s="21" t="e">
        <f>ROUND(D10/$D$18,4)</f>
        <v>#DIV/0!</v>
      </c>
      <c r="H10" s="6">
        <f t="shared" ref="H10:I13" si="3">C10-B10</f>
        <v>0</v>
      </c>
      <c r="I10" s="22">
        <f t="shared" si="3"/>
        <v>0</v>
      </c>
      <c r="J10" s="23"/>
      <c r="K10" s="24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1.25" customHeight="1" x14ac:dyDescent="0.25">
      <c r="A11" s="1" t="s">
        <v>6</v>
      </c>
      <c r="B11" s="122"/>
      <c r="C11" s="122"/>
      <c r="D11" s="122"/>
      <c r="E11" s="25" t="e">
        <f t="shared" si="2"/>
        <v>#DIV/0!</v>
      </c>
      <c r="F11" s="26" t="e">
        <f>ROUND(C11/$C$15,4)</f>
        <v>#DIV/0!</v>
      </c>
      <c r="G11" s="27" t="e">
        <f>ROUND(D11/$D$18,4)</f>
        <v>#DIV/0!</v>
      </c>
      <c r="H11" s="7">
        <f t="shared" si="3"/>
        <v>0</v>
      </c>
      <c r="I11" s="8">
        <f t="shared" si="3"/>
        <v>0</v>
      </c>
      <c r="J11" s="28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" t="s">
        <v>7</v>
      </c>
      <c r="B12" s="122"/>
      <c r="C12" s="122"/>
      <c r="D12" s="122"/>
      <c r="E12" s="25" t="e">
        <f t="shared" si="2"/>
        <v>#DIV/0!</v>
      </c>
      <c r="F12" s="26" t="e">
        <f>ROUND(C12/$C$15,4)</f>
        <v>#DIV/0!</v>
      </c>
      <c r="G12" s="27" t="e">
        <f>ROUND(D12/$D$18,4)</f>
        <v>#DIV/0!</v>
      </c>
      <c r="H12" s="7">
        <f t="shared" si="3"/>
        <v>0</v>
      </c>
      <c r="I12" s="8">
        <f t="shared" si="3"/>
        <v>0</v>
      </c>
      <c r="J12" s="28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x14ac:dyDescent="0.25">
      <c r="A13" s="1" t="s">
        <v>8</v>
      </c>
      <c r="B13" s="122"/>
      <c r="C13" s="122"/>
      <c r="D13" s="122"/>
      <c r="E13" s="25" t="e">
        <f t="shared" si="2"/>
        <v>#DIV/0!</v>
      </c>
      <c r="F13" s="26" t="e">
        <f>ROUND(C13/$C$15,4)</f>
        <v>#DIV/0!</v>
      </c>
      <c r="G13" s="27" t="e">
        <f>ROUND(D13/$D$18,4)</f>
        <v>#DIV/0!</v>
      </c>
      <c r="H13" s="7">
        <f t="shared" si="3"/>
        <v>0</v>
      </c>
      <c r="I13" s="8">
        <f t="shared" si="3"/>
        <v>0</v>
      </c>
      <c r="J13" s="28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3.8" thickBot="1" x14ac:dyDescent="0.3">
      <c r="A14" s="1"/>
      <c r="B14" s="122"/>
      <c r="C14" s="124"/>
      <c r="D14" s="123"/>
      <c r="E14" s="25"/>
      <c r="F14" s="26" t="s">
        <v>20</v>
      </c>
      <c r="G14" s="27" t="s">
        <v>20</v>
      </c>
      <c r="H14" s="29"/>
      <c r="I14" s="3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13.8" thickBot="1" x14ac:dyDescent="0.3">
      <c r="A15" s="40" t="s">
        <v>129</v>
      </c>
      <c r="B15" s="121">
        <f>B10+B4</f>
        <v>0</v>
      </c>
      <c r="C15" s="121">
        <f>C10+C4</f>
        <v>0</v>
      </c>
      <c r="D15" s="121">
        <f>D10+D4</f>
        <v>0</v>
      </c>
      <c r="E15" s="19" t="e">
        <f>ROUND(B15/$B$15,4)</f>
        <v>#DIV/0!</v>
      </c>
      <c r="F15" s="20" t="e">
        <f>ROUND(C15/$C$15,4)</f>
        <v>#DIV/0!</v>
      </c>
      <c r="G15" s="21" t="e">
        <f>ROUND(D15/$D$18,4)</f>
        <v>#DIV/0!</v>
      </c>
      <c r="H15" s="6">
        <f>C15-B15</f>
        <v>0</v>
      </c>
      <c r="I15" s="22">
        <f>D15-C15</f>
        <v>0</v>
      </c>
      <c r="J15" s="23"/>
      <c r="K15" s="3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5">
      <c r="A16" s="1"/>
      <c r="B16" s="122"/>
      <c r="C16" s="124"/>
      <c r="D16" s="123"/>
      <c r="E16" s="29"/>
      <c r="F16" s="32"/>
      <c r="G16" s="30"/>
      <c r="H16" s="29"/>
      <c r="I16" s="3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13.8" thickBot="1" x14ac:dyDescent="0.3">
      <c r="A17" s="2" t="s">
        <v>9</v>
      </c>
      <c r="B17" s="125" t="str">
        <f>+B3</f>
        <v>n</v>
      </c>
      <c r="C17" s="126" t="str">
        <f>+C3</f>
        <v>n+1</v>
      </c>
      <c r="D17" s="127" t="str">
        <f>+D3</f>
        <v>n+2</v>
      </c>
      <c r="E17" s="29"/>
      <c r="F17" s="32"/>
      <c r="G17" s="30"/>
      <c r="H17" s="29"/>
      <c r="I17" s="3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3.8" thickBot="1" x14ac:dyDescent="0.3">
      <c r="A18" s="40" t="s">
        <v>130</v>
      </c>
      <c r="B18" s="121">
        <f>SUM(B19:B21)</f>
        <v>0</v>
      </c>
      <c r="C18" s="121">
        <f>SUM(C19:C21)</f>
        <v>0</v>
      </c>
      <c r="D18" s="121">
        <f>SUM(D19:D21)</f>
        <v>0</v>
      </c>
      <c r="E18" s="19" t="e">
        <f t="shared" ref="E18:E21" si="4">ROUND(B18/$B$27,4)</f>
        <v>#DIV/0!</v>
      </c>
      <c r="F18" s="20" t="e">
        <f t="shared" ref="F18:F21" si="5">ROUND(C18/$C$27,4)</f>
        <v>#DIV/0!</v>
      </c>
      <c r="G18" s="21" t="e">
        <f t="shared" ref="G18:G21" si="6">ROUND(D18/$D$27,4)</f>
        <v>#DIV/0!</v>
      </c>
      <c r="H18" s="6">
        <f t="shared" ref="H18:I21" si="7">C18-B18</f>
        <v>0</v>
      </c>
      <c r="I18" s="22">
        <f t="shared" si="7"/>
        <v>0</v>
      </c>
      <c r="J18" s="23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A19" s="1" t="s">
        <v>22</v>
      </c>
      <c r="B19" s="122"/>
      <c r="C19" s="122"/>
      <c r="D19" s="122"/>
      <c r="E19" s="25" t="e">
        <f t="shared" si="4"/>
        <v>#DIV/0!</v>
      </c>
      <c r="F19" s="26" t="e">
        <f t="shared" si="5"/>
        <v>#DIV/0!</v>
      </c>
      <c r="G19" s="27" t="e">
        <f t="shared" si="6"/>
        <v>#DIV/0!</v>
      </c>
      <c r="H19" s="7">
        <f t="shared" si="7"/>
        <v>0</v>
      </c>
      <c r="I19" s="8">
        <f t="shared" si="7"/>
        <v>0</v>
      </c>
      <c r="J19" s="28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x14ac:dyDescent="0.25">
      <c r="A20" s="1" t="s">
        <v>23</v>
      </c>
      <c r="B20" s="122"/>
      <c r="C20" s="122"/>
      <c r="D20" s="122"/>
      <c r="E20" s="25" t="e">
        <f t="shared" si="4"/>
        <v>#DIV/0!</v>
      </c>
      <c r="F20" s="26" t="e">
        <f t="shared" si="5"/>
        <v>#DIV/0!</v>
      </c>
      <c r="G20" s="27" t="e">
        <f t="shared" si="6"/>
        <v>#DIV/0!</v>
      </c>
      <c r="H20" s="7">
        <f t="shared" si="7"/>
        <v>0</v>
      </c>
      <c r="I20" s="8">
        <f t="shared" si="7"/>
        <v>0</v>
      </c>
      <c r="J20" s="28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" t="s">
        <v>10</v>
      </c>
      <c r="B21" s="122"/>
      <c r="C21" s="122"/>
      <c r="D21" s="122"/>
      <c r="E21" s="25" t="e">
        <f t="shared" si="4"/>
        <v>#DIV/0!</v>
      </c>
      <c r="F21" s="26" t="e">
        <f t="shared" si="5"/>
        <v>#DIV/0!</v>
      </c>
      <c r="G21" s="27" t="e">
        <f t="shared" si="6"/>
        <v>#DIV/0!</v>
      </c>
      <c r="H21" s="7">
        <f t="shared" si="7"/>
        <v>0</v>
      </c>
      <c r="I21" s="3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3.8" thickBot="1" x14ac:dyDescent="0.3">
      <c r="A22" s="1"/>
      <c r="B22" s="122"/>
      <c r="C22" s="124"/>
      <c r="D22" s="123"/>
      <c r="E22" s="25" t="s">
        <v>20</v>
      </c>
      <c r="F22" s="26" t="s">
        <v>20</v>
      </c>
      <c r="G22" s="27" t="s">
        <v>20</v>
      </c>
      <c r="H22" s="29"/>
      <c r="I22" s="3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3.8" thickBot="1" x14ac:dyDescent="0.3">
      <c r="A23" s="40" t="s">
        <v>11</v>
      </c>
      <c r="B23" s="121">
        <f>SUM(B24:B25)</f>
        <v>0</v>
      </c>
      <c r="C23" s="121">
        <f>SUM(C24:C25)</f>
        <v>0</v>
      </c>
      <c r="D23" s="121">
        <f>SUM(D24:D25)</f>
        <v>0</v>
      </c>
      <c r="E23" s="19" t="e">
        <f t="shared" ref="E23:E25" si="8">ROUND(B23/$B$27,4)</f>
        <v>#DIV/0!</v>
      </c>
      <c r="F23" s="20" t="e">
        <f t="shared" ref="F23:F25" si="9">ROUND(C23/$C$27,4)</f>
        <v>#DIV/0!</v>
      </c>
      <c r="G23" s="21" t="e">
        <f t="shared" ref="G23:G25" si="10">ROUND(D23/$D$27,4)</f>
        <v>#DIV/0!</v>
      </c>
      <c r="H23" s="6">
        <f t="shared" ref="H23:I25" si="11">C23-B23</f>
        <v>0</v>
      </c>
      <c r="I23" s="22">
        <f t="shared" si="11"/>
        <v>0</v>
      </c>
      <c r="J23" s="23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x14ac:dyDescent="0.25">
      <c r="A24" s="1" t="s">
        <v>131</v>
      </c>
      <c r="B24" s="122"/>
      <c r="C24" s="122"/>
      <c r="D24" s="122"/>
      <c r="E24" s="25" t="e">
        <f t="shared" si="8"/>
        <v>#DIV/0!</v>
      </c>
      <c r="F24" s="26" t="e">
        <f t="shared" si="9"/>
        <v>#DIV/0!</v>
      </c>
      <c r="G24" s="27" t="e">
        <f t="shared" si="10"/>
        <v>#DIV/0!</v>
      </c>
      <c r="H24" s="7">
        <f t="shared" si="11"/>
        <v>0</v>
      </c>
      <c r="I24" s="8">
        <f t="shared" si="11"/>
        <v>0</v>
      </c>
      <c r="J24" s="28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5">
      <c r="A25" s="1" t="s">
        <v>132</v>
      </c>
      <c r="B25" s="122"/>
      <c r="C25" s="122"/>
      <c r="D25" s="122"/>
      <c r="E25" s="25" t="e">
        <f t="shared" si="8"/>
        <v>#DIV/0!</v>
      </c>
      <c r="F25" s="26" t="e">
        <f t="shared" si="9"/>
        <v>#DIV/0!</v>
      </c>
      <c r="G25" s="27" t="e">
        <f t="shared" si="10"/>
        <v>#DIV/0!</v>
      </c>
      <c r="H25" s="7">
        <f t="shared" si="11"/>
        <v>0</v>
      </c>
      <c r="I25" s="8">
        <f t="shared" si="11"/>
        <v>0</v>
      </c>
      <c r="J25" s="28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3.8" thickBot="1" x14ac:dyDescent="0.3">
      <c r="A26" s="1"/>
      <c r="B26" s="122"/>
      <c r="C26" s="124"/>
      <c r="D26" s="123"/>
      <c r="E26" s="25" t="s">
        <v>20</v>
      </c>
      <c r="F26" s="26" t="s">
        <v>20</v>
      </c>
      <c r="G26" s="27" t="s">
        <v>20</v>
      </c>
      <c r="H26" s="29"/>
      <c r="I26" s="3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3.8" thickBot="1" x14ac:dyDescent="0.3">
      <c r="A27" s="40" t="s">
        <v>12</v>
      </c>
      <c r="B27" s="121">
        <f>B18+B23</f>
        <v>0</v>
      </c>
      <c r="C27" s="121">
        <f>C18+C23</f>
        <v>0</v>
      </c>
      <c r="D27" s="121">
        <f>D18+D23</f>
        <v>0</v>
      </c>
      <c r="E27" s="19" t="e">
        <f>ROUND(B27/$B$27,4)</f>
        <v>#DIV/0!</v>
      </c>
      <c r="F27" s="20" t="e">
        <f>ROUND(C27/$C$27,4)</f>
        <v>#DIV/0!</v>
      </c>
      <c r="G27" s="21" t="e">
        <f>ROUND(D27/$D$27,4)</f>
        <v>#DIV/0!</v>
      </c>
      <c r="H27" s="6">
        <f>C27-B27</f>
        <v>0</v>
      </c>
      <c r="I27" s="22">
        <f>D27-C27</f>
        <v>0</v>
      </c>
      <c r="J27" s="23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25">
      <c r="A28" s="11"/>
      <c r="B28" s="128"/>
      <c r="C28" s="128"/>
      <c r="D28" s="128"/>
      <c r="E28" s="11"/>
      <c r="F28" s="11"/>
      <c r="G28" s="11"/>
      <c r="H28" s="11"/>
      <c r="I28" s="11"/>
      <c r="J28" s="11"/>
      <c r="K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11"/>
      <c r="B29" s="128"/>
      <c r="C29" s="128"/>
      <c r="D29" s="128"/>
      <c r="E29" s="11"/>
      <c r="F29" s="11"/>
      <c r="G29" s="11"/>
      <c r="H29" s="11"/>
      <c r="I29" s="11"/>
      <c r="J29" s="11"/>
      <c r="K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25">
      <c r="A30" s="66" t="s">
        <v>121</v>
      </c>
      <c r="B30" s="128"/>
      <c r="C30" s="128"/>
      <c r="D30" s="128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A31" s="66" t="s">
        <v>122</v>
      </c>
      <c r="B31" s="122"/>
      <c r="C31" s="122"/>
      <c r="D31" s="122"/>
      <c r="E31" s="11"/>
      <c r="F31" s="11"/>
      <c r="G31" s="11"/>
      <c r="H31" s="11"/>
      <c r="I31" s="11"/>
      <c r="J31" s="102">
        <v>0.7</v>
      </c>
      <c r="K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25">
      <c r="A32" s="66" t="s">
        <v>123</v>
      </c>
      <c r="B32" s="122"/>
      <c r="C32" s="122"/>
      <c r="D32" s="122"/>
      <c r="E32" s="11"/>
      <c r="F32" s="11"/>
      <c r="G32" s="11"/>
      <c r="H32" s="11"/>
      <c r="I32" s="11"/>
      <c r="J32" s="102">
        <v>0.3</v>
      </c>
      <c r="K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66" t="s">
        <v>124</v>
      </c>
      <c r="B33" s="129">
        <f>+B31+B32</f>
        <v>0</v>
      </c>
      <c r="C33" s="129">
        <f t="shared" ref="C33:D33" si="12">+C31+C32</f>
        <v>0</v>
      </c>
      <c r="D33" s="129">
        <f t="shared" si="12"/>
        <v>0</v>
      </c>
      <c r="E33" s="11"/>
      <c r="F33" s="11"/>
      <c r="G33" s="11"/>
      <c r="H33" s="11"/>
      <c r="I33" s="11"/>
      <c r="J33" s="11"/>
      <c r="K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11" t="s">
        <v>24</v>
      </c>
      <c r="B35" s="33" t="str">
        <f>IF(B15=B27,"OK",B15-B27)</f>
        <v>OK</v>
      </c>
      <c r="C35" s="33" t="str">
        <f>IF(C15=C27,"OK",C15-C27)</f>
        <v>OK</v>
      </c>
      <c r="D35" s="33" t="str">
        <f>IF(D15=D27,"OK",D15-D27)</f>
        <v>OK</v>
      </c>
      <c r="E35" s="11"/>
      <c r="F35" s="11"/>
      <c r="G35" s="11"/>
      <c r="H35" s="11"/>
      <c r="I35" s="11"/>
      <c r="J35" s="11"/>
      <c r="K35" s="11"/>
      <c r="M35" s="11"/>
      <c r="N35" s="11"/>
      <c r="O35" s="11"/>
      <c r="P35" s="11"/>
      <c r="Q35" s="11"/>
      <c r="R35" s="11"/>
      <c r="S35" s="11"/>
      <c r="T35" s="11"/>
    </row>
    <row r="36" spans="1:20" ht="13.8" thickBo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A37" s="4" t="s">
        <v>25</v>
      </c>
      <c r="B37" s="103" t="str">
        <f>+B3</f>
        <v>n</v>
      </c>
      <c r="C37" s="103" t="str">
        <f>+C3</f>
        <v>n+1</v>
      </c>
      <c r="D37" s="103" t="str">
        <f>+D3</f>
        <v>n+2</v>
      </c>
      <c r="E37" s="260" t="s">
        <v>14</v>
      </c>
      <c r="F37" s="260"/>
      <c r="G37" s="260"/>
      <c r="H37" s="259" t="s">
        <v>15</v>
      </c>
      <c r="I37" s="259"/>
      <c r="J37" s="14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25">
      <c r="A38" s="32"/>
      <c r="B38" s="15"/>
      <c r="C38" s="104"/>
      <c r="D38" s="98"/>
      <c r="E38" s="4" t="s">
        <v>16</v>
      </c>
      <c r="F38" s="4" t="s">
        <v>17</v>
      </c>
      <c r="G38" s="4" t="s">
        <v>2</v>
      </c>
      <c r="H38" s="35" t="s">
        <v>18</v>
      </c>
      <c r="I38" s="35" t="s">
        <v>19</v>
      </c>
      <c r="J38" s="18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5">
      <c r="A39" s="32" t="s">
        <v>26</v>
      </c>
      <c r="B39" s="130"/>
      <c r="C39" s="130"/>
      <c r="D39" s="130"/>
      <c r="E39" s="36" t="e">
        <f t="shared" ref="E39:E47" si="13">ROUND(B39/$B$43,2)</f>
        <v>#DIV/0!</v>
      </c>
      <c r="F39" s="36" t="e">
        <f t="shared" ref="F39:F47" si="14">ROUND(C39/$C$43,2)</f>
        <v>#DIV/0!</v>
      </c>
      <c r="G39" s="36" t="e">
        <f t="shared" ref="G39:G47" si="15">ROUND(D39/$D$43,2)</f>
        <v>#DIV/0!</v>
      </c>
      <c r="H39" s="9">
        <f t="shared" ref="H39:I47" si="16">C39-B39</f>
        <v>0</v>
      </c>
      <c r="I39" s="9">
        <f t="shared" si="16"/>
        <v>0</v>
      </c>
      <c r="J39" s="28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25">
      <c r="A40" s="32" t="s">
        <v>27</v>
      </c>
      <c r="B40" s="130"/>
      <c r="C40" s="130"/>
      <c r="D40" s="130"/>
      <c r="E40" s="36" t="e">
        <f t="shared" si="13"/>
        <v>#DIV/0!</v>
      </c>
      <c r="F40" s="36" t="e">
        <f t="shared" si="14"/>
        <v>#DIV/0!</v>
      </c>
      <c r="G40" s="36" t="e">
        <f t="shared" si="15"/>
        <v>#DIV/0!</v>
      </c>
      <c r="H40" s="9">
        <f t="shared" si="16"/>
        <v>0</v>
      </c>
      <c r="I40" s="9">
        <f t="shared" si="16"/>
        <v>0</v>
      </c>
      <c r="J40" s="28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x14ac:dyDescent="0.25">
      <c r="A41" s="32" t="s">
        <v>28</v>
      </c>
      <c r="B41" s="130"/>
      <c r="C41" s="130"/>
      <c r="D41" s="130"/>
      <c r="E41" s="36" t="e">
        <f t="shared" si="13"/>
        <v>#DIV/0!</v>
      </c>
      <c r="F41" s="36" t="e">
        <f t="shared" si="14"/>
        <v>#DIV/0!</v>
      </c>
      <c r="G41" s="36" t="e">
        <f t="shared" si="15"/>
        <v>#DIV/0!</v>
      </c>
      <c r="H41" s="9">
        <f t="shared" si="16"/>
        <v>0</v>
      </c>
      <c r="I41" s="9">
        <f t="shared" si="16"/>
        <v>0</v>
      </c>
      <c r="J41" s="28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3.8" thickBot="1" x14ac:dyDescent="0.3">
      <c r="A42" s="37" t="s">
        <v>29</v>
      </c>
      <c r="B42" s="132"/>
      <c r="C42" s="132"/>
      <c r="D42" s="132"/>
      <c r="E42" s="38" t="e">
        <f t="shared" si="13"/>
        <v>#DIV/0!</v>
      </c>
      <c r="F42" s="38" t="e">
        <f t="shared" si="14"/>
        <v>#DIV/0!</v>
      </c>
      <c r="G42" s="38" t="e">
        <f t="shared" si="15"/>
        <v>#DIV/0!</v>
      </c>
      <c r="H42" s="39">
        <f t="shared" si="16"/>
        <v>0</v>
      </c>
      <c r="I42" s="39">
        <f t="shared" si="16"/>
        <v>0</v>
      </c>
      <c r="J42" s="28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ht="13.8" thickBot="1" x14ac:dyDescent="0.3">
      <c r="A43" s="40" t="s">
        <v>30</v>
      </c>
      <c r="B43" s="121">
        <f>SUM(B39:B42)</f>
        <v>0</v>
      </c>
      <c r="C43" s="121">
        <f>SUM(C39:C42)</f>
        <v>0</v>
      </c>
      <c r="D43" s="121">
        <f>SUM(D39:D42)</f>
        <v>0</v>
      </c>
      <c r="E43" s="41" t="e">
        <f t="shared" si="13"/>
        <v>#DIV/0!</v>
      </c>
      <c r="F43" s="41" t="e">
        <f t="shared" si="14"/>
        <v>#DIV/0!</v>
      </c>
      <c r="G43" s="41" t="e">
        <f t="shared" si="15"/>
        <v>#DIV/0!</v>
      </c>
      <c r="H43" s="42">
        <f t="shared" si="16"/>
        <v>0</v>
      </c>
      <c r="I43" s="43">
        <f t="shared" si="16"/>
        <v>0</v>
      </c>
      <c r="J43" s="44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x14ac:dyDescent="0.25">
      <c r="A44" s="45" t="s">
        <v>31</v>
      </c>
      <c r="B44" s="134"/>
      <c r="C44" s="134"/>
      <c r="D44" s="134"/>
      <c r="E44" s="46" t="e">
        <f t="shared" si="13"/>
        <v>#DIV/0!</v>
      </c>
      <c r="F44" s="46" t="e">
        <f t="shared" si="14"/>
        <v>#DIV/0!</v>
      </c>
      <c r="G44" s="46" t="e">
        <f t="shared" si="15"/>
        <v>#DIV/0!</v>
      </c>
      <c r="H44" s="47">
        <f t="shared" si="16"/>
        <v>0</v>
      </c>
      <c r="I44" s="47">
        <f t="shared" si="16"/>
        <v>0</v>
      </c>
      <c r="J44" s="28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25">
      <c r="A45" s="32" t="s">
        <v>32</v>
      </c>
      <c r="B45" s="132"/>
      <c r="C45" s="132"/>
      <c r="D45" s="132"/>
      <c r="E45" s="36" t="e">
        <f t="shared" si="13"/>
        <v>#DIV/0!</v>
      </c>
      <c r="F45" s="36" t="e">
        <f t="shared" si="14"/>
        <v>#DIV/0!</v>
      </c>
      <c r="G45" s="36" t="e">
        <f t="shared" si="15"/>
        <v>#DIV/0!</v>
      </c>
      <c r="H45" s="9">
        <f t="shared" si="16"/>
        <v>0</v>
      </c>
      <c r="I45" s="9">
        <f t="shared" si="16"/>
        <v>0</v>
      </c>
      <c r="J45" s="28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x14ac:dyDescent="0.25">
      <c r="A46" s="32" t="s">
        <v>33</v>
      </c>
      <c r="B46" s="130"/>
      <c r="C46" s="130"/>
      <c r="D46" s="130"/>
      <c r="E46" s="36" t="e">
        <f t="shared" si="13"/>
        <v>#DIV/0!</v>
      </c>
      <c r="F46" s="36" t="e">
        <f t="shared" si="14"/>
        <v>#DIV/0!</v>
      </c>
      <c r="G46" s="36" t="e">
        <f t="shared" si="15"/>
        <v>#DIV/0!</v>
      </c>
      <c r="H46" s="9">
        <f t="shared" si="16"/>
        <v>0</v>
      </c>
      <c r="I46" s="9">
        <f t="shared" si="16"/>
        <v>0</v>
      </c>
      <c r="J46" s="28"/>
      <c r="K46" s="48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13.8" thickBot="1" x14ac:dyDescent="0.3">
      <c r="A47" s="37" t="s">
        <v>34</v>
      </c>
      <c r="B47" s="132"/>
      <c r="C47" s="132"/>
      <c r="D47" s="132"/>
      <c r="E47" s="38" t="e">
        <f t="shared" si="13"/>
        <v>#DIV/0!</v>
      </c>
      <c r="F47" s="38" t="e">
        <f t="shared" si="14"/>
        <v>#DIV/0!</v>
      </c>
      <c r="G47" s="38" t="e">
        <f t="shared" si="15"/>
        <v>#DIV/0!</v>
      </c>
      <c r="H47" s="39">
        <f t="shared" si="16"/>
        <v>0</v>
      </c>
      <c r="I47" s="39">
        <f t="shared" si="16"/>
        <v>0</v>
      </c>
      <c r="J47" s="28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3.8" thickBot="1" x14ac:dyDescent="0.3">
      <c r="A48" s="49" t="s">
        <v>35</v>
      </c>
      <c r="B48" s="136">
        <f t="shared" ref="B48:I48" si="17">SUM(B44:B47)</f>
        <v>0</v>
      </c>
      <c r="C48" s="136">
        <f t="shared" si="17"/>
        <v>0</v>
      </c>
      <c r="D48" s="136">
        <f t="shared" si="17"/>
        <v>0</v>
      </c>
      <c r="E48" s="50" t="e">
        <f t="shared" si="17"/>
        <v>#DIV/0!</v>
      </c>
      <c r="F48" s="50" t="e">
        <f t="shared" si="17"/>
        <v>#DIV/0!</v>
      </c>
      <c r="G48" s="50" t="e">
        <f t="shared" si="17"/>
        <v>#DIV/0!</v>
      </c>
      <c r="H48" s="50">
        <f t="shared" si="17"/>
        <v>0</v>
      </c>
      <c r="I48" s="50">
        <f t="shared" si="17"/>
        <v>0</v>
      </c>
      <c r="J48" s="5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3.8" thickBot="1" x14ac:dyDescent="0.3">
      <c r="A49" s="52" t="s">
        <v>36</v>
      </c>
      <c r="B49" s="137">
        <f>B43-B48</f>
        <v>0</v>
      </c>
      <c r="C49" s="137">
        <f>C43-C48</f>
        <v>0</v>
      </c>
      <c r="D49" s="137">
        <f>D43-D48</f>
        <v>0</v>
      </c>
      <c r="E49" s="41" t="e">
        <f t="shared" ref="E49:E58" si="18">ROUND(B49/$B$43,2)</f>
        <v>#DIV/0!</v>
      </c>
      <c r="F49" s="41" t="e">
        <f t="shared" ref="F49:F58" si="19">ROUND(C49/$C$43,2)</f>
        <v>#DIV/0!</v>
      </c>
      <c r="G49" s="41" t="e">
        <f t="shared" ref="G49:G58" si="20">ROUND(D49/$D$43,2)</f>
        <v>#DIV/0!</v>
      </c>
      <c r="H49" s="42">
        <f t="shared" ref="H49:I58" si="21">C49-B49</f>
        <v>0</v>
      </c>
      <c r="I49" s="43">
        <f t="shared" si="21"/>
        <v>0</v>
      </c>
      <c r="J49" s="44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3.8" thickBot="1" x14ac:dyDescent="0.3">
      <c r="A50" s="53" t="s">
        <v>37</v>
      </c>
      <c r="B50" s="138"/>
      <c r="C50" s="138"/>
      <c r="D50" s="138"/>
      <c r="E50" s="55" t="e">
        <f t="shared" si="18"/>
        <v>#DIV/0!</v>
      </c>
      <c r="F50" s="55" t="e">
        <f t="shared" si="19"/>
        <v>#DIV/0!</v>
      </c>
      <c r="G50" s="55" t="e">
        <f t="shared" si="20"/>
        <v>#DIV/0!</v>
      </c>
      <c r="H50" s="56">
        <f t="shared" si="21"/>
        <v>0</v>
      </c>
      <c r="I50" s="56">
        <f t="shared" si="21"/>
        <v>0</v>
      </c>
      <c r="J50" s="28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3.8" thickBot="1" x14ac:dyDescent="0.3">
      <c r="A51" s="40" t="s">
        <v>38</v>
      </c>
      <c r="B51" s="121">
        <f>B49-B50</f>
        <v>0</v>
      </c>
      <c r="C51" s="121">
        <f>C49-C50</f>
        <v>0</v>
      </c>
      <c r="D51" s="121">
        <f>D49-D50</f>
        <v>0</v>
      </c>
      <c r="E51" s="41" t="e">
        <f t="shared" si="18"/>
        <v>#DIV/0!</v>
      </c>
      <c r="F51" s="41" t="e">
        <f t="shared" si="19"/>
        <v>#DIV/0!</v>
      </c>
      <c r="G51" s="41" t="e">
        <f t="shared" si="20"/>
        <v>#DIV/0!</v>
      </c>
      <c r="H51" s="42">
        <f t="shared" si="21"/>
        <v>0</v>
      </c>
      <c r="I51" s="43">
        <f t="shared" si="21"/>
        <v>0</v>
      </c>
      <c r="J51" s="44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x14ac:dyDescent="0.25">
      <c r="A52" s="45" t="s">
        <v>39</v>
      </c>
      <c r="B52" s="134"/>
      <c r="C52" s="134"/>
      <c r="D52" s="134"/>
      <c r="E52" s="46" t="e">
        <f t="shared" si="18"/>
        <v>#DIV/0!</v>
      </c>
      <c r="F52" s="46" t="e">
        <f t="shared" si="19"/>
        <v>#DIV/0!</v>
      </c>
      <c r="G52" s="46" t="e">
        <f t="shared" si="20"/>
        <v>#DIV/0!</v>
      </c>
      <c r="H52" s="47">
        <f t="shared" si="21"/>
        <v>0</v>
      </c>
      <c r="I52" s="47">
        <f t="shared" si="21"/>
        <v>0</v>
      </c>
      <c r="J52" s="28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x14ac:dyDescent="0.25">
      <c r="A53" s="32" t="s">
        <v>40</v>
      </c>
      <c r="B53" s="130"/>
      <c r="C53" s="130"/>
      <c r="D53" s="131"/>
      <c r="E53" s="36" t="e">
        <f t="shared" si="18"/>
        <v>#DIV/0!</v>
      </c>
      <c r="F53" s="36" t="e">
        <f t="shared" si="19"/>
        <v>#DIV/0!</v>
      </c>
      <c r="G53" s="36" t="e">
        <f t="shared" si="20"/>
        <v>#DIV/0!</v>
      </c>
      <c r="H53" s="9">
        <f t="shared" si="21"/>
        <v>0</v>
      </c>
      <c r="I53" s="9">
        <f t="shared" si="21"/>
        <v>0</v>
      </c>
      <c r="J53" s="28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3.8" thickBot="1" x14ac:dyDescent="0.3">
      <c r="A54" s="37" t="s">
        <v>41</v>
      </c>
      <c r="B54" s="132"/>
      <c r="C54" s="132"/>
      <c r="D54" s="132"/>
      <c r="E54" s="38" t="e">
        <f t="shared" si="18"/>
        <v>#DIV/0!</v>
      </c>
      <c r="F54" s="38" t="e">
        <f t="shared" si="19"/>
        <v>#DIV/0!</v>
      </c>
      <c r="G54" s="38" t="e">
        <f t="shared" si="20"/>
        <v>#DIV/0!</v>
      </c>
      <c r="H54" s="39">
        <f t="shared" si="21"/>
        <v>0</v>
      </c>
      <c r="I54" s="39">
        <f t="shared" si="21"/>
        <v>0</v>
      </c>
      <c r="J54" s="28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3.8" thickBot="1" x14ac:dyDescent="0.3">
      <c r="A55" s="40" t="s">
        <v>42</v>
      </c>
      <c r="B55" s="121">
        <f>+B51-B52-B53-B54</f>
        <v>0</v>
      </c>
      <c r="C55" s="121">
        <f>+C51-C52-C53-C54</f>
        <v>0</v>
      </c>
      <c r="D55" s="121">
        <f>+D51-D52-D53-D54</f>
        <v>0</v>
      </c>
      <c r="E55" s="41" t="e">
        <f t="shared" si="18"/>
        <v>#DIV/0!</v>
      </c>
      <c r="F55" s="41" t="e">
        <f t="shared" si="19"/>
        <v>#DIV/0!</v>
      </c>
      <c r="G55" s="41" t="e">
        <f t="shared" si="20"/>
        <v>#DIV/0!</v>
      </c>
      <c r="H55" s="42">
        <f t="shared" si="21"/>
        <v>0</v>
      </c>
      <c r="I55" s="43">
        <f t="shared" si="21"/>
        <v>0</v>
      </c>
      <c r="J55" s="44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x14ac:dyDescent="0.25">
      <c r="A56" s="45" t="s">
        <v>43</v>
      </c>
      <c r="B56" s="134"/>
      <c r="C56" s="134"/>
      <c r="D56" s="134"/>
      <c r="E56" s="46" t="e">
        <f t="shared" si="18"/>
        <v>#DIV/0!</v>
      </c>
      <c r="F56" s="46" t="e">
        <f t="shared" si="19"/>
        <v>#DIV/0!</v>
      </c>
      <c r="G56" s="46" t="e">
        <f t="shared" si="20"/>
        <v>#DIV/0!</v>
      </c>
      <c r="H56" s="47">
        <f t="shared" si="21"/>
        <v>0</v>
      </c>
      <c r="I56" s="47">
        <f t="shared" si="21"/>
        <v>0</v>
      </c>
      <c r="J56" s="28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ht="13.8" thickBot="1" x14ac:dyDescent="0.3">
      <c r="A57" s="37" t="s">
        <v>44</v>
      </c>
      <c r="B57" s="138"/>
      <c r="C57" s="138"/>
      <c r="D57" s="138"/>
      <c r="E57" s="38" t="e">
        <f t="shared" si="18"/>
        <v>#DIV/0!</v>
      </c>
      <c r="F57" s="38" t="e">
        <f t="shared" si="19"/>
        <v>#DIV/0!</v>
      </c>
      <c r="G57" s="38" t="e">
        <f t="shared" si="20"/>
        <v>#DIV/0!</v>
      </c>
      <c r="H57" s="39">
        <f t="shared" si="21"/>
        <v>0</v>
      </c>
      <c r="I57" s="39">
        <f t="shared" si="21"/>
        <v>0</v>
      </c>
      <c r="J57" s="28"/>
    </row>
    <row r="58" spans="1:20" ht="13.8" thickBot="1" x14ac:dyDescent="0.3">
      <c r="A58" s="49" t="s">
        <v>45</v>
      </c>
      <c r="B58" s="136">
        <f>+B56+B57</f>
        <v>0</v>
      </c>
      <c r="C58" s="136">
        <f>+C56+C57</f>
        <v>0</v>
      </c>
      <c r="D58" s="136">
        <f>+D56+D57</f>
        <v>0</v>
      </c>
      <c r="E58" s="57" t="e">
        <f t="shared" si="18"/>
        <v>#DIV/0!</v>
      </c>
      <c r="F58" s="58" t="e">
        <f t="shared" si="19"/>
        <v>#DIV/0!</v>
      </c>
      <c r="G58" s="58" t="e">
        <f t="shared" si="20"/>
        <v>#DIV/0!</v>
      </c>
      <c r="H58" s="59">
        <f t="shared" si="21"/>
        <v>0</v>
      </c>
      <c r="I58" s="60">
        <f t="shared" si="21"/>
        <v>0</v>
      </c>
      <c r="J58" s="28"/>
    </row>
    <row r="59" spans="1:20" x14ac:dyDescent="0.25">
      <c r="A59" s="45" t="s">
        <v>46</v>
      </c>
      <c r="B59" s="134"/>
      <c r="C59" s="139"/>
      <c r="D59" s="139"/>
      <c r="E59" s="61"/>
      <c r="F59" s="62"/>
      <c r="G59" s="62"/>
      <c r="H59" s="56"/>
      <c r="I59" s="54"/>
      <c r="J59" s="28"/>
    </row>
    <row r="60" spans="1:20" ht="13.8" thickBot="1" x14ac:dyDescent="0.3">
      <c r="A60" s="37" t="s">
        <v>47</v>
      </c>
      <c r="B60" s="134"/>
      <c r="C60" s="140"/>
      <c r="D60" s="140"/>
      <c r="E60" s="61"/>
      <c r="F60" s="62"/>
      <c r="G60" s="62"/>
      <c r="H60" s="56"/>
      <c r="I60" s="54"/>
      <c r="J60" s="28"/>
    </row>
    <row r="61" spans="1:20" ht="13.8" thickBot="1" x14ac:dyDescent="0.3">
      <c r="A61" s="49" t="s">
        <v>48</v>
      </c>
      <c r="B61" s="141">
        <f t="shared" ref="B61:I61" si="22">+B59+B60</f>
        <v>0</v>
      </c>
      <c r="C61" s="141">
        <f t="shared" si="22"/>
        <v>0</v>
      </c>
      <c r="D61" s="141">
        <f t="shared" si="22"/>
        <v>0</v>
      </c>
      <c r="E61" s="63">
        <f t="shared" si="22"/>
        <v>0</v>
      </c>
      <c r="F61" s="63">
        <f t="shared" si="22"/>
        <v>0</v>
      </c>
      <c r="G61" s="63">
        <f t="shared" si="22"/>
        <v>0</v>
      </c>
      <c r="H61" s="63">
        <f t="shared" si="22"/>
        <v>0</v>
      </c>
      <c r="I61" s="63">
        <f t="shared" si="22"/>
        <v>0</v>
      </c>
      <c r="J61" s="51"/>
    </row>
    <row r="62" spans="1:20" x14ac:dyDescent="0.25">
      <c r="A62" s="45" t="s">
        <v>49</v>
      </c>
      <c r="B62" s="142"/>
      <c r="C62" s="143">
        <v>0</v>
      </c>
      <c r="D62" s="135">
        <v>0</v>
      </c>
      <c r="E62" s="46" t="e">
        <f t="shared" ref="E62:E71" si="23">ROUND(B62/$B$43,2)</f>
        <v>#DIV/0!</v>
      </c>
      <c r="F62" s="46" t="e">
        <f t="shared" ref="F62:F71" si="24">ROUND(C62/$C$43,2)</f>
        <v>#DIV/0!</v>
      </c>
      <c r="G62" s="46" t="e">
        <f t="shared" ref="G62:G71" si="25">ROUND(D62/$D$43,2)</f>
        <v>#DIV/0!</v>
      </c>
      <c r="H62" s="47">
        <f t="shared" ref="H62:I71" si="26">C62-B62</f>
        <v>0</v>
      </c>
      <c r="I62" s="47">
        <f t="shared" si="26"/>
        <v>0</v>
      </c>
      <c r="J62" s="28"/>
    </row>
    <row r="63" spans="1:20" ht="13.8" thickBot="1" x14ac:dyDescent="0.3">
      <c r="A63" s="37" t="s">
        <v>50</v>
      </c>
      <c r="B63" s="142"/>
      <c r="C63" s="144">
        <v>0</v>
      </c>
      <c r="D63" s="133"/>
      <c r="E63" s="38" t="e">
        <f t="shared" si="23"/>
        <v>#DIV/0!</v>
      </c>
      <c r="F63" s="38" t="e">
        <f t="shared" si="24"/>
        <v>#DIV/0!</v>
      </c>
      <c r="G63" s="38" t="e">
        <f t="shared" si="25"/>
        <v>#DIV/0!</v>
      </c>
      <c r="H63" s="39">
        <f t="shared" si="26"/>
        <v>0</v>
      </c>
      <c r="I63" s="39">
        <f t="shared" si="26"/>
        <v>0</v>
      </c>
      <c r="J63" s="28"/>
    </row>
    <row r="64" spans="1:20" ht="13.8" thickBot="1" x14ac:dyDescent="0.3">
      <c r="A64" s="49" t="s">
        <v>51</v>
      </c>
      <c r="B64" s="136">
        <f>+B62+B63</f>
        <v>0</v>
      </c>
      <c r="C64" s="141">
        <f>+C62+C63</f>
        <v>0</v>
      </c>
      <c r="D64" s="145">
        <f>+D62+D63</f>
        <v>0</v>
      </c>
      <c r="E64" s="58" t="e">
        <f t="shared" si="23"/>
        <v>#DIV/0!</v>
      </c>
      <c r="F64" s="58" t="e">
        <f t="shared" si="24"/>
        <v>#DIV/0!</v>
      </c>
      <c r="G64" s="58" t="e">
        <f t="shared" si="25"/>
        <v>#DIV/0!</v>
      </c>
      <c r="H64" s="59">
        <f t="shared" si="26"/>
        <v>0</v>
      </c>
      <c r="I64" s="60">
        <f t="shared" si="26"/>
        <v>0</v>
      </c>
      <c r="J64" s="28"/>
    </row>
    <row r="65" spans="1:10" ht="13.8" thickBot="1" x14ac:dyDescent="0.3">
      <c r="A65" s="40" t="s">
        <v>52</v>
      </c>
      <c r="B65" s="121">
        <f>+B55+B58+B61+B64</f>
        <v>0</v>
      </c>
      <c r="C65" s="121">
        <f>+C55+C58+C61+C64</f>
        <v>0</v>
      </c>
      <c r="D65" s="121">
        <f>+D55+D58+D61+D64</f>
        <v>0</v>
      </c>
      <c r="E65" s="41" t="e">
        <f t="shared" si="23"/>
        <v>#DIV/0!</v>
      </c>
      <c r="F65" s="41" t="e">
        <f t="shared" si="24"/>
        <v>#DIV/0!</v>
      </c>
      <c r="G65" s="41" t="e">
        <f t="shared" si="25"/>
        <v>#DIV/0!</v>
      </c>
      <c r="H65" s="42">
        <f t="shared" si="26"/>
        <v>0</v>
      </c>
      <c r="I65" s="43">
        <f t="shared" si="26"/>
        <v>0</v>
      </c>
      <c r="J65" s="44"/>
    </row>
    <row r="66" spans="1:10" x14ac:dyDescent="0.25">
      <c r="A66" s="45" t="s">
        <v>53</v>
      </c>
      <c r="B66" s="134"/>
      <c r="C66" s="134"/>
      <c r="D66" s="134"/>
      <c r="E66" s="46" t="e">
        <f t="shared" si="23"/>
        <v>#DIV/0!</v>
      </c>
      <c r="F66" s="46" t="e">
        <f t="shared" si="24"/>
        <v>#DIV/0!</v>
      </c>
      <c r="G66" s="46" t="e">
        <f t="shared" si="25"/>
        <v>#DIV/0!</v>
      </c>
      <c r="H66" s="47">
        <f t="shared" si="26"/>
        <v>0</v>
      </c>
      <c r="I66" s="47">
        <f t="shared" si="26"/>
        <v>0</v>
      </c>
      <c r="J66" s="28"/>
    </row>
    <row r="67" spans="1:10" ht="13.8" thickBot="1" x14ac:dyDescent="0.3">
      <c r="A67" s="37" t="s">
        <v>54</v>
      </c>
      <c r="B67" s="132"/>
      <c r="C67" s="132"/>
      <c r="D67" s="132"/>
      <c r="E67" s="38" t="e">
        <f t="shared" si="23"/>
        <v>#DIV/0!</v>
      </c>
      <c r="F67" s="38" t="e">
        <f t="shared" si="24"/>
        <v>#DIV/0!</v>
      </c>
      <c r="G67" s="38" t="e">
        <f t="shared" si="25"/>
        <v>#DIV/0!</v>
      </c>
      <c r="H67" s="9">
        <f t="shared" si="26"/>
        <v>0</v>
      </c>
      <c r="I67" s="9">
        <f t="shared" si="26"/>
        <v>0</v>
      </c>
      <c r="J67" s="28"/>
    </row>
    <row r="68" spans="1:10" ht="13.8" thickBot="1" x14ac:dyDescent="0.3">
      <c r="A68" s="64" t="s">
        <v>55</v>
      </c>
      <c r="B68" s="146">
        <f>+B66+B67</f>
        <v>0</v>
      </c>
      <c r="C68" s="146">
        <f>+C66+C67</f>
        <v>0</v>
      </c>
      <c r="D68" s="146">
        <f>+D66+D67</f>
        <v>0</v>
      </c>
      <c r="E68" s="65" t="e">
        <f t="shared" si="23"/>
        <v>#DIV/0!</v>
      </c>
      <c r="F68" s="65" t="e">
        <f t="shared" si="24"/>
        <v>#DIV/0!</v>
      </c>
      <c r="G68" s="65" t="e">
        <f t="shared" si="25"/>
        <v>#DIV/0!</v>
      </c>
      <c r="H68" s="39">
        <f t="shared" si="26"/>
        <v>0</v>
      </c>
      <c r="I68" s="39">
        <f t="shared" si="26"/>
        <v>0</v>
      </c>
      <c r="J68" s="28"/>
    </row>
    <row r="69" spans="1:10" ht="13.8" thickBot="1" x14ac:dyDescent="0.3">
      <c r="A69" s="40" t="s">
        <v>56</v>
      </c>
      <c r="B69" s="121">
        <f>+B65+B68</f>
        <v>0</v>
      </c>
      <c r="C69" s="121">
        <f>+C65+C68</f>
        <v>0</v>
      </c>
      <c r="D69" s="121">
        <f>+D65+D68</f>
        <v>0</v>
      </c>
      <c r="E69" s="41" t="e">
        <f t="shared" si="23"/>
        <v>#DIV/0!</v>
      </c>
      <c r="F69" s="41" t="e">
        <f t="shared" si="24"/>
        <v>#DIV/0!</v>
      </c>
      <c r="G69" s="41" t="e">
        <f t="shared" si="25"/>
        <v>#DIV/0!</v>
      </c>
      <c r="H69" s="42">
        <f t="shared" si="26"/>
        <v>0</v>
      </c>
      <c r="I69" s="43">
        <f t="shared" si="26"/>
        <v>0</v>
      </c>
      <c r="J69" s="44"/>
    </row>
    <row r="70" spans="1:10" ht="13.8" thickBot="1" x14ac:dyDescent="0.3">
      <c r="A70" s="53" t="s">
        <v>57</v>
      </c>
      <c r="B70" s="138"/>
      <c r="C70" s="138"/>
      <c r="D70" s="138">
        <f>+CE!E69</f>
        <v>0</v>
      </c>
      <c r="E70" s="55" t="e">
        <f t="shared" si="23"/>
        <v>#DIV/0!</v>
      </c>
      <c r="F70" s="55" t="e">
        <f t="shared" si="24"/>
        <v>#DIV/0!</v>
      </c>
      <c r="G70" s="55" t="e">
        <f t="shared" si="25"/>
        <v>#DIV/0!</v>
      </c>
      <c r="H70" s="56">
        <f t="shared" si="26"/>
        <v>0</v>
      </c>
      <c r="I70" s="56">
        <f t="shared" si="26"/>
        <v>0</v>
      </c>
      <c r="J70" s="28"/>
    </row>
    <row r="71" spans="1:10" ht="13.8" thickBot="1" x14ac:dyDescent="0.3">
      <c r="A71" s="40" t="s">
        <v>58</v>
      </c>
      <c r="B71" s="121">
        <f>+B69-B70</f>
        <v>0</v>
      </c>
      <c r="C71" s="121">
        <f>+C69-C70</f>
        <v>0</v>
      </c>
      <c r="D71" s="121">
        <f>+D69-D70</f>
        <v>0</v>
      </c>
      <c r="E71" s="41" t="e">
        <f t="shared" si="23"/>
        <v>#DIV/0!</v>
      </c>
      <c r="F71" s="41" t="e">
        <f t="shared" si="24"/>
        <v>#DIV/0!</v>
      </c>
      <c r="G71" s="41" t="e">
        <f t="shared" si="25"/>
        <v>#DIV/0!</v>
      </c>
      <c r="H71" s="42">
        <f t="shared" si="26"/>
        <v>0</v>
      </c>
      <c r="I71" s="43">
        <f t="shared" si="26"/>
        <v>0</v>
      </c>
      <c r="J71" s="44"/>
    </row>
    <row r="72" spans="1:10" x14ac:dyDescent="0.25">
      <c r="A72" s="66"/>
      <c r="B72" s="51"/>
      <c r="C72" s="51"/>
      <c r="D72" s="51"/>
      <c r="E72" s="11"/>
      <c r="F72" s="11"/>
    </row>
    <row r="73" spans="1:10" ht="14.4" x14ac:dyDescent="0.3">
      <c r="A73" s="240" t="s">
        <v>390</v>
      </c>
      <c r="B73" s="242">
        <v>0.22</v>
      </c>
      <c r="C73" s="242">
        <v>0.22</v>
      </c>
      <c r="D73" s="242">
        <v>0.22</v>
      </c>
      <c r="E73" s="11"/>
      <c r="F73" s="11"/>
    </row>
    <row r="74" spans="1:10" ht="14.4" x14ac:dyDescent="0.3">
      <c r="A74" s="240" t="s">
        <v>391</v>
      </c>
      <c r="B74" s="242">
        <v>0.22</v>
      </c>
      <c r="C74" s="242">
        <v>0.22</v>
      </c>
      <c r="D74" s="242">
        <v>0.22</v>
      </c>
      <c r="E74" s="11"/>
      <c r="F74" s="11"/>
    </row>
    <row r="75" spans="1:10" x14ac:dyDescent="0.25">
      <c r="A75" s="236"/>
      <c r="B75" s="237" t="s">
        <v>0</v>
      </c>
      <c r="C75" s="238"/>
      <c r="D75" s="239"/>
      <c r="E75" s="11"/>
      <c r="F75" s="11"/>
    </row>
    <row r="76" spans="1:10" x14ac:dyDescent="0.25">
      <c r="A76" s="32"/>
      <c r="B76" s="3" t="str">
        <f>+B37</f>
        <v>n</v>
      </c>
      <c r="C76" s="3" t="str">
        <f>+C37</f>
        <v>n+1</v>
      </c>
      <c r="D76" s="3" t="str">
        <f>+D37</f>
        <v>n+2</v>
      </c>
      <c r="E76" s="11"/>
      <c r="F76" s="11"/>
    </row>
    <row r="77" spans="1:10" x14ac:dyDescent="0.25">
      <c r="A77" s="4" t="s">
        <v>59</v>
      </c>
      <c r="B77" s="32"/>
      <c r="C77" s="32"/>
      <c r="D77" s="32"/>
      <c r="E77" s="11"/>
      <c r="F77" s="11"/>
    </row>
    <row r="78" spans="1:10" x14ac:dyDescent="0.25">
      <c r="A78" s="32" t="s">
        <v>60</v>
      </c>
      <c r="B78" s="244"/>
      <c r="C78" s="244"/>
      <c r="D78" s="244"/>
      <c r="E78" s="11"/>
      <c r="F78" s="11"/>
    </row>
    <row r="79" spans="1:10" x14ac:dyDescent="0.25">
      <c r="A79" s="32" t="s">
        <v>61</v>
      </c>
      <c r="B79" s="243"/>
      <c r="C79" s="243"/>
      <c r="D79" s="243"/>
      <c r="E79" s="11"/>
      <c r="F79" s="11"/>
    </row>
    <row r="80" spans="1:10" x14ac:dyDescent="0.25">
      <c r="A80" s="32" t="s">
        <v>62</v>
      </c>
      <c r="B80" s="245"/>
      <c r="C80" s="245"/>
      <c r="D80" s="245"/>
      <c r="E80" s="11"/>
      <c r="F80" s="11"/>
    </row>
    <row r="81" spans="1:12" x14ac:dyDescent="0.25">
      <c r="A81" s="32" t="s">
        <v>63</v>
      </c>
      <c r="B81" s="245"/>
      <c r="C81" s="245"/>
      <c r="D81" s="245"/>
      <c r="E81" s="11"/>
      <c r="F81" s="11"/>
    </row>
    <row r="82" spans="1:12" x14ac:dyDescent="0.25">
      <c r="A82" s="207" t="s">
        <v>64</v>
      </c>
      <c r="B82" s="247">
        <f>+B39*(1+B73)</f>
        <v>0</v>
      </c>
      <c r="C82" s="247">
        <f t="shared" ref="C82:D82" si="27">+C39*(1+C73)</f>
        <v>0</v>
      </c>
      <c r="D82" s="247">
        <f t="shared" si="27"/>
        <v>0</v>
      </c>
      <c r="E82" s="11"/>
      <c r="F82" s="11"/>
    </row>
    <row r="83" spans="1:12" x14ac:dyDescent="0.25">
      <c r="A83" s="207" t="s">
        <v>65</v>
      </c>
      <c r="B83" s="247">
        <f>(B44+B45)*(1+B74)</f>
        <v>0</v>
      </c>
      <c r="C83" s="247">
        <f t="shared" ref="C83:D83" si="28">(C44+C45)*(1+C74)</f>
        <v>0</v>
      </c>
      <c r="D83" s="247">
        <f t="shared" si="28"/>
        <v>0</v>
      </c>
      <c r="E83" s="11"/>
      <c r="F83" s="11"/>
    </row>
    <row r="84" spans="1:12" x14ac:dyDescent="0.25">
      <c r="A84" s="211" t="s">
        <v>66</v>
      </c>
      <c r="B84" s="244">
        <f>+SP!C74</f>
        <v>0</v>
      </c>
      <c r="C84" s="244">
        <f>+SP!D74</f>
        <v>0</v>
      </c>
      <c r="D84" s="244">
        <f>+SP!E74</f>
        <v>0</v>
      </c>
      <c r="E84" s="11"/>
      <c r="F84" s="11"/>
    </row>
    <row r="85" spans="1:12" x14ac:dyDescent="0.25">
      <c r="A85" s="211" t="s">
        <v>67</v>
      </c>
      <c r="B85" s="244">
        <v>0</v>
      </c>
      <c r="C85" s="244">
        <v>0</v>
      </c>
      <c r="D85" s="244">
        <v>0</v>
      </c>
      <c r="E85" s="11"/>
      <c r="F85" s="11"/>
    </row>
    <row r="86" spans="1:12" x14ac:dyDescent="0.25">
      <c r="A86" s="207" t="s">
        <v>68</v>
      </c>
      <c r="B86" s="244">
        <f>+SP!C120</f>
        <v>0</v>
      </c>
      <c r="C86" s="244">
        <f>+SP!D120</f>
        <v>0</v>
      </c>
      <c r="D86" s="244">
        <f>+SP!E120</f>
        <v>0</v>
      </c>
      <c r="E86" s="11"/>
      <c r="F86" s="11"/>
    </row>
    <row r="87" spans="1:12" ht="21" x14ac:dyDescent="0.25">
      <c r="A87" s="209" t="s">
        <v>69</v>
      </c>
      <c r="B87" s="246">
        <f>+B85+B86</f>
        <v>0</v>
      </c>
      <c r="C87" s="246">
        <f>+C85+C86</f>
        <v>0</v>
      </c>
      <c r="D87" s="246">
        <f>+D85+D86</f>
        <v>0</v>
      </c>
      <c r="E87" s="11"/>
      <c r="F87" s="11"/>
    </row>
    <row r="88" spans="1:12" x14ac:dyDescent="0.25">
      <c r="A88" s="4" t="s">
        <v>13</v>
      </c>
      <c r="B88" s="34" t="s">
        <v>0</v>
      </c>
      <c r="C88" s="67"/>
      <c r="D88" s="68"/>
      <c r="E88" s="11"/>
      <c r="F88" s="11"/>
    </row>
    <row r="89" spans="1:12" x14ac:dyDescent="0.25">
      <c r="A89" s="37"/>
      <c r="B89" s="3" t="str">
        <f>+B76</f>
        <v>n</v>
      </c>
      <c r="C89" s="3" t="str">
        <f>+C76</f>
        <v>n+1</v>
      </c>
      <c r="D89" s="3" t="str">
        <f>+D76</f>
        <v>n+2</v>
      </c>
      <c r="E89" s="11"/>
      <c r="F89" s="11"/>
    </row>
    <row r="90" spans="1:12" x14ac:dyDescent="0.25">
      <c r="A90" s="71" t="s">
        <v>70</v>
      </c>
      <c r="B90" s="11"/>
      <c r="C90" s="11"/>
      <c r="D90" s="11"/>
      <c r="E90" s="11"/>
      <c r="F90" s="11"/>
      <c r="L90" s="72"/>
    </row>
    <row r="91" spans="1:12" x14ac:dyDescent="0.25">
      <c r="A91" s="73" t="s">
        <v>71</v>
      </c>
      <c r="B91" s="11"/>
      <c r="C91" s="11"/>
      <c r="D91" s="11"/>
      <c r="E91" s="11"/>
      <c r="F91" s="11"/>
    </row>
    <row r="92" spans="1:12" x14ac:dyDescent="0.25">
      <c r="A92" s="74" t="s">
        <v>72</v>
      </c>
      <c r="B92" s="75" t="e">
        <f>ROUND(B4/B15,4)</f>
        <v>#DIV/0!</v>
      </c>
      <c r="C92" s="75" t="e">
        <f>ROUND(C4/C15,2)</f>
        <v>#DIV/0!</v>
      </c>
      <c r="D92" s="76" t="e">
        <f>ROUND(D4/D15,2)</f>
        <v>#DIV/0!</v>
      </c>
      <c r="F92" s="11"/>
      <c r="L92" s="261"/>
    </row>
    <row r="93" spans="1:12" x14ac:dyDescent="0.25">
      <c r="A93" s="77" t="s">
        <v>73</v>
      </c>
      <c r="B93" s="26" t="e">
        <f>ROUND(B10/B15,4)</f>
        <v>#DIV/0!</v>
      </c>
      <c r="C93" s="26" t="e">
        <f>ROUND(C10/C15,2)</f>
        <v>#DIV/0!</v>
      </c>
      <c r="D93" s="32" t="e">
        <f>ROUND(D10/D15,2)</f>
        <v>#DIV/0!</v>
      </c>
      <c r="F93" s="11"/>
      <c r="L93" s="261"/>
    </row>
    <row r="94" spans="1:12" x14ac:dyDescent="0.25">
      <c r="A94" s="11"/>
      <c r="B94" s="78"/>
      <c r="C94" s="11"/>
      <c r="D94" s="11"/>
      <c r="E94" s="11"/>
      <c r="F94" s="11"/>
    </row>
    <row r="95" spans="1:12" x14ac:dyDescent="0.25">
      <c r="A95" s="73" t="s">
        <v>74</v>
      </c>
      <c r="B95" s="79" t="str">
        <f>+B89</f>
        <v>n</v>
      </c>
      <c r="C95" s="79" t="str">
        <f>+C89</f>
        <v>n+1</v>
      </c>
      <c r="D95" s="79" t="str">
        <f>+D89</f>
        <v>n+2</v>
      </c>
      <c r="E95" s="11"/>
      <c r="F95" s="11"/>
    </row>
    <row r="96" spans="1:12" ht="13.5" customHeight="1" x14ac:dyDescent="0.25">
      <c r="A96" s="80" t="s">
        <v>75</v>
      </c>
      <c r="B96" s="75" t="e">
        <f>ROUND(B18/B15,4)</f>
        <v>#DIV/0!</v>
      </c>
      <c r="C96" s="75" t="e">
        <f>ROUND(C18/C15,4)</f>
        <v>#DIV/0!</v>
      </c>
      <c r="D96" s="75" t="e">
        <f>ROUND(D18/D15,4)</f>
        <v>#DIV/0!</v>
      </c>
      <c r="E96" s="81"/>
      <c r="F96" s="11"/>
      <c r="L96" s="82"/>
    </row>
    <row r="97" spans="1:12" x14ac:dyDescent="0.25">
      <c r="A97" s="32" t="s">
        <v>76</v>
      </c>
      <c r="B97" s="83" t="e">
        <f>ROUND(B18/B23,4)</f>
        <v>#DIV/0!</v>
      </c>
      <c r="C97" s="32" t="e">
        <f>ROUND(C18/C23,4)</f>
        <v>#DIV/0!</v>
      </c>
      <c r="D97" s="32" t="e">
        <f>ROUND(D18/D23,4)</f>
        <v>#DIV/0!</v>
      </c>
      <c r="F97" s="11"/>
      <c r="L97" s="11"/>
    </row>
    <row r="98" spans="1:12" x14ac:dyDescent="0.25">
      <c r="A98" s="32" t="s">
        <v>77</v>
      </c>
      <c r="B98" s="26" t="e">
        <f>ROUND(B23/B15,4)</f>
        <v>#DIV/0!</v>
      </c>
      <c r="C98" s="26" t="e">
        <f>ROUND(C23/C15,4)</f>
        <v>#DIV/0!</v>
      </c>
      <c r="D98" s="26" t="e">
        <f>ROUND(D23/D15,4)</f>
        <v>#DIV/0!</v>
      </c>
      <c r="E98" s="11"/>
      <c r="F98" s="11"/>
      <c r="L98" s="84"/>
    </row>
    <row r="99" spans="1:12" x14ac:dyDescent="0.25">
      <c r="A99" s="11"/>
      <c r="B99" s="11"/>
      <c r="C99" s="11"/>
      <c r="D99" s="11"/>
      <c r="E99" s="11"/>
      <c r="F99" s="11"/>
    </row>
    <row r="100" spans="1:12" x14ac:dyDescent="0.25">
      <c r="A100" s="85" t="s">
        <v>78</v>
      </c>
      <c r="B100" s="3" t="str">
        <f>+B95</f>
        <v>n</v>
      </c>
      <c r="C100" s="3" t="str">
        <f>+C95</f>
        <v>n+1</v>
      </c>
      <c r="D100" s="3" t="str">
        <f>+D95</f>
        <v>n+2</v>
      </c>
      <c r="E100" s="11"/>
      <c r="F100" s="11"/>
      <c r="L100" s="84"/>
    </row>
    <row r="101" spans="1:12" x14ac:dyDescent="0.25">
      <c r="A101" s="37" t="s">
        <v>79</v>
      </c>
      <c r="B101" s="37" t="e">
        <f>ROUND(B15/B18,4)</f>
        <v>#DIV/0!</v>
      </c>
      <c r="C101" s="32" t="e">
        <f>ROUND(C15/C18,4)</f>
        <v>#DIV/0!</v>
      </c>
      <c r="D101" s="32" t="e">
        <f>ROUND(D15/D18,4)</f>
        <v>#DIV/0!</v>
      </c>
      <c r="E101" s="11"/>
      <c r="F101" s="11"/>
    </row>
    <row r="102" spans="1:12" x14ac:dyDescent="0.25">
      <c r="A102" s="32" t="s">
        <v>80</v>
      </c>
      <c r="B102" s="86" t="e">
        <f>+(B24+B25)/B18</f>
        <v>#DIV/0!</v>
      </c>
      <c r="C102" s="86" t="e">
        <f t="shared" ref="C102:D102" si="29">+(C24+C25)/C18</f>
        <v>#DIV/0!</v>
      </c>
      <c r="D102" s="86" t="e">
        <f t="shared" si="29"/>
        <v>#DIV/0!</v>
      </c>
      <c r="E102" s="11"/>
      <c r="F102" s="11"/>
      <c r="L102" s="84"/>
    </row>
    <row r="103" spans="1:12" x14ac:dyDescent="0.25">
      <c r="A103" s="32" t="s">
        <v>81</v>
      </c>
      <c r="B103" s="87" t="e">
        <f>(B18+B24)/B15</f>
        <v>#DIV/0!</v>
      </c>
      <c r="C103" s="87" t="e">
        <f t="shared" ref="C103:D103" si="30">(C18+C24)/C15</f>
        <v>#DIV/0!</v>
      </c>
      <c r="D103" s="87" t="e">
        <f t="shared" si="30"/>
        <v>#DIV/0!</v>
      </c>
      <c r="E103" s="11"/>
      <c r="F103" s="11"/>
      <c r="L103" s="84"/>
    </row>
    <row r="104" spans="1:12" x14ac:dyDescent="0.25">
      <c r="A104" s="11"/>
      <c r="B104" s="11"/>
      <c r="C104" s="11"/>
      <c r="D104" s="11"/>
      <c r="E104" s="11"/>
      <c r="F104" s="11"/>
      <c r="L104" s="84"/>
    </row>
    <row r="105" spans="1:12" x14ac:dyDescent="0.25">
      <c r="A105" s="11"/>
      <c r="B105" s="11"/>
      <c r="C105" s="11"/>
      <c r="D105" s="11"/>
      <c r="E105" s="11"/>
      <c r="F105" s="11"/>
      <c r="L105" s="84"/>
    </row>
    <row r="106" spans="1:12" ht="13.8" thickBot="1" x14ac:dyDescent="0.3">
      <c r="A106" s="11"/>
      <c r="B106" s="11"/>
      <c r="C106" s="11"/>
      <c r="D106" s="11"/>
      <c r="E106" s="11"/>
      <c r="F106" s="11"/>
    </row>
    <row r="107" spans="1:12" ht="13.8" thickBot="1" x14ac:dyDescent="0.3">
      <c r="A107" s="88" t="s">
        <v>82</v>
      </c>
      <c r="B107" s="89" t="str">
        <f>+B95</f>
        <v>n</v>
      </c>
      <c r="C107" s="89" t="str">
        <f>+C95</f>
        <v>n+1</v>
      </c>
      <c r="D107" s="89" t="str">
        <f>+D95</f>
        <v>n+2</v>
      </c>
      <c r="E107" s="11"/>
      <c r="F107" s="11"/>
      <c r="L107" s="99"/>
    </row>
    <row r="108" spans="1:12" x14ac:dyDescent="0.25">
      <c r="A108" s="45" t="s">
        <v>83</v>
      </c>
      <c r="B108" s="9">
        <f>B18-B4</f>
        <v>0</v>
      </c>
      <c r="C108" s="9">
        <f>C18-C4</f>
        <v>0</v>
      </c>
      <c r="D108" s="9">
        <f>D18-D4</f>
        <v>0</v>
      </c>
      <c r="E108" s="11"/>
      <c r="F108" s="11"/>
      <c r="L108" s="84"/>
    </row>
    <row r="109" spans="1:12" x14ac:dyDescent="0.25">
      <c r="A109" s="32" t="s">
        <v>84</v>
      </c>
      <c r="B109" s="9">
        <f>(B18+B24)-B4</f>
        <v>0</v>
      </c>
      <c r="C109" s="9">
        <f>(C18+C24)-C4</f>
        <v>0</v>
      </c>
      <c r="D109" s="9">
        <f>(D18+D24)-D4</f>
        <v>0</v>
      </c>
      <c r="E109" s="11"/>
      <c r="F109" s="11"/>
      <c r="L109" s="84"/>
    </row>
    <row r="110" spans="1:12" x14ac:dyDescent="0.25">
      <c r="A110" s="32" t="s">
        <v>85</v>
      </c>
      <c r="B110" s="32" t="e">
        <f>ROUND(B18/B4,4)</f>
        <v>#DIV/0!</v>
      </c>
      <c r="C110" s="32" t="e">
        <f>ROUND(C18/C4,4)</f>
        <v>#DIV/0!</v>
      </c>
      <c r="D110" s="32" t="e">
        <f>ROUND(D18/D4,4)</f>
        <v>#DIV/0!</v>
      </c>
      <c r="E110" s="11"/>
      <c r="F110" s="11"/>
      <c r="L110" s="84"/>
    </row>
    <row r="111" spans="1:12" x14ac:dyDescent="0.25">
      <c r="A111" s="32" t="s">
        <v>86</v>
      </c>
      <c r="B111" s="90" t="e">
        <f>ROUND((B18+B24)/B4,4)</f>
        <v>#DIV/0!</v>
      </c>
      <c r="C111" s="90" t="e">
        <f>ROUND((C18+C24)/C4,4)</f>
        <v>#DIV/0!</v>
      </c>
      <c r="D111" s="83" t="e">
        <f>ROUND((D18+D24)/D4,4)</f>
        <v>#DIV/0!</v>
      </c>
      <c r="E111" s="11"/>
      <c r="F111" s="11"/>
      <c r="L111" s="84"/>
    </row>
    <row r="112" spans="1:12" ht="14.25" customHeight="1" thickBot="1" x14ac:dyDescent="0.3">
      <c r="A112" s="11"/>
      <c r="B112" s="11"/>
      <c r="C112" s="11"/>
      <c r="D112" s="11"/>
      <c r="E112" s="11"/>
      <c r="F112" s="11"/>
      <c r="L112" s="100"/>
    </row>
    <row r="113" spans="1:12" ht="13.8" thickBot="1" x14ac:dyDescent="0.3">
      <c r="A113" s="88" t="s">
        <v>87</v>
      </c>
      <c r="B113" s="79" t="str">
        <f>+B107</f>
        <v>n</v>
      </c>
      <c r="C113" s="79" t="str">
        <f>+C107</f>
        <v>n+1</v>
      </c>
      <c r="D113" s="79" t="str">
        <f>+D107</f>
        <v>n+2</v>
      </c>
      <c r="E113" s="11"/>
      <c r="F113" s="11"/>
      <c r="L113" s="101"/>
    </row>
    <row r="114" spans="1:12" x14ac:dyDescent="0.25">
      <c r="A114" s="45" t="s">
        <v>88</v>
      </c>
      <c r="B114" s="9">
        <f>B10-B25</f>
        <v>0</v>
      </c>
      <c r="C114" s="9">
        <f>C10-C25</f>
        <v>0</v>
      </c>
      <c r="D114" s="9">
        <f>D10-D25</f>
        <v>0</v>
      </c>
      <c r="F114" s="11"/>
      <c r="L114" s="93"/>
    </row>
    <row r="115" spans="1:12" x14ac:dyDescent="0.25">
      <c r="A115" s="32" t="s">
        <v>89</v>
      </c>
      <c r="B115" s="32" t="e">
        <f>ROUND(B10/B25,2)</f>
        <v>#DIV/0!</v>
      </c>
      <c r="C115" s="32" t="e">
        <f t="shared" ref="C115:D115" si="31">ROUND(C10/C25,2)</f>
        <v>#DIV/0!</v>
      </c>
      <c r="D115" s="32" t="e">
        <f t="shared" si="31"/>
        <v>#DIV/0!</v>
      </c>
      <c r="E115" s="11"/>
      <c r="F115" s="11"/>
      <c r="L115" s="93"/>
    </row>
    <row r="116" spans="1:12" x14ac:dyDescent="0.25">
      <c r="A116" s="32" t="s">
        <v>90</v>
      </c>
      <c r="B116" s="9">
        <f>(B13+B12)-B25</f>
        <v>0</v>
      </c>
      <c r="C116" s="9">
        <f>(C13+C12)-C25</f>
        <v>0</v>
      </c>
      <c r="D116" s="9">
        <f>(D13+D12)-D25</f>
        <v>0</v>
      </c>
      <c r="E116" s="11"/>
      <c r="F116" s="11"/>
      <c r="L116" s="93"/>
    </row>
    <row r="117" spans="1:12" x14ac:dyDescent="0.25">
      <c r="A117" s="32" t="s">
        <v>91</v>
      </c>
      <c r="B117" s="32" t="e">
        <f>ROUND((B13+B12)/B25,2)</f>
        <v>#DIV/0!</v>
      </c>
      <c r="C117" s="32" t="e">
        <f t="shared" ref="C117:D117" si="32">ROUND((C13+C12)/C25,2)</f>
        <v>#DIV/0!</v>
      </c>
      <c r="D117" s="32" t="e">
        <f t="shared" si="32"/>
        <v>#DIV/0!</v>
      </c>
      <c r="E117" s="11"/>
      <c r="F117" s="11"/>
      <c r="L117" s="93"/>
    </row>
    <row r="118" spans="1:12" x14ac:dyDescent="0.25">
      <c r="A118" s="32" t="s">
        <v>92</v>
      </c>
      <c r="B118" s="32" t="e">
        <f>ROUND(B13/B78,2)</f>
        <v>#DIV/0!</v>
      </c>
      <c r="C118" s="32" t="e">
        <f>ROUND(C13/C78,2)</f>
        <v>#DIV/0!</v>
      </c>
      <c r="D118" s="32" t="e">
        <f>ROUND(D13/D78,2)</f>
        <v>#DIV/0!</v>
      </c>
      <c r="E118" s="11"/>
      <c r="F118" s="11"/>
      <c r="L118" s="93"/>
    </row>
    <row r="119" spans="1:12" x14ac:dyDescent="0.25">
      <c r="A119" s="32" t="s">
        <v>93</v>
      </c>
      <c r="B119" s="37" t="e">
        <f>ROUND((B13+B12)/B25,2)</f>
        <v>#DIV/0!</v>
      </c>
      <c r="C119" s="37" t="e">
        <f t="shared" ref="C119:D119" si="33">ROUND((C13+C12)/C25,2)</f>
        <v>#DIV/0!</v>
      </c>
      <c r="D119" s="37" t="e">
        <f t="shared" si="33"/>
        <v>#DIV/0!</v>
      </c>
      <c r="E119" s="11"/>
      <c r="F119" s="11"/>
      <c r="L119" s="93"/>
    </row>
    <row r="120" spans="1:12" ht="21" x14ac:dyDescent="0.25">
      <c r="A120" s="91" t="s">
        <v>94</v>
      </c>
      <c r="B120" s="9">
        <f>(B13+B84)-(B85+B86)</f>
        <v>0</v>
      </c>
      <c r="C120" s="9">
        <f t="shared" ref="C120:D120" si="34">(C13+C84)-(C85+C86)</f>
        <v>0</v>
      </c>
      <c r="D120" s="9">
        <f t="shared" si="34"/>
        <v>0</v>
      </c>
      <c r="E120" s="11"/>
      <c r="F120" s="11"/>
      <c r="L120" s="93"/>
    </row>
    <row r="121" spans="1:12" x14ac:dyDescent="0.25">
      <c r="A121" s="92"/>
      <c r="B121" s="28"/>
      <c r="C121" s="28"/>
      <c r="D121" s="28"/>
      <c r="E121" s="11"/>
      <c r="F121" s="11"/>
      <c r="L121" s="93"/>
    </row>
    <row r="122" spans="1:12" x14ac:dyDescent="0.25">
      <c r="A122" s="71" t="s">
        <v>95</v>
      </c>
      <c r="B122" s="98" t="str">
        <f>+B113</f>
        <v>n</v>
      </c>
      <c r="C122" s="98" t="str">
        <f>+C113</f>
        <v>n+1</v>
      </c>
      <c r="D122" s="98" t="str">
        <f>+D113</f>
        <v>n+2</v>
      </c>
      <c r="E122" s="11"/>
      <c r="F122" s="11"/>
      <c r="L122" s="93"/>
    </row>
    <row r="123" spans="1:12" x14ac:dyDescent="0.25">
      <c r="A123" s="45" t="s">
        <v>96</v>
      </c>
      <c r="B123" s="212" t="e">
        <f>ROUND(B71/B18,4)</f>
        <v>#DIV/0!</v>
      </c>
      <c r="C123" s="212" t="e">
        <f t="shared" ref="C123:D123" si="35">ROUND(C71/C18,4)</f>
        <v>#DIV/0!</v>
      </c>
      <c r="D123" s="212" t="e">
        <f t="shared" si="35"/>
        <v>#DIV/0!</v>
      </c>
      <c r="E123" s="11"/>
      <c r="F123" s="11"/>
      <c r="L123" s="93"/>
    </row>
    <row r="124" spans="1:12" x14ac:dyDescent="0.25">
      <c r="A124" s="32" t="s">
        <v>97</v>
      </c>
      <c r="B124" s="213" t="e">
        <f>ROUND(B71/(B18-B21),4)</f>
        <v>#DIV/0!</v>
      </c>
      <c r="C124" s="213" t="e">
        <f t="shared" ref="C124:D124" si="36">ROUND(C71/(C18-C21),4)</f>
        <v>#DIV/0!</v>
      </c>
      <c r="D124" s="213" t="e">
        <f t="shared" si="36"/>
        <v>#DIV/0!</v>
      </c>
      <c r="E124" s="11"/>
      <c r="F124" s="11"/>
      <c r="L124" s="93"/>
    </row>
    <row r="125" spans="1:12" x14ac:dyDescent="0.25">
      <c r="A125" s="32" t="s">
        <v>98</v>
      </c>
      <c r="B125" s="214" t="e">
        <f>ROUND(B55/B15,4)</f>
        <v>#DIV/0!</v>
      </c>
      <c r="C125" s="214" t="e">
        <f t="shared" ref="C125:D125" si="37">ROUND(C55/C15,4)</f>
        <v>#DIV/0!</v>
      </c>
      <c r="D125" s="214" t="e">
        <f t="shared" si="37"/>
        <v>#DIV/0!</v>
      </c>
      <c r="E125" s="11"/>
      <c r="F125" s="11"/>
      <c r="L125" s="93"/>
    </row>
    <row r="126" spans="1:12" x14ac:dyDescent="0.25">
      <c r="A126" s="32" t="s">
        <v>99</v>
      </c>
      <c r="B126" s="69" t="e">
        <f>ROUND(B71/B55,4)</f>
        <v>#DIV/0!</v>
      </c>
      <c r="C126" s="69" t="e">
        <f t="shared" ref="C126:D126" si="38">ROUND(C71/C55,4)</f>
        <v>#DIV/0!</v>
      </c>
      <c r="D126" s="69" t="e">
        <f t="shared" si="38"/>
        <v>#DIV/0!</v>
      </c>
      <c r="E126" s="11"/>
      <c r="F126" s="11"/>
      <c r="L126" s="93"/>
    </row>
    <row r="127" spans="1:12" x14ac:dyDescent="0.25">
      <c r="A127" s="32" t="s">
        <v>100</v>
      </c>
      <c r="B127" s="213" t="e">
        <f>ROUND(B55/B39,4)</f>
        <v>#DIV/0!</v>
      </c>
      <c r="C127" s="213" t="e">
        <f t="shared" ref="C127:D127" si="39">ROUND(C55/C39,4)</f>
        <v>#DIV/0!</v>
      </c>
      <c r="D127" s="213" t="e">
        <f t="shared" si="39"/>
        <v>#DIV/0!</v>
      </c>
      <c r="E127" s="11"/>
      <c r="F127" s="11"/>
      <c r="L127" s="93"/>
    </row>
    <row r="128" spans="1:12" x14ac:dyDescent="0.25">
      <c r="A128" s="32" t="s">
        <v>101</v>
      </c>
      <c r="B128" s="69" t="e">
        <f>ROUND(B39/B15,2)</f>
        <v>#DIV/0!</v>
      </c>
      <c r="C128" s="69" t="e">
        <f t="shared" ref="C128:D128" si="40">ROUND(C39/C15,2)</f>
        <v>#DIV/0!</v>
      </c>
      <c r="D128" s="69" t="e">
        <f t="shared" si="40"/>
        <v>#DIV/0!</v>
      </c>
      <c r="E128" s="11"/>
      <c r="F128" s="11"/>
      <c r="L128" s="93"/>
    </row>
    <row r="129" spans="1:12" x14ac:dyDescent="0.25">
      <c r="A129" s="32" t="s">
        <v>102</v>
      </c>
      <c r="B129" s="214" t="e">
        <f>ROUND(B57/B87,4)*-1</f>
        <v>#DIV/0!</v>
      </c>
      <c r="C129" s="214" t="e">
        <f t="shared" ref="C129:D129" si="41">ROUND(C57/C87,4)*-1</f>
        <v>#DIV/0!</v>
      </c>
      <c r="D129" s="214" t="e">
        <f t="shared" si="41"/>
        <v>#DIV/0!</v>
      </c>
      <c r="E129" s="11"/>
      <c r="F129" s="11"/>
      <c r="L129" s="93"/>
    </row>
    <row r="130" spans="1:12" x14ac:dyDescent="0.25">
      <c r="A130" s="11"/>
      <c r="B130" s="215"/>
      <c r="C130" s="215"/>
      <c r="D130" s="215"/>
      <c r="E130" s="11"/>
      <c r="F130" s="11"/>
      <c r="L130" s="93"/>
    </row>
    <row r="131" spans="1:12" x14ac:dyDescent="0.25">
      <c r="A131" s="71" t="s">
        <v>103</v>
      </c>
      <c r="B131" s="15" t="str">
        <f>+B122</f>
        <v>n</v>
      </c>
      <c r="C131" s="15" t="str">
        <f>+C122</f>
        <v>n+1</v>
      </c>
      <c r="D131" s="15" t="str">
        <f>+D122</f>
        <v>n+2</v>
      </c>
      <c r="E131" s="11"/>
      <c r="F131" s="11"/>
      <c r="L131" s="93"/>
    </row>
    <row r="132" spans="1:12" x14ac:dyDescent="0.25">
      <c r="A132" s="32" t="s">
        <v>104</v>
      </c>
      <c r="B132" s="217" t="e">
        <f>ROUND(B39/B79,2)</f>
        <v>#DIV/0!</v>
      </c>
      <c r="C132" s="217" t="e">
        <f t="shared" ref="C132:D132" si="42">ROUND(C39/C79,2)</f>
        <v>#DIV/0!</v>
      </c>
      <c r="D132" s="217" t="e">
        <f t="shared" si="42"/>
        <v>#DIV/0!</v>
      </c>
      <c r="E132" s="11"/>
      <c r="F132" s="11"/>
      <c r="L132" s="93"/>
    </row>
    <row r="133" spans="1:12" x14ac:dyDescent="0.25">
      <c r="A133" s="32" t="s">
        <v>105</v>
      </c>
      <c r="B133" s="69" t="e">
        <f>ROUND(B82/B80,2)</f>
        <v>#DIV/0!</v>
      </c>
      <c r="C133" s="69" t="e">
        <f>ROUND(C82/C80,2)</f>
        <v>#DIV/0!</v>
      </c>
      <c r="D133" s="69" t="e">
        <f>ROUND(D82/D80,2)</f>
        <v>#DIV/0!</v>
      </c>
      <c r="E133" s="11"/>
      <c r="F133" s="11"/>
      <c r="L133" s="93"/>
    </row>
    <row r="134" spans="1:12" x14ac:dyDescent="0.25">
      <c r="A134" s="32" t="s">
        <v>106</v>
      </c>
      <c r="B134" s="69" t="e">
        <f t="shared" ref="B134:D135" si="43">ROUND(B80/B82*365,0)</f>
        <v>#DIV/0!</v>
      </c>
      <c r="C134" s="69" t="e">
        <f t="shared" si="43"/>
        <v>#DIV/0!</v>
      </c>
      <c r="D134" s="69" t="e">
        <f t="shared" si="43"/>
        <v>#DIV/0!</v>
      </c>
      <c r="E134" s="11"/>
      <c r="F134" s="11"/>
      <c r="L134" s="93"/>
    </row>
    <row r="135" spans="1:12" x14ac:dyDescent="0.25">
      <c r="A135" s="32" t="s">
        <v>107</v>
      </c>
      <c r="B135" s="69" t="e">
        <f t="shared" si="43"/>
        <v>#DIV/0!</v>
      </c>
      <c r="C135" s="69" t="e">
        <f t="shared" si="43"/>
        <v>#DIV/0!</v>
      </c>
      <c r="D135" s="69" t="e">
        <f t="shared" si="43"/>
        <v>#DIV/0!</v>
      </c>
      <c r="E135" s="11"/>
      <c r="F135" s="11"/>
      <c r="L135" s="93"/>
    </row>
    <row r="136" spans="1:12" x14ac:dyDescent="0.25">
      <c r="A136" s="37" t="s">
        <v>108</v>
      </c>
      <c r="B136" s="216" t="e">
        <f>ROUND(B39/B10,2)</f>
        <v>#DIV/0!</v>
      </c>
      <c r="C136" s="69" t="e">
        <f>ROUND(C39/C10,2)</f>
        <v>#DIV/0!</v>
      </c>
      <c r="D136" s="69" t="e">
        <f>ROUND(D39/D10,2)</f>
        <v>#DIV/0!</v>
      </c>
      <c r="E136" s="11"/>
      <c r="F136" s="11"/>
      <c r="L136" s="93"/>
    </row>
    <row r="137" spans="1:12" x14ac:dyDescent="0.25">
      <c r="A137" s="32" t="s">
        <v>109</v>
      </c>
      <c r="B137" s="216" t="e">
        <f>+B39/B11</f>
        <v>#DIV/0!</v>
      </c>
      <c r="C137" s="216" t="e">
        <f>+C39/C11</f>
        <v>#DIV/0!</v>
      </c>
      <c r="D137" s="216" t="e">
        <f>+D39/D11</f>
        <v>#DIV/0!</v>
      </c>
      <c r="E137" s="11"/>
      <c r="F137" s="11"/>
      <c r="L137" s="93"/>
    </row>
    <row r="138" spans="1:12" x14ac:dyDescent="0.25">
      <c r="A138" s="32" t="s">
        <v>110</v>
      </c>
      <c r="B138" s="69" t="e">
        <f>ROUND(B11*365/B39,0)</f>
        <v>#DIV/0!</v>
      </c>
      <c r="C138" s="69" t="e">
        <f>ROUND(C11*365/C39,0)</f>
        <v>#DIV/0!</v>
      </c>
      <c r="D138" s="69" t="e">
        <f>ROUND(D11*365/D39,0)</f>
        <v>#DIV/0!</v>
      </c>
      <c r="E138" s="11"/>
      <c r="F138" s="11"/>
      <c r="L138" s="93"/>
    </row>
    <row r="139" spans="1:12" ht="21" x14ac:dyDescent="0.25">
      <c r="A139" s="94" t="s">
        <v>111</v>
      </c>
      <c r="B139" s="95" t="e">
        <f>B138+B134</f>
        <v>#DIV/0!</v>
      </c>
      <c r="C139" s="95" t="e">
        <f>C138+C134</f>
        <v>#DIV/0!</v>
      </c>
      <c r="D139" s="95" t="e">
        <f>D138+D134</f>
        <v>#DIV/0!</v>
      </c>
      <c r="E139" s="11"/>
      <c r="F139" s="11"/>
      <c r="L139" s="11"/>
    </row>
    <row r="140" spans="1:12" x14ac:dyDescent="0.25">
      <c r="A140" s="32" t="s">
        <v>112</v>
      </c>
      <c r="B140" s="95" t="e">
        <f>+B135</f>
        <v>#DIV/0!</v>
      </c>
      <c r="C140" s="95" t="e">
        <f>+C135</f>
        <v>#DIV/0!</v>
      </c>
      <c r="D140" s="95" t="e">
        <f>+D135</f>
        <v>#DIV/0!</v>
      </c>
      <c r="E140" s="11"/>
      <c r="F140" s="11"/>
      <c r="L140" s="11"/>
    </row>
    <row r="141" spans="1:12" x14ac:dyDescent="0.25">
      <c r="A141" s="32" t="s">
        <v>113</v>
      </c>
      <c r="B141" s="96" t="e">
        <f>+B140-B139</f>
        <v>#DIV/0!</v>
      </c>
      <c r="C141" s="96" t="e">
        <f>+C140-C139</f>
        <v>#DIV/0!</v>
      </c>
      <c r="D141" s="96" t="e">
        <f>+D140-D139</f>
        <v>#DIV/0!</v>
      </c>
      <c r="E141" s="11"/>
      <c r="F141" s="11"/>
      <c r="L141" s="11"/>
    </row>
    <row r="142" spans="1:12" x14ac:dyDescent="0.25">
      <c r="A142" s="32"/>
      <c r="B142" s="32"/>
      <c r="C142" s="97"/>
      <c r="D142" s="32"/>
      <c r="E142" s="11"/>
      <c r="F142" s="11"/>
      <c r="L142" s="11"/>
    </row>
    <row r="143" spans="1:12" x14ac:dyDescent="0.25">
      <c r="A143" s="218" t="s">
        <v>392</v>
      </c>
      <c r="B143" s="11"/>
      <c r="C143" s="11"/>
      <c r="D143" s="11"/>
      <c r="E143" s="11"/>
      <c r="F143" s="11"/>
      <c r="L143" s="93"/>
    </row>
    <row r="144" spans="1:12" x14ac:dyDescent="0.25">
      <c r="A144" s="11" t="s">
        <v>125</v>
      </c>
      <c r="B144" s="116" t="str">
        <f>+B37</f>
        <v>n</v>
      </c>
      <c r="C144" s="116" t="str">
        <f t="shared" ref="C144:D144" si="44">+C37</f>
        <v>n+1</v>
      </c>
      <c r="D144" s="116" t="str">
        <f t="shared" si="44"/>
        <v>n+2</v>
      </c>
      <c r="E144" s="11"/>
      <c r="F144" s="11"/>
      <c r="L144" s="93"/>
    </row>
    <row r="145" spans="1:12" ht="41.4" x14ac:dyDescent="0.25">
      <c r="A145" s="117" t="s">
        <v>114</v>
      </c>
      <c r="B145" s="118" t="e">
        <f>-B57/B39</f>
        <v>#DIV/0!</v>
      </c>
      <c r="C145" s="118" t="e">
        <f t="shared" ref="C145:D145" si="45">-C57/C39</f>
        <v>#DIV/0!</v>
      </c>
      <c r="D145" s="118" t="e">
        <f t="shared" si="45"/>
        <v>#DIV/0!</v>
      </c>
      <c r="E145" s="11"/>
      <c r="F145" s="11"/>
      <c r="L145" s="93"/>
    </row>
    <row r="146" spans="1:12" ht="14.4" x14ac:dyDescent="0.3">
      <c r="A146" s="248" t="s">
        <v>115</v>
      </c>
      <c r="B146" s="249">
        <v>2.7E-2</v>
      </c>
      <c r="C146" s="249">
        <v>2.7E-2</v>
      </c>
      <c r="D146" s="249">
        <v>2.7E-2</v>
      </c>
      <c r="E146" s="11"/>
      <c r="F146" s="11"/>
      <c r="L146" s="93"/>
    </row>
    <row r="147" spans="1:12" ht="14.4" x14ac:dyDescent="0.3">
      <c r="A147" s="106" t="s">
        <v>116</v>
      </c>
      <c r="B147" s="108" t="e">
        <f>IF(B145&lt;B146,"OK","ALERT")</f>
        <v>#DIV/0!</v>
      </c>
      <c r="C147" s="108" t="e">
        <f t="shared" ref="C147:D147" si="46">IF(C145&lt;C146,"OK","ALERT")</f>
        <v>#DIV/0!</v>
      </c>
      <c r="D147" s="108" t="e">
        <f t="shared" si="46"/>
        <v>#DIV/0!</v>
      </c>
      <c r="E147" s="11"/>
      <c r="F147" s="11"/>
      <c r="L147" s="93"/>
    </row>
    <row r="148" spans="1:12" ht="14.4" x14ac:dyDescent="0.3">
      <c r="A148"/>
      <c r="B148"/>
      <c r="C148" s="11"/>
      <c r="D148" s="11"/>
      <c r="E148" s="11"/>
      <c r="F148" s="11"/>
      <c r="L148" s="93"/>
    </row>
    <row r="149" spans="1:12" ht="28.2" x14ac:dyDescent="0.3">
      <c r="A149" s="109" t="s">
        <v>117</v>
      </c>
      <c r="B149" s="119" t="e">
        <f>+B18/B23</f>
        <v>#DIV/0!</v>
      </c>
      <c r="C149" s="119" t="e">
        <f t="shared" ref="C149:D149" si="47">+C18/C23</f>
        <v>#DIV/0!</v>
      </c>
      <c r="D149" s="120" t="e">
        <f t="shared" si="47"/>
        <v>#DIV/0!</v>
      </c>
      <c r="E149" s="11"/>
      <c r="F149" s="11"/>
      <c r="L149" s="93"/>
    </row>
    <row r="150" spans="1:12" ht="14.4" x14ac:dyDescent="0.3">
      <c r="A150" s="248" t="s">
        <v>115</v>
      </c>
      <c r="B150" s="249">
        <v>2.23E-2</v>
      </c>
      <c r="C150" s="249">
        <v>2.23E-2</v>
      </c>
      <c r="D150" s="249">
        <v>2.23E-2</v>
      </c>
      <c r="E150" s="11"/>
      <c r="F150" s="11"/>
      <c r="L150" s="93"/>
    </row>
    <row r="151" spans="1:12" ht="14.4" x14ac:dyDescent="0.3">
      <c r="A151" s="106" t="s">
        <v>116</v>
      </c>
      <c r="B151" s="108" t="e">
        <f>IF(B149&gt;B150,"OK","ALERT")</f>
        <v>#DIV/0!</v>
      </c>
      <c r="C151" s="108" t="e">
        <f t="shared" ref="C151:D151" si="48">IF(C149&gt;C150,"OK","ALERT")</f>
        <v>#DIV/0!</v>
      </c>
      <c r="D151" s="108" t="e">
        <f t="shared" si="48"/>
        <v>#DIV/0!</v>
      </c>
      <c r="E151" s="11"/>
      <c r="F151" s="11"/>
      <c r="L151" s="93"/>
    </row>
    <row r="152" spans="1:12" ht="14.4" x14ac:dyDescent="0.3">
      <c r="A152" s="11"/>
      <c r="B152" s="105"/>
      <c r="C152" s="105"/>
      <c r="D152" s="105"/>
      <c r="E152" s="11"/>
      <c r="F152" s="11"/>
      <c r="L152" s="93"/>
    </row>
    <row r="153" spans="1:12" x14ac:dyDescent="0.25">
      <c r="A153" s="11"/>
      <c r="B153" s="11"/>
      <c r="C153" s="11"/>
      <c r="D153" s="11"/>
      <c r="E153" s="11"/>
      <c r="F153" s="11"/>
      <c r="L153" s="93"/>
    </row>
    <row r="154" spans="1:12" ht="29.25" customHeight="1" x14ac:dyDescent="0.3">
      <c r="A154" s="109" t="s">
        <v>118</v>
      </c>
      <c r="B154" s="110" t="e">
        <f>+B155/B15</f>
        <v>#DIV/0!</v>
      </c>
      <c r="C154" s="110" t="e">
        <f>+C155/C15</f>
        <v>#DIV/0!</v>
      </c>
      <c r="D154" s="110" t="e">
        <f>+D155/D15</f>
        <v>#DIV/0!</v>
      </c>
      <c r="E154" s="11"/>
      <c r="F154" s="11"/>
      <c r="L154" s="93"/>
    </row>
    <row r="155" spans="1:12" ht="13.8" x14ac:dyDescent="0.25">
      <c r="A155" s="111" t="s">
        <v>126</v>
      </c>
      <c r="B155" s="112">
        <f>B71+B52</f>
        <v>0</v>
      </c>
      <c r="C155" s="112">
        <f t="shared" ref="C155:D155" si="49">C71+C52</f>
        <v>0</v>
      </c>
      <c r="D155" s="112">
        <f t="shared" si="49"/>
        <v>0</v>
      </c>
      <c r="E155" s="11"/>
      <c r="F155" s="11"/>
      <c r="L155" s="93"/>
    </row>
    <row r="156" spans="1:12" ht="14.4" x14ac:dyDescent="0.3">
      <c r="A156" s="248" t="s">
        <v>115</v>
      </c>
      <c r="B156" s="249">
        <v>5.0000000000000001E-3</v>
      </c>
      <c r="C156" s="249">
        <v>5.0000000000000001E-3</v>
      </c>
      <c r="D156" s="249">
        <v>5.0000000000000001E-3</v>
      </c>
      <c r="E156" s="11"/>
      <c r="F156" s="11"/>
      <c r="L156" s="93"/>
    </row>
    <row r="157" spans="1:12" ht="14.4" x14ac:dyDescent="0.3">
      <c r="A157" s="106" t="s">
        <v>116</v>
      </c>
      <c r="B157" s="108" t="e">
        <f>IF(B154&lt;B156,"alert","ok")</f>
        <v>#DIV/0!</v>
      </c>
      <c r="C157" s="108" t="e">
        <f t="shared" ref="C157:D157" si="50">IF(C154&lt;C156,"alert","ok")</f>
        <v>#DIV/0!</v>
      </c>
      <c r="D157" s="108" t="e">
        <f t="shared" si="50"/>
        <v>#DIV/0!</v>
      </c>
      <c r="E157" s="105"/>
      <c r="F157" s="105"/>
      <c r="G157" s="105"/>
      <c r="H157" s="105"/>
      <c r="I157" s="105"/>
      <c r="L157" s="93"/>
    </row>
    <row r="158" spans="1:12" x14ac:dyDescent="0.25">
      <c r="A158" s="11"/>
      <c r="B158" s="11"/>
      <c r="C158" s="11"/>
      <c r="D158" s="11"/>
      <c r="E158" s="11"/>
      <c r="F158" s="11"/>
      <c r="L158" s="93"/>
    </row>
    <row r="159" spans="1:12" x14ac:dyDescent="0.25">
      <c r="A159" s="11"/>
      <c r="B159" s="11"/>
      <c r="C159" s="11"/>
      <c r="D159" s="11"/>
      <c r="E159" s="11"/>
      <c r="F159" s="11"/>
      <c r="L159" s="93"/>
    </row>
    <row r="160" spans="1:12" ht="28.2" x14ac:dyDescent="0.3">
      <c r="A160" s="109" t="s">
        <v>119</v>
      </c>
      <c r="B160" s="119" t="e">
        <f t="shared" ref="B160:D160" si="51">+B10/B25</f>
        <v>#DIV/0!</v>
      </c>
      <c r="C160" s="119" t="e">
        <f t="shared" si="51"/>
        <v>#DIV/0!</v>
      </c>
      <c r="D160" s="119" t="e">
        <f t="shared" si="51"/>
        <v>#DIV/0!</v>
      </c>
      <c r="E160" s="114"/>
      <c r="F160" s="114"/>
      <c r="G160" s="114"/>
      <c r="H160" s="114"/>
      <c r="I160" s="114"/>
    </row>
    <row r="161" spans="1:9" ht="14.4" x14ac:dyDescent="0.3">
      <c r="A161" s="248" t="s">
        <v>115</v>
      </c>
      <c r="B161" s="249">
        <v>0.69799999999999995</v>
      </c>
      <c r="C161" s="249">
        <v>0.69799999999999995</v>
      </c>
      <c r="D161" s="249">
        <v>0.69799999999999995</v>
      </c>
      <c r="E161" s="11"/>
      <c r="F161" s="11"/>
    </row>
    <row r="162" spans="1:9" ht="14.4" x14ac:dyDescent="0.3">
      <c r="A162" s="106" t="s">
        <v>116</v>
      </c>
      <c r="B162" s="108" t="e">
        <f>IF(B160&lt;B161,"alert","ok")</f>
        <v>#DIV/0!</v>
      </c>
      <c r="C162" s="108" t="e">
        <f t="shared" ref="C162:D162" si="52">IF(C160&lt;C161,"alert","ok")</f>
        <v>#DIV/0!</v>
      </c>
      <c r="D162" s="108" t="e">
        <f t="shared" si="52"/>
        <v>#DIV/0!</v>
      </c>
      <c r="E162" s="11"/>
      <c r="F162" s="11"/>
    </row>
    <row r="163" spans="1:9" x14ac:dyDescent="0.25">
      <c r="A163" s="11"/>
      <c r="B163" s="11"/>
      <c r="C163" s="11"/>
      <c r="D163" s="11"/>
      <c r="E163" s="11"/>
      <c r="F163" s="11"/>
    </row>
    <row r="164" spans="1:9" x14ac:dyDescent="0.25">
      <c r="A164" s="11"/>
      <c r="B164" s="11"/>
      <c r="C164" s="11"/>
      <c r="D164" s="11"/>
      <c r="E164" s="11"/>
      <c r="F164" s="11"/>
    </row>
    <row r="165" spans="1:9" ht="28.2" x14ac:dyDescent="0.3">
      <c r="A165" s="109" t="s">
        <v>120</v>
      </c>
      <c r="B165" s="119" t="e">
        <f t="shared" ref="B165:D165" si="53">+B33/B15</f>
        <v>#DIV/0!</v>
      </c>
      <c r="C165" s="119" t="e">
        <f t="shared" si="53"/>
        <v>#DIV/0!</v>
      </c>
      <c r="D165" s="119" t="e">
        <f t="shared" si="53"/>
        <v>#DIV/0!</v>
      </c>
      <c r="E165" s="114"/>
      <c r="F165" s="114"/>
      <c r="G165" s="114"/>
      <c r="H165" s="114"/>
      <c r="I165" s="114"/>
    </row>
    <row r="166" spans="1:9" ht="14.4" x14ac:dyDescent="0.3">
      <c r="A166" s="248" t="s">
        <v>115</v>
      </c>
      <c r="B166" s="249">
        <v>0.14599999999999999</v>
      </c>
      <c r="C166" s="249">
        <v>0.14599999999999999</v>
      </c>
      <c r="D166" s="249">
        <v>0.14599999999999999</v>
      </c>
      <c r="E166" s="11"/>
      <c r="F166" s="11"/>
    </row>
    <row r="167" spans="1:9" ht="14.4" x14ac:dyDescent="0.3">
      <c r="A167" s="106" t="s">
        <v>116</v>
      </c>
      <c r="B167" s="108" t="e">
        <f>IF(B165&gt;B166,"alert","ok")</f>
        <v>#DIV/0!</v>
      </c>
      <c r="C167" s="108" t="e">
        <f t="shared" ref="C167:D167" si="54">IF(C165&gt;C166,"alert","ok")</f>
        <v>#DIV/0!</v>
      </c>
      <c r="D167" s="108" t="e">
        <f t="shared" si="54"/>
        <v>#DIV/0!</v>
      </c>
      <c r="E167" s="11"/>
      <c r="F167" s="11"/>
    </row>
    <row r="168" spans="1:9" x14ac:dyDescent="0.25">
      <c r="A168" s="11"/>
      <c r="B168" s="11"/>
      <c r="C168" s="11"/>
      <c r="D168" s="11"/>
      <c r="E168" s="11"/>
      <c r="F168" s="11"/>
    </row>
    <row r="169" spans="1:9" x14ac:dyDescent="0.25">
      <c r="A169" s="11"/>
      <c r="B169" s="11"/>
      <c r="C169" s="11"/>
      <c r="D169" s="11"/>
      <c r="E169" s="11"/>
      <c r="F169" s="11"/>
    </row>
    <row r="170" spans="1:9" x14ac:dyDescent="0.25">
      <c r="A170" s="11"/>
      <c r="B170" s="11"/>
      <c r="C170" s="11"/>
      <c r="D170" s="11"/>
      <c r="E170" s="11"/>
      <c r="F170" s="11"/>
    </row>
    <row r="171" spans="1:9" x14ac:dyDescent="0.25">
      <c r="A171" s="11"/>
      <c r="B171" s="11"/>
      <c r="C171" s="11"/>
      <c r="D171" s="11"/>
      <c r="E171" s="11"/>
      <c r="F171" s="11"/>
    </row>
    <row r="172" spans="1:9" x14ac:dyDescent="0.25">
      <c r="A172" s="11"/>
      <c r="B172" s="11"/>
      <c r="C172" s="11"/>
      <c r="D172" s="11"/>
      <c r="E172" s="11"/>
      <c r="F172" s="11"/>
    </row>
    <row r="173" spans="1:9" x14ac:dyDescent="0.25">
      <c r="A173" s="11"/>
      <c r="B173" s="11"/>
      <c r="C173" s="11"/>
      <c r="D173" s="11"/>
      <c r="E173" s="11"/>
      <c r="F173" s="11"/>
    </row>
  </sheetData>
  <sheetProtection selectLockedCells="1" selectUnlockedCells="1"/>
  <mergeCells count="5">
    <mergeCell ref="E2:G2"/>
    <mergeCell ref="H2:I2"/>
    <mergeCell ref="E37:G37"/>
    <mergeCell ref="H37:I37"/>
    <mergeCell ref="L92:L93"/>
  </mergeCells>
  <pageMargins left="0.74803149606299213" right="0.74803149606299213" top="0.98425196850393704" bottom="0.98425196850393704" header="0.51181102362204722" footer="0.51181102362204722"/>
  <pageSetup paperSize="9" scale="79" firstPageNumber="0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SP</vt:lpstr>
      <vt:lpstr>CE</vt:lpstr>
      <vt:lpstr>ANALISI BILANCIO 20-22</vt:lpstr>
      <vt:lpstr>ANALISI BILANCIO VUOTO</vt:lpstr>
      <vt:lpstr>CE!Area_stampa</vt:lpstr>
      <vt:lpstr>SP!Area_stampa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 dovier</cp:lastModifiedBy>
  <cp:lastPrinted>2023-04-25T08:16:16Z</cp:lastPrinted>
  <dcterms:created xsi:type="dcterms:W3CDTF">2022-06-19T08:57:42Z</dcterms:created>
  <dcterms:modified xsi:type="dcterms:W3CDTF">2024-04-26T17:15:50Z</dcterms:modified>
</cp:coreProperties>
</file>