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X:\DOC MAURI\DOVIER MAURIZIO\UNIVERSITA' TS CORSO IMPRENDITORE SOCIALE\001  LEZIONII\016 PIANIFICAZIONE STRATEGICA - BUSINESS PLAN\BUSINESS PLAN\"/>
    </mc:Choice>
  </mc:AlternateContent>
  <xr:revisionPtr revIDLastSave="0" documentId="13_ncr:1_{17B61D83-8B83-45CD-B538-A130F198DCE3}" xr6:coauthVersionLast="47" xr6:coauthVersionMax="47" xr10:uidLastSave="{00000000-0000-0000-0000-000000000000}"/>
  <bookViews>
    <workbookView xWindow="35145" yWindow="3705" windowWidth="21600" windowHeight="11385" activeTab="1" xr2:uid="{00000000-000D-0000-FFFF-FFFF00000000}"/>
  </bookViews>
  <sheets>
    <sheet name="DATI PROGETTO E FINANZIAMENTO" sheetId="1" r:id="rId1"/>
    <sheet name="BUSINESS PLAN" sheetId="4" r:id="rId2"/>
    <sheet name="SP+CE+ANALISI" sheetId="9" r:id="rId3"/>
    <sheet name="piano ammo MUTUO" sheetId="5" r:id="rId4"/>
    <sheet name="PIANO RIMBORSO AI SOCI" sheetId="6" r:id="rId5"/>
    <sheet name="tabelle e grafici" sheetId="8" r:id="rId6"/>
  </sheets>
  <externalReferences>
    <externalReference r:id="rId7"/>
  </externalReferences>
  <definedNames>
    <definedName name="_xlnm.Print_Area" localSheetId="1">'BUSINESS PLAN'!$A$1:$W$52</definedName>
    <definedName name="_xlnm.Print_Area" localSheetId="0">'DATI PROGETTO E FINANZIAMENTO'!$A$1:$E$35</definedName>
    <definedName name="_xlnm.Print_Area" localSheetId="3">'piano ammo MUTUO'!$A$2:$G$74</definedName>
    <definedName name="_xlnm.Print_Area" localSheetId="4">'PIANO RIMBORSO AI SOCI'!$A$2:$G$74</definedName>
  </definedNames>
  <calcPr calcId="181029" iterate="1"/>
</workbook>
</file>

<file path=xl/calcChain.xml><?xml version="1.0" encoding="utf-8"?>
<calcChain xmlns="http://schemas.openxmlformats.org/spreadsheetml/2006/main">
  <c r="C171" i="1" l="1"/>
  <c r="C12" i="8"/>
  <c r="D12" i="8"/>
  <c r="E12" i="8"/>
  <c r="F12" i="8"/>
  <c r="G12" i="8"/>
  <c r="H12" i="8"/>
  <c r="I12" i="8"/>
  <c r="J12" i="8"/>
  <c r="K12" i="8"/>
  <c r="L12" i="8"/>
  <c r="M12" i="8"/>
  <c r="N12" i="8"/>
  <c r="O12" i="8"/>
  <c r="P12" i="8"/>
  <c r="Q12" i="8"/>
  <c r="R12" i="8"/>
  <c r="S12" i="8"/>
  <c r="T12" i="8"/>
  <c r="U12" i="8"/>
  <c r="B12" i="8"/>
  <c r="D13" i="8"/>
  <c r="E13" i="8"/>
  <c r="F13" i="8"/>
  <c r="G13" i="8"/>
  <c r="H13" i="8"/>
  <c r="I13" i="8"/>
  <c r="J13" i="8"/>
  <c r="K13" i="8"/>
  <c r="L13" i="8"/>
  <c r="M13" i="8"/>
  <c r="N13" i="8"/>
  <c r="O13" i="8"/>
  <c r="P13" i="8"/>
  <c r="Q13" i="8"/>
  <c r="R13" i="8"/>
  <c r="S13" i="8"/>
  <c r="T13" i="8"/>
  <c r="U13" i="8"/>
  <c r="C13" i="8"/>
  <c r="B13" i="8"/>
  <c r="D92" i="4"/>
  <c r="C10" i="8"/>
  <c r="D10" i="8"/>
  <c r="E10" i="8"/>
  <c r="F10" i="8"/>
  <c r="G10" i="8"/>
  <c r="H10" i="8"/>
  <c r="I10" i="8"/>
  <c r="J10" i="8"/>
  <c r="K10" i="8"/>
  <c r="L10" i="8"/>
  <c r="M10" i="8"/>
  <c r="N10" i="8"/>
  <c r="O10" i="8"/>
  <c r="P10" i="8"/>
  <c r="Q10" i="8"/>
  <c r="R10" i="8"/>
  <c r="S10" i="8"/>
  <c r="T10" i="8"/>
  <c r="U10" i="8"/>
  <c r="B10" i="8"/>
  <c r="C9" i="8"/>
  <c r="D9" i="8"/>
  <c r="E9" i="8"/>
  <c r="F9" i="8"/>
  <c r="G9" i="8"/>
  <c r="H9" i="8"/>
  <c r="I9" i="8"/>
  <c r="J9" i="8"/>
  <c r="K9" i="8"/>
  <c r="L9" i="8"/>
  <c r="M9" i="8"/>
  <c r="N9" i="8"/>
  <c r="O9" i="8"/>
  <c r="P9" i="8"/>
  <c r="Q9" i="8"/>
  <c r="R9" i="8"/>
  <c r="S9" i="8"/>
  <c r="T9" i="8"/>
  <c r="U9" i="8"/>
  <c r="B9" i="8"/>
  <c r="C7" i="8"/>
  <c r="D7" i="8"/>
  <c r="E7" i="8"/>
  <c r="F7" i="8"/>
  <c r="G7" i="8"/>
  <c r="H7" i="8"/>
  <c r="I7" i="8"/>
  <c r="J7" i="8"/>
  <c r="K7" i="8"/>
  <c r="L7" i="8"/>
  <c r="M7" i="8"/>
  <c r="N7" i="8"/>
  <c r="O7" i="8"/>
  <c r="P7" i="8"/>
  <c r="Q7" i="8"/>
  <c r="R7" i="8"/>
  <c r="S7" i="8"/>
  <c r="T7" i="8"/>
  <c r="U7" i="8"/>
  <c r="B7" i="8"/>
  <c r="C6" i="8"/>
  <c r="D6" i="8"/>
  <c r="E6" i="8"/>
  <c r="F6" i="8"/>
  <c r="G6" i="8"/>
  <c r="H6" i="8"/>
  <c r="I6" i="8"/>
  <c r="J6" i="8"/>
  <c r="K6" i="8"/>
  <c r="L6" i="8"/>
  <c r="M6" i="8"/>
  <c r="N6" i="8"/>
  <c r="O6" i="8"/>
  <c r="P6" i="8"/>
  <c r="Q6" i="8"/>
  <c r="R6" i="8"/>
  <c r="S6" i="8"/>
  <c r="T6" i="8"/>
  <c r="U6" i="8"/>
  <c r="B6" i="8"/>
  <c r="C5" i="8"/>
  <c r="D5" i="8"/>
  <c r="E5" i="8"/>
  <c r="F5" i="8"/>
  <c r="G5" i="8"/>
  <c r="H5" i="8"/>
  <c r="I5" i="8"/>
  <c r="J5" i="8"/>
  <c r="K5" i="8"/>
  <c r="L5" i="8"/>
  <c r="M5" i="8"/>
  <c r="N5" i="8"/>
  <c r="O5" i="8"/>
  <c r="P5" i="8"/>
  <c r="Q5" i="8"/>
  <c r="R5" i="8"/>
  <c r="S5" i="8"/>
  <c r="T5" i="8"/>
  <c r="U5" i="8"/>
  <c r="B5" i="8"/>
  <c r="C4" i="8"/>
  <c r="D4" i="8"/>
  <c r="E4" i="8"/>
  <c r="F4" i="8"/>
  <c r="G4" i="8"/>
  <c r="H4" i="8"/>
  <c r="I4" i="8"/>
  <c r="J4" i="8"/>
  <c r="K4" i="8"/>
  <c r="L4" i="8"/>
  <c r="M4" i="8"/>
  <c r="N4" i="8"/>
  <c r="O4" i="8"/>
  <c r="P4" i="8"/>
  <c r="Q4" i="8"/>
  <c r="R4" i="8"/>
  <c r="S4" i="8"/>
  <c r="T4" i="8"/>
  <c r="U4" i="8"/>
  <c r="B4" i="8"/>
  <c r="C32" i="9"/>
  <c r="D32" i="9"/>
  <c r="D34" i="9" s="1"/>
  <c r="B32" i="9"/>
  <c r="B34" i="9" s="1"/>
  <c r="C163" i="9"/>
  <c r="D163" i="9"/>
  <c r="B163" i="9"/>
  <c r="H26" i="9"/>
  <c r="I26" i="9"/>
  <c r="H27" i="9"/>
  <c r="I27" i="9"/>
  <c r="E26" i="9"/>
  <c r="F26" i="9"/>
  <c r="G26" i="9"/>
  <c r="E27" i="9"/>
  <c r="F27" i="9"/>
  <c r="G27" i="9"/>
  <c r="C122" i="9"/>
  <c r="D122" i="9"/>
  <c r="B122" i="9"/>
  <c r="C79" i="9"/>
  <c r="D79" i="9"/>
  <c r="B79" i="9"/>
  <c r="C120" i="9"/>
  <c r="D120" i="9"/>
  <c r="C119" i="9"/>
  <c r="D119" i="9"/>
  <c r="B119" i="9"/>
  <c r="B120" i="9"/>
  <c r="C23" i="9"/>
  <c r="D23" i="9"/>
  <c r="B27" i="9"/>
  <c r="E33" i="4"/>
  <c r="F33" i="4"/>
  <c r="I33" i="4"/>
  <c r="J33" i="4"/>
  <c r="K33" i="4"/>
  <c r="L33" i="4"/>
  <c r="M33" i="4"/>
  <c r="N33" i="4"/>
  <c r="O33" i="4"/>
  <c r="P33" i="4"/>
  <c r="Q33" i="4"/>
  <c r="R33" i="4"/>
  <c r="S33" i="4"/>
  <c r="T33" i="4"/>
  <c r="U33" i="4"/>
  <c r="V33" i="4"/>
  <c r="W33" i="4"/>
  <c r="X33" i="4"/>
  <c r="Y33" i="4"/>
  <c r="Z33" i="4"/>
  <c r="AA33" i="4"/>
  <c r="AB33" i="4"/>
  <c r="AC33" i="4"/>
  <c r="AD33" i="4"/>
  <c r="AE33" i="4"/>
  <c r="AF33" i="4"/>
  <c r="AG33" i="4"/>
  <c r="D33" i="4"/>
  <c r="D24" i="9"/>
  <c r="B19" i="9"/>
  <c r="D89" i="9"/>
  <c r="D90" i="9" s="1"/>
  <c r="C89" i="9"/>
  <c r="C24" i="9" s="1"/>
  <c r="B89" i="9"/>
  <c r="B24" i="9" s="1"/>
  <c r="C80" i="9"/>
  <c r="D80" i="9"/>
  <c r="B80" i="9"/>
  <c r="C58" i="9"/>
  <c r="C59" i="9" s="1"/>
  <c r="D58" i="9"/>
  <c r="B58" i="9"/>
  <c r="B59" i="9" s="1"/>
  <c r="C71" i="9"/>
  <c r="D71" i="9"/>
  <c r="B71" i="9"/>
  <c r="D59" i="9"/>
  <c r="C46" i="9"/>
  <c r="H46" i="9" s="1"/>
  <c r="D46" i="9"/>
  <c r="B46" i="9"/>
  <c r="C51" i="9"/>
  <c r="D51" i="9"/>
  <c r="B51" i="9"/>
  <c r="C48" i="9"/>
  <c r="D48" i="9"/>
  <c r="B48" i="9"/>
  <c r="E112" i="1"/>
  <c r="F112" i="1" s="1"/>
  <c r="G112" i="1" s="1"/>
  <c r="H112" i="1" s="1"/>
  <c r="I112" i="1" s="1"/>
  <c r="J112" i="1" s="1"/>
  <c r="K112" i="1" s="1"/>
  <c r="L112" i="1" s="1"/>
  <c r="M112" i="1" s="1"/>
  <c r="N112" i="1" s="1"/>
  <c r="O112" i="1" s="1"/>
  <c r="P112" i="1" s="1"/>
  <c r="Q112" i="1" s="1"/>
  <c r="R112" i="1" s="1"/>
  <c r="S112" i="1" s="1"/>
  <c r="T112" i="1" s="1"/>
  <c r="U112" i="1" s="1"/>
  <c r="V112" i="1" s="1"/>
  <c r="D112" i="1"/>
  <c r="C45" i="9"/>
  <c r="D45" i="9"/>
  <c r="B45" i="9"/>
  <c r="B86" i="9" s="1"/>
  <c r="B84" i="9" s="1"/>
  <c r="B25" i="9" s="1"/>
  <c r="C40" i="9"/>
  <c r="C140" i="9" s="1"/>
  <c r="D40" i="9"/>
  <c r="D85" i="9" s="1"/>
  <c r="D82" i="9" s="1"/>
  <c r="B40" i="9"/>
  <c r="B44" i="9" s="1"/>
  <c r="C53" i="9"/>
  <c r="D53" i="9"/>
  <c r="B53" i="9"/>
  <c r="C6" i="9"/>
  <c r="D6" i="9" s="1"/>
  <c r="B6" i="9"/>
  <c r="B5" i="9"/>
  <c r="C5" i="9" s="1"/>
  <c r="D5" i="9" s="1"/>
  <c r="B141" i="9"/>
  <c r="B135" i="9"/>
  <c r="C90" i="9"/>
  <c r="D87" i="9"/>
  <c r="C87" i="9"/>
  <c r="B87" i="9"/>
  <c r="D69" i="9"/>
  <c r="C69" i="9"/>
  <c r="B69" i="9"/>
  <c r="I68" i="9"/>
  <c r="H68" i="9"/>
  <c r="I67" i="9"/>
  <c r="H67" i="9"/>
  <c r="D65" i="9"/>
  <c r="C65" i="9"/>
  <c r="B65" i="9"/>
  <c r="I64" i="9"/>
  <c r="H64" i="9"/>
  <c r="I63" i="9"/>
  <c r="H63" i="9"/>
  <c r="I62" i="9"/>
  <c r="H62" i="9"/>
  <c r="G62" i="9"/>
  <c r="F62" i="9"/>
  <c r="E62" i="9"/>
  <c r="D62" i="9"/>
  <c r="C62" i="9"/>
  <c r="B62" i="9"/>
  <c r="I57" i="9"/>
  <c r="H57" i="9"/>
  <c r="I55" i="9"/>
  <c r="H55" i="9"/>
  <c r="I54" i="9"/>
  <c r="H54" i="9"/>
  <c r="I47" i="9"/>
  <c r="H47" i="9"/>
  <c r="I43" i="9"/>
  <c r="H43" i="9"/>
  <c r="I42" i="9"/>
  <c r="H42" i="9"/>
  <c r="I41" i="9"/>
  <c r="H41" i="9"/>
  <c r="D38" i="9"/>
  <c r="D147" i="9" s="1"/>
  <c r="C38" i="9"/>
  <c r="C147" i="9" s="1"/>
  <c r="B38" i="9"/>
  <c r="B147" i="9" s="1"/>
  <c r="C34" i="9"/>
  <c r="D17" i="9"/>
  <c r="C17" i="9"/>
  <c r="B17" i="9"/>
  <c r="I11" i="9"/>
  <c r="H11" i="9"/>
  <c r="I7" i="9"/>
  <c r="H7" i="9"/>
  <c r="C141" i="9" l="1"/>
  <c r="I48" i="9"/>
  <c r="H24" i="9"/>
  <c r="H40" i="9"/>
  <c r="D44" i="9"/>
  <c r="G57" i="9" s="1"/>
  <c r="H48" i="9"/>
  <c r="I40" i="9"/>
  <c r="B90" i="9"/>
  <c r="B132" i="9" s="1"/>
  <c r="H53" i="9"/>
  <c r="C19" i="9"/>
  <c r="I24" i="9"/>
  <c r="B138" i="9"/>
  <c r="B143" i="9" s="1"/>
  <c r="D137" i="9"/>
  <c r="B49" i="9"/>
  <c r="B50" i="9" s="1"/>
  <c r="E50" i="9" s="1"/>
  <c r="H6" i="9"/>
  <c r="H71" i="9"/>
  <c r="D140" i="9"/>
  <c r="H45" i="9"/>
  <c r="H65" i="9"/>
  <c r="D141" i="9"/>
  <c r="I53" i="9"/>
  <c r="I51" i="9"/>
  <c r="I71" i="9"/>
  <c r="B77" i="9"/>
  <c r="B92" i="9" s="1"/>
  <c r="B98" i="9" s="1"/>
  <c r="B110" i="9" s="1"/>
  <c r="B116" i="9" s="1"/>
  <c r="B125" i="9" s="1"/>
  <c r="B134" i="9" s="1"/>
  <c r="D135" i="9"/>
  <c r="I6" i="9"/>
  <c r="I59" i="9"/>
  <c r="I69" i="9"/>
  <c r="H69" i="9"/>
  <c r="D148" i="9"/>
  <c r="D150" i="9" s="1"/>
  <c r="H58" i="9"/>
  <c r="C132" i="9"/>
  <c r="I58" i="9"/>
  <c r="D132" i="9"/>
  <c r="H59" i="9"/>
  <c r="H51" i="9"/>
  <c r="I46" i="9"/>
  <c r="C86" i="9"/>
  <c r="C49" i="9"/>
  <c r="D86" i="9"/>
  <c r="I45" i="9"/>
  <c r="C44" i="9"/>
  <c r="F53" i="9" s="1"/>
  <c r="C135" i="9"/>
  <c r="C148" i="9"/>
  <c r="C150" i="9" s="1"/>
  <c r="G47" i="9"/>
  <c r="G63" i="9"/>
  <c r="C85" i="9"/>
  <c r="C82" i="9" s="1"/>
  <c r="G44" i="9"/>
  <c r="E69" i="9"/>
  <c r="E58" i="9"/>
  <c r="E63" i="9"/>
  <c r="E43" i="9"/>
  <c r="E59" i="9"/>
  <c r="E46" i="9"/>
  <c r="E44" i="9"/>
  <c r="E67" i="9"/>
  <c r="E51" i="9"/>
  <c r="E55" i="9"/>
  <c r="E41" i="9"/>
  <c r="E47" i="9"/>
  <c r="B85" i="9"/>
  <c r="B82" i="9" s="1"/>
  <c r="B148" i="9"/>
  <c r="B150" i="9" s="1"/>
  <c r="B140" i="9"/>
  <c r="E53" i="9"/>
  <c r="E40" i="9"/>
  <c r="E65" i="9"/>
  <c r="D4" i="9"/>
  <c r="I5" i="9"/>
  <c r="H5" i="9"/>
  <c r="C4" i="9"/>
  <c r="B4" i="9"/>
  <c r="G53" i="9"/>
  <c r="I65" i="9"/>
  <c r="G68" i="9"/>
  <c r="G69" i="9"/>
  <c r="G40" i="9"/>
  <c r="E42" i="9"/>
  <c r="H44" i="9"/>
  <c r="F46" i="9"/>
  <c r="G51" i="9"/>
  <c r="E54" i="9"/>
  <c r="F59" i="9"/>
  <c r="G67" i="9"/>
  <c r="D77" i="9"/>
  <c r="D92" i="9" s="1"/>
  <c r="D98" i="9" s="1"/>
  <c r="D136" i="9"/>
  <c r="F42" i="9"/>
  <c r="I44" i="9"/>
  <c r="G46" i="9"/>
  <c r="E48" i="9"/>
  <c r="G58" i="9"/>
  <c r="G59" i="9"/>
  <c r="E64" i="9"/>
  <c r="E71" i="9"/>
  <c r="C77" i="9"/>
  <c r="C92" i="9" s="1"/>
  <c r="C98" i="9" s="1"/>
  <c r="G42" i="9"/>
  <c r="E45" i="9"/>
  <c r="F48" i="9"/>
  <c r="G54" i="9"/>
  <c r="E57" i="9"/>
  <c r="F64" i="9"/>
  <c r="G55" i="9"/>
  <c r="F45" i="9"/>
  <c r="G48" i="9"/>
  <c r="G64" i="9"/>
  <c r="G65" i="9"/>
  <c r="E68" i="9"/>
  <c r="G71" i="9"/>
  <c r="G45" i="9"/>
  <c r="D142" i="9" l="1"/>
  <c r="H49" i="9"/>
  <c r="B103" i="9"/>
  <c r="G43" i="9"/>
  <c r="D19" i="9"/>
  <c r="H19" i="9"/>
  <c r="C84" i="9"/>
  <c r="C25" i="9" s="1"/>
  <c r="G41" i="9"/>
  <c r="D84" i="9"/>
  <c r="D25" i="9" s="1"/>
  <c r="C50" i="9"/>
  <c r="C52" i="9" s="1"/>
  <c r="F71" i="9"/>
  <c r="F58" i="9"/>
  <c r="F40" i="9"/>
  <c r="F65" i="9"/>
  <c r="F54" i="9"/>
  <c r="E49" i="9"/>
  <c r="I49" i="9"/>
  <c r="D49" i="9"/>
  <c r="D50" i="9" s="1"/>
  <c r="D52" i="9" s="1"/>
  <c r="B52" i="9"/>
  <c r="E52" i="9" s="1"/>
  <c r="G49" i="9"/>
  <c r="C137" i="9"/>
  <c r="C142" i="9" s="1"/>
  <c r="C136" i="9"/>
  <c r="F57" i="9"/>
  <c r="F68" i="9"/>
  <c r="F55" i="9"/>
  <c r="F43" i="9"/>
  <c r="F69" i="9"/>
  <c r="F67" i="9"/>
  <c r="F44" i="9"/>
  <c r="F63" i="9"/>
  <c r="F51" i="9"/>
  <c r="F47" i="9"/>
  <c r="F49" i="9" s="1"/>
  <c r="F41" i="9"/>
  <c r="B137" i="9"/>
  <c r="B142" i="9" s="1"/>
  <c r="B144" i="9" s="1"/>
  <c r="B136" i="9"/>
  <c r="I4" i="9"/>
  <c r="H4" i="9"/>
  <c r="C110" i="9"/>
  <c r="C116" i="9" s="1"/>
  <c r="C125" i="9" s="1"/>
  <c r="C134" i="9" s="1"/>
  <c r="C103" i="9"/>
  <c r="C56" i="9"/>
  <c r="F52" i="9"/>
  <c r="D110" i="9"/>
  <c r="D116" i="9" s="1"/>
  <c r="D125" i="9" s="1"/>
  <c r="D134" i="9" s="1"/>
  <c r="D103" i="9"/>
  <c r="H50" i="9" l="1"/>
  <c r="F50" i="9"/>
  <c r="D138" i="9"/>
  <c r="D143" i="9" s="1"/>
  <c r="D144" i="9" s="1"/>
  <c r="H25" i="9"/>
  <c r="C138" i="9"/>
  <c r="C143" i="9" s="1"/>
  <c r="C144" i="9" s="1"/>
  <c r="I25" i="9"/>
  <c r="I19" i="9"/>
  <c r="I50" i="9"/>
  <c r="G50" i="9"/>
  <c r="H52" i="9"/>
  <c r="B56" i="9"/>
  <c r="B66" i="9" s="1"/>
  <c r="C66" i="9"/>
  <c r="F56" i="9"/>
  <c r="C130" i="9"/>
  <c r="D56" i="9"/>
  <c r="I52" i="9"/>
  <c r="G52" i="9"/>
  <c r="E56" i="9" l="1"/>
  <c r="B130" i="9"/>
  <c r="H56" i="9"/>
  <c r="E66" i="9"/>
  <c r="B70" i="9"/>
  <c r="G56" i="9"/>
  <c r="D130" i="9"/>
  <c r="I56" i="9"/>
  <c r="D66" i="9"/>
  <c r="H66" i="9"/>
  <c r="F66" i="9"/>
  <c r="C70" i="9"/>
  <c r="G66" i="9" l="1"/>
  <c r="D70" i="9"/>
  <c r="I66" i="9"/>
  <c r="F70" i="9"/>
  <c r="C72" i="9"/>
  <c r="C21" i="9" s="1"/>
  <c r="H70" i="9"/>
  <c r="E70" i="9"/>
  <c r="B72" i="9"/>
  <c r="B21" i="9" s="1"/>
  <c r="C20" i="9" l="1"/>
  <c r="B18" i="9"/>
  <c r="H21" i="9"/>
  <c r="B129" i="9"/>
  <c r="B158" i="9"/>
  <c r="B126" i="9"/>
  <c r="E72" i="9"/>
  <c r="B127" i="9"/>
  <c r="C158" i="9"/>
  <c r="H72" i="9"/>
  <c r="F72" i="9"/>
  <c r="C129" i="9"/>
  <c r="I70" i="9"/>
  <c r="D72" i="9"/>
  <c r="D21" i="9" s="1"/>
  <c r="G70" i="9"/>
  <c r="B111" i="9" l="1"/>
  <c r="B105" i="9"/>
  <c r="B113" i="9"/>
  <c r="B112" i="9"/>
  <c r="B114" i="9"/>
  <c r="H20" i="9"/>
  <c r="D20" i="9"/>
  <c r="C18" i="9"/>
  <c r="G72" i="9"/>
  <c r="D129" i="9"/>
  <c r="D158" i="9"/>
  <c r="I72" i="9"/>
  <c r="H18" i="9" l="1"/>
  <c r="C112" i="9"/>
  <c r="C113" i="9"/>
  <c r="C111" i="9"/>
  <c r="C114" i="9"/>
  <c r="C105" i="9"/>
  <c r="C126" i="9"/>
  <c r="C127" i="9"/>
  <c r="I20" i="9"/>
  <c r="D18" i="9"/>
  <c r="D54" i="1"/>
  <c r="E54" i="1"/>
  <c r="F54" i="1"/>
  <c r="G54" i="1"/>
  <c r="H54" i="1"/>
  <c r="I54" i="1"/>
  <c r="J54" i="1"/>
  <c r="K54" i="1"/>
  <c r="L54" i="1"/>
  <c r="M54" i="1"/>
  <c r="N54" i="1"/>
  <c r="O54" i="1"/>
  <c r="P54" i="1"/>
  <c r="Q54" i="1"/>
  <c r="R54" i="1"/>
  <c r="S54" i="1"/>
  <c r="T54" i="1"/>
  <c r="U54" i="1"/>
  <c r="V54" i="1"/>
  <c r="C54" i="1"/>
  <c r="K61" i="1"/>
  <c r="L61" i="1"/>
  <c r="M61" i="1"/>
  <c r="N61" i="1"/>
  <c r="J61" i="1"/>
  <c r="B61" i="1" s="1"/>
  <c r="J60" i="1"/>
  <c r="K60" i="1"/>
  <c r="B60" i="1" s="1"/>
  <c r="L60" i="1"/>
  <c r="M60" i="1"/>
  <c r="I60" i="1"/>
  <c r="I59" i="1"/>
  <c r="J59" i="1"/>
  <c r="K59" i="1"/>
  <c r="L59" i="1"/>
  <c r="H59" i="1"/>
  <c r="B59" i="1" s="1"/>
  <c r="H51" i="1"/>
  <c r="H58" i="1"/>
  <c r="I58" i="1"/>
  <c r="J58" i="1"/>
  <c r="K58" i="1"/>
  <c r="G58" i="1"/>
  <c r="G57" i="1"/>
  <c r="H57" i="1"/>
  <c r="I57" i="1"/>
  <c r="J57" i="1"/>
  <c r="F57" i="1"/>
  <c r="E48" i="1"/>
  <c r="B50" i="1"/>
  <c r="B52" i="1"/>
  <c r="B47" i="1"/>
  <c r="C56" i="1"/>
  <c r="B221" i="8"/>
  <c r="C221" i="8"/>
  <c r="D221" i="8"/>
  <c r="E221" i="8"/>
  <c r="F221" i="8"/>
  <c r="G221" i="8"/>
  <c r="H221" i="8"/>
  <c r="I221" i="8"/>
  <c r="J221" i="8"/>
  <c r="K221" i="8"/>
  <c r="L221" i="8"/>
  <c r="M221" i="8"/>
  <c r="N221" i="8"/>
  <c r="O221" i="8"/>
  <c r="P221" i="8"/>
  <c r="Q221" i="8"/>
  <c r="R221" i="8"/>
  <c r="S221" i="8"/>
  <c r="T221" i="8"/>
  <c r="U221" i="8"/>
  <c r="W87" i="4"/>
  <c r="E87" i="4"/>
  <c r="F87" i="4"/>
  <c r="G87" i="4"/>
  <c r="H87" i="4"/>
  <c r="I87" i="4"/>
  <c r="J87" i="4"/>
  <c r="K87" i="4"/>
  <c r="L87" i="4"/>
  <c r="M87" i="4"/>
  <c r="N87" i="4"/>
  <c r="O87" i="4"/>
  <c r="P87" i="4"/>
  <c r="Q87" i="4"/>
  <c r="R87" i="4"/>
  <c r="S87" i="4"/>
  <c r="T87" i="4"/>
  <c r="U87" i="4"/>
  <c r="V87" i="4"/>
  <c r="D87" i="4"/>
  <c r="C144" i="1"/>
  <c r="C142" i="1" s="1"/>
  <c r="E30" i="4"/>
  <c r="F30" i="4"/>
  <c r="G30" i="4"/>
  <c r="H30" i="4"/>
  <c r="I30" i="4"/>
  <c r="J30" i="4"/>
  <c r="K30" i="4"/>
  <c r="L30" i="4"/>
  <c r="M30" i="4"/>
  <c r="N30" i="4"/>
  <c r="O30" i="4"/>
  <c r="P30" i="4"/>
  <c r="Q30" i="4"/>
  <c r="R30" i="4"/>
  <c r="S30" i="4"/>
  <c r="T30" i="4"/>
  <c r="U30" i="4"/>
  <c r="V30" i="4"/>
  <c r="W30" i="4"/>
  <c r="D30" i="4"/>
  <c r="F5" i="4"/>
  <c r="G5" i="4" s="1"/>
  <c r="H5" i="4" s="1"/>
  <c r="I5" i="4" s="1"/>
  <c r="J5" i="4" s="1"/>
  <c r="K5" i="4" s="1"/>
  <c r="L5" i="4" s="1"/>
  <c r="M5" i="4" s="1"/>
  <c r="N5" i="4" s="1"/>
  <c r="O5" i="4" s="1"/>
  <c r="P5" i="4" s="1"/>
  <c r="Q5" i="4" s="1"/>
  <c r="R5" i="4" s="1"/>
  <c r="S5" i="4" s="1"/>
  <c r="T5" i="4" s="1"/>
  <c r="U5" i="4" s="1"/>
  <c r="V5" i="4" s="1"/>
  <c r="W5" i="4" s="1"/>
  <c r="E5" i="4"/>
  <c r="E8" i="4"/>
  <c r="F8" i="4"/>
  <c r="G8" i="4"/>
  <c r="H8" i="4"/>
  <c r="I8" i="4"/>
  <c r="J8" i="4"/>
  <c r="K8" i="4"/>
  <c r="L8" i="4"/>
  <c r="M8" i="4"/>
  <c r="N8" i="4"/>
  <c r="O8" i="4"/>
  <c r="P8" i="4"/>
  <c r="Q8" i="4"/>
  <c r="R8" i="4"/>
  <c r="S8" i="4"/>
  <c r="T8" i="4"/>
  <c r="U8" i="4"/>
  <c r="V8" i="4"/>
  <c r="W8" i="4"/>
  <c r="D8" i="4"/>
  <c r="E7" i="4"/>
  <c r="F7" i="4"/>
  <c r="G7" i="4"/>
  <c r="H7" i="4"/>
  <c r="I7" i="4"/>
  <c r="J7" i="4"/>
  <c r="K7" i="4"/>
  <c r="L7" i="4"/>
  <c r="M7" i="4"/>
  <c r="N7" i="4"/>
  <c r="O7" i="4"/>
  <c r="P7" i="4"/>
  <c r="Q7" i="4"/>
  <c r="R7" i="4"/>
  <c r="S7" i="4"/>
  <c r="T7" i="4"/>
  <c r="U7" i="4"/>
  <c r="V7" i="4"/>
  <c r="W7" i="4"/>
  <c r="D7" i="4"/>
  <c r="D10" i="4"/>
  <c r="D144" i="1"/>
  <c r="D142" i="1" s="1"/>
  <c r="E144" i="1"/>
  <c r="E142" i="1" s="1"/>
  <c r="F144" i="1"/>
  <c r="F142" i="1" s="1"/>
  <c r="G144" i="1"/>
  <c r="G142" i="1" s="1"/>
  <c r="H144" i="1"/>
  <c r="H142" i="1" s="1"/>
  <c r="I144" i="1"/>
  <c r="I142" i="1" s="1"/>
  <c r="J144" i="1"/>
  <c r="J142" i="1" s="1"/>
  <c r="K144" i="1"/>
  <c r="K142" i="1" s="1"/>
  <c r="L144" i="1"/>
  <c r="L142" i="1" s="1"/>
  <c r="M144" i="1"/>
  <c r="M142" i="1" s="1"/>
  <c r="N144" i="1"/>
  <c r="N142" i="1" s="1"/>
  <c r="O144" i="1"/>
  <c r="O142" i="1" s="1"/>
  <c r="P144" i="1"/>
  <c r="P142" i="1" s="1"/>
  <c r="Q144" i="1"/>
  <c r="Q142" i="1" s="1"/>
  <c r="R144" i="1"/>
  <c r="R142" i="1" s="1"/>
  <c r="S144" i="1"/>
  <c r="S142" i="1" s="1"/>
  <c r="T144" i="1"/>
  <c r="T142" i="1" s="1"/>
  <c r="U144" i="1"/>
  <c r="U142" i="1" s="1"/>
  <c r="V144" i="1"/>
  <c r="V142" i="1" s="1"/>
  <c r="W144" i="1"/>
  <c r="W142" i="1" s="1"/>
  <c r="X144" i="1"/>
  <c r="X142" i="1" s="1"/>
  <c r="Y144" i="1"/>
  <c r="Y142" i="1" s="1"/>
  <c r="Z144" i="1"/>
  <c r="Z142" i="1" s="1"/>
  <c r="AA144" i="1"/>
  <c r="AA142" i="1" s="1"/>
  <c r="AB144" i="1"/>
  <c r="AB142" i="1" s="1"/>
  <c r="AC144" i="1"/>
  <c r="AC142" i="1" s="1"/>
  <c r="AD144" i="1"/>
  <c r="AD142" i="1" s="1"/>
  <c r="AE144" i="1"/>
  <c r="AE142" i="1" s="1"/>
  <c r="AF144" i="1"/>
  <c r="AF142" i="1" s="1"/>
  <c r="B156" i="1"/>
  <c r="B157" i="1"/>
  <c r="G11" i="9" l="1"/>
  <c r="G7" i="9"/>
  <c r="D114" i="9"/>
  <c r="D111" i="9"/>
  <c r="D113" i="9"/>
  <c r="G5" i="9"/>
  <c r="D112" i="9"/>
  <c r="G6" i="9"/>
  <c r="G4" i="9"/>
  <c r="D105" i="9"/>
  <c r="I18" i="9"/>
  <c r="D127" i="9"/>
  <c r="D126" i="9"/>
  <c r="C117" i="1"/>
  <c r="C151" i="1" s="1"/>
  <c r="C153" i="1" s="1"/>
  <c r="D97" i="1"/>
  <c r="D87" i="1"/>
  <c r="E87" i="1" s="1"/>
  <c r="F87" i="1" s="1"/>
  <c r="G87" i="1" s="1"/>
  <c r="H87" i="1" s="1"/>
  <c r="I87" i="1" s="1"/>
  <c r="J87" i="1" s="1"/>
  <c r="K87" i="1" s="1"/>
  <c r="L87" i="1" s="1"/>
  <c r="M87" i="1" s="1"/>
  <c r="N87" i="1" s="1"/>
  <c r="O87" i="1" s="1"/>
  <c r="P87" i="1" s="1"/>
  <c r="Q87" i="1" s="1"/>
  <c r="R87" i="1" s="1"/>
  <c r="S87" i="1" s="1"/>
  <c r="T87" i="1" s="1"/>
  <c r="U87" i="1" s="1"/>
  <c r="V87" i="1" s="1"/>
  <c r="W87" i="1" s="1"/>
  <c r="X87" i="1" s="1"/>
  <c r="Y87" i="1" s="1"/>
  <c r="Z87" i="1" s="1"/>
  <c r="AA87" i="1" s="1"/>
  <c r="AB87" i="1" s="1"/>
  <c r="AC87" i="1" s="1"/>
  <c r="AD87" i="1" s="1"/>
  <c r="AE87" i="1" s="1"/>
  <c r="AF87" i="1" s="1"/>
  <c r="H84" i="1"/>
  <c r="C84" i="1"/>
  <c r="T89" i="1" s="1"/>
  <c r="F6" i="5"/>
  <c r="G6" i="5" s="1"/>
  <c r="F5" i="5"/>
  <c r="D27" i="1"/>
  <c r="C15" i="1"/>
  <c r="C14" i="8"/>
  <c r="D14" i="8" s="1"/>
  <c r="E14" i="8" s="1"/>
  <c r="F14" i="8" s="1"/>
  <c r="G14" i="8" s="1"/>
  <c r="H14" i="8" s="1"/>
  <c r="I14" i="8" s="1"/>
  <c r="J14" i="8" s="1"/>
  <c r="K14" i="8" s="1"/>
  <c r="L14" i="8" s="1"/>
  <c r="M14" i="8" s="1"/>
  <c r="N14" i="8" s="1"/>
  <c r="O14" i="8" s="1"/>
  <c r="P14" i="8" s="1"/>
  <c r="Q14" i="8" s="1"/>
  <c r="R14" i="8" s="1"/>
  <c r="S14" i="8" s="1"/>
  <c r="T14" i="8" s="1"/>
  <c r="U14" i="8" s="1"/>
  <c r="B14" i="8"/>
  <c r="B15" i="8" s="1"/>
  <c r="B11" i="8"/>
  <c r="C11" i="8" s="1"/>
  <c r="D11" i="8" s="1"/>
  <c r="E11" i="8" s="1"/>
  <c r="F11" i="8" s="1"/>
  <c r="G11" i="8" s="1"/>
  <c r="H11" i="8" s="1"/>
  <c r="I11" i="8" s="1"/>
  <c r="J11" i="8" s="1"/>
  <c r="K11" i="8" s="1"/>
  <c r="L11" i="8" s="1"/>
  <c r="M11" i="8" s="1"/>
  <c r="N11" i="8" s="1"/>
  <c r="O11" i="8" s="1"/>
  <c r="P11" i="8" s="1"/>
  <c r="Q11" i="8" s="1"/>
  <c r="R11" i="8" s="1"/>
  <c r="S11" i="8" s="1"/>
  <c r="T11" i="8" s="1"/>
  <c r="U11" i="8" s="1"/>
  <c r="B8" i="8"/>
  <c r="C8" i="8" s="1"/>
  <c r="D8" i="8" s="1"/>
  <c r="E8" i="8" s="1"/>
  <c r="F8" i="8" s="1"/>
  <c r="G8" i="8" s="1"/>
  <c r="H8" i="8" s="1"/>
  <c r="I8" i="8" s="1"/>
  <c r="J8" i="8" s="1"/>
  <c r="K8" i="8" s="1"/>
  <c r="L8" i="8" s="1"/>
  <c r="M8" i="8" s="1"/>
  <c r="N8" i="8" s="1"/>
  <c r="O8" i="8" s="1"/>
  <c r="P8" i="8" s="1"/>
  <c r="Q8" i="8" s="1"/>
  <c r="R8" i="8" s="1"/>
  <c r="S8" i="8" s="1"/>
  <c r="T8" i="8" s="1"/>
  <c r="U8" i="8" s="1"/>
  <c r="C102" i="4"/>
  <c r="C88" i="4" s="1"/>
  <c r="E77" i="4"/>
  <c r="E78" i="4"/>
  <c r="F77" i="4"/>
  <c r="F78" i="4"/>
  <c r="G77" i="4"/>
  <c r="H77" i="4"/>
  <c r="I77" i="4"/>
  <c r="J77" i="4"/>
  <c r="K77" i="4"/>
  <c r="K78" i="4"/>
  <c r="L77" i="4"/>
  <c r="M77" i="4"/>
  <c r="M78" i="4"/>
  <c r="N77" i="4"/>
  <c r="O77" i="4"/>
  <c r="P77" i="4"/>
  <c r="Q77" i="4"/>
  <c r="R77" i="4"/>
  <c r="S77" i="4"/>
  <c r="T77" i="4"/>
  <c r="U77" i="4"/>
  <c r="U78" i="4"/>
  <c r="V77" i="4"/>
  <c r="W77" i="4"/>
  <c r="X77" i="4"/>
  <c r="Y77" i="4"/>
  <c r="Z77" i="4"/>
  <c r="AA77" i="4"/>
  <c r="AB77" i="4"/>
  <c r="AC77" i="4"/>
  <c r="AC78" i="4"/>
  <c r="AD77" i="4"/>
  <c r="AE77" i="4"/>
  <c r="AF77" i="4"/>
  <c r="AG77" i="4"/>
  <c r="D77" i="4"/>
  <c r="D38" i="4"/>
  <c r="C89" i="4" s="1"/>
  <c r="G35" i="4"/>
  <c r="H35" i="4"/>
  <c r="I35" i="4"/>
  <c r="J35" i="4"/>
  <c r="K35" i="4"/>
  <c r="L35" i="4"/>
  <c r="M35" i="4"/>
  <c r="N35" i="4"/>
  <c r="O35" i="4"/>
  <c r="P35" i="4"/>
  <c r="Q35" i="4"/>
  <c r="R35" i="4"/>
  <c r="S35" i="4"/>
  <c r="T35" i="4"/>
  <c r="U35" i="4"/>
  <c r="V35" i="4"/>
  <c r="W35" i="4"/>
  <c r="X35" i="4"/>
  <c r="Y35" i="4"/>
  <c r="Z35" i="4"/>
  <c r="AA35" i="4"/>
  <c r="AB35" i="4"/>
  <c r="AC35" i="4"/>
  <c r="AD35" i="4"/>
  <c r="AE35" i="4"/>
  <c r="AF35" i="4"/>
  <c r="AG35" i="4"/>
  <c r="D10" i="1"/>
  <c r="C23" i="4"/>
  <c r="N21" i="4"/>
  <c r="N74" i="4" s="1"/>
  <c r="N75" i="4" s="1"/>
  <c r="O21" i="4"/>
  <c r="O74" i="4" s="1"/>
  <c r="O75" i="4" s="1"/>
  <c r="P21" i="4"/>
  <c r="P74" i="4" s="1"/>
  <c r="Q21" i="4"/>
  <c r="Q74" i="4" s="1"/>
  <c r="Q75" i="4" s="1"/>
  <c r="R21" i="4"/>
  <c r="R74" i="4" s="1"/>
  <c r="S21" i="4"/>
  <c r="S74" i="4" s="1"/>
  <c r="S75" i="4" s="1"/>
  <c r="T21" i="4"/>
  <c r="T74" i="4" s="1"/>
  <c r="T75" i="4" s="1"/>
  <c r="U21" i="4"/>
  <c r="U74" i="4" s="1"/>
  <c r="U75" i="4" s="1"/>
  <c r="V21" i="4"/>
  <c r="V74" i="4" s="1"/>
  <c r="V75" i="4" s="1"/>
  <c r="W21" i="4"/>
  <c r="W74" i="4" s="1"/>
  <c r="W75" i="4" s="1"/>
  <c r="X21" i="4"/>
  <c r="X74" i="4" s="1"/>
  <c r="Y21" i="4"/>
  <c r="Y74" i="4" s="1"/>
  <c r="Y75" i="4" s="1"/>
  <c r="Z21" i="4"/>
  <c r="Z74" i="4" s="1"/>
  <c r="Z75" i="4" s="1"/>
  <c r="AA21" i="4"/>
  <c r="AA74" i="4" s="1"/>
  <c r="AA75" i="4" s="1"/>
  <c r="AB21" i="4"/>
  <c r="AB74" i="4" s="1"/>
  <c r="AB75" i="4" s="1"/>
  <c r="AC21" i="4"/>
  <c r="AC74" i="4" s="1"/>
  <c r="AC75" i="4" s="1"/>
  <c r="AD21" i="4"/>
  <c r="AD74" i="4" s="1"/>
  <c r="AD75" i="4" s="1"/>
  <c r="AE21" i="4"/>
  <c r="AE74" i="4" s="1"/>
  <c r="AE75" i="4" s="1"/>
  <c r="AF21" i="4"/>
  <c r="AF74" i="4" s="1"/>
  <c r="AG21" i="4"/>
  <c r="AG74" i="4" s="1"/>
  <c r="AG75" i="4" s="1"/>
  <c r="E17" i="4"/>
  <c r="E43" i="4" s="1"/>
  <c r="F17" i="4"/>
  <c r="F43" i="4" s="1"/>
  <c r="G17" i="4"/>
  <c r="G43" i="4" s="1"/>
  <c r="G78" i="4"/>
  <c r="H17" i="4"/>
  <c r="H43" i="4" s="1"/>
  <c r="I17" i="4"/>
  <c r="I43" i="4" s="1"/>
  <c r="I78" i="4"/>
  <c r="J17" i="4"/>
  <c r="J43" i="4" s="1"/>
  <c r="K17" i="4"/>
  <c r="K43" i="4" s="1"/>
  <c r="L17" i="4"/>
  <c r="L43" i="4" s="1"/>
  <c r="M17" i="4"/>
  <c r="M43" i="4" s="1"/>
  <c r="N17" i="4"/>
  <c r="N43" i="4" s="1"/>
  <c r="O17" i="4"/>
  <c r="O43" i="4" s="1"/>
  <c r="P17" i="4"/>
  <c r="P43" i="4" s="1"/>
  <c r="Q17" i="4"/>
  <c r="Q43" i="4" s="1"/>
  <c r="R17" i="4"/>
  <c r="R43" i="4" s="1"/>
  <c r="S17" i="4"/>
  <c r="S43" i="4" s="1"/>
  <c r="T17" i="4"/>
  <c r="T43" i="4" s="1"/>
  <c r="U17" i="4"/>
  <c r="U43" i="4" s="1"/>
  <c r="V17" i="4"/>
  <c r="V43" i="4" s="1"/>
  <c r="W17" i="4"/>
  <c r="W43" i="4" s="1"/>
  <c r="X17" i="4"/>
  <c r="X43" i="4" s="1"/>
  <c r="Y17" i="4"/>
  <c r="Y43" i="4" s="1"/>
  <c r="Z17" i="4"/>
  <c r="Z43" i="4" s="1"/>
  <c r="AA17" i="4"/>
  <c r="AA43" i="4" s="1"/>
  <c r="AB17" i="4"/>
  <c r="AB43" i="4" s="1"/>
  <c r="AC17" i="4"/>
  <c r="AC43" i="4" s="1"/>
  <c r="AD17" i="4"/>
  <c r="AD43" i="4" s="1"/>
  <c r="AE17" i="4"/>
  <c r="AE43" i="4" s="1"/>
  <c r="AF17" i="4"/>
  <c r="AF43" i="4" s="1"/>
  <c r="AG17" i="4"/>
  <c r="AG43" i="4" s="1"/>
  <c r="D17" i="4"/>
  <c r="D43" i="4" s="1"/>
  <c r="E16" i="4"/>
  <c r="E42" i="4" s="1"/>
  <c r="F16" i="4"/>
  <c r="F42" i="4" s="1"/>
  <c r="G16" i="4"/>
  <c r="G42" i="4" s="1"/>
  <c r="H16" i="4"/>
  <c r="H42" i="4" s="1"/>
  <c r="I16" i="4"/>
  <c r="I42" i="4" s="1"/>
  <c r="J16" i="4"/>
  <c r="J42" i="4" s="1"/>
  <c r="K16" i="4"/>
  <c r="K42" i="4" s="1"/>
  <c r="L16" i="4"/>
  <c r="L42" i="4" s="1"/>
  <c r="M16" i="4"/>
  <c r="M42" i="4" s="1"/>
  <c r="N16" i="4"/>
  <c r="N42" i="4" s="1"/>
  <c r="O16" i="4"/>
  <c r="O42" i="4" s="1"/>
  <c r="P16" i="4"/>
  <c r="P42" i="4" s="1"/>
  <c r="Q16" i="4"/>
  <c r="Q42" i="4" s="1"/>
  <c r="R16" i="4"/>
  <c r="R42" i="4" s="1"/>
  <c r="S16" i="4"/>
  <c r="S42" i="4" s="1"/>
  <c r="T16" i="4"/>
  <c r="T42" i="4" s="1"/>
  <c r="U16" i="4"/>
  <c r="U42" i="4" s="1"/>
  <c r="V16" i="4"/>
  <c r="V42" i="4" s="1"/>
  <c r="W16" i="4"/>
  <c r="W42" i="4" s="1"/>
  <c r="X16" i="4"/>
  <c r="X42" i="4" s="1"/>
  <c r="Y16" i="4"/>
  <c r="Y42" i="4" s="1"/>
  <c r="Z16" i="4"/>
  <c r="Z42" i="4" s="1"/>
  <c r="AA16" i="4"/>
  <c r="AA42" i="4" s="1"/>
  <c r="AB16" i="4"/>
  <c r="AB42" i="4" s="1"/>
  <c r="AC16" i="4"/>
  <c r="AC42" i="4" s="1"/>
  <c r="AD16" i="4"/>
  <c r="AD42" i="4" s="1"/>
  <c r="AE16" i="4"/>
  <c r="AE42" i="4" s="1"/>
  <c r="AF16" i="4"/>
  <c r="AF42" i="4" s="1"/>
  <c r="AG16" i="4"/>
  <c r="AG42" i="4" s="1"/>
  <c r="D16" i="4"/>
  <c r="C24" i="4"/>
  <c r="C22" i="4"/>
  <c r="N12" i="4"/>
  <c r="O12" i="4"/>
  <c r="P12" i="4"/>
  <c r="Q12" i="4"/>
  <c r="R12" i="4"/>
  <c r="S12" i="4"/>
  <c r="T12" i="4"/>
  <c r="U12" i="4"/>
  <c r="V12" i="4"/>
  <c r="W12" i="4"/>
  <c r="X12" i="4"/>
  <c r="Y12" i="4"/>
  <c r="Z12" i="4"/>
  <c r="AA12" i="4"/>
  <c r="AB12" i="4"/>
  <c r="AC12" i="4"/>
  <c r="AD12" i="4"/>
  <c r="AE12" i="4"/>
  <c r="AF12" i="4"/>
  <c r="AG12" i="4"/>
  <c r="AF62" i="1"/>
  <c r="AF63" i="1" s="1"/>
  <c r="AF120" i="1" s="1"/>
  <c r="C62" i="1"/>
  <c r="D13" i="4" s="1"/>
  <c r="H55" i="1"/>
  <c r="G39" i="4"/>
  <c r="H39" i="4"/>
  <c r="I39" i="4"/>
  <c r="J39" i="4"/>
  <c r="K39" i="4"/>
  <c r="L39" i="4"/>
  <c r="M39" i="4"/>
  <c r="O56" i="1"/>
  <c r="O39" i="4"/>
  <c r="P39" i="4"/>
  <c r="Q39" i="4"/>
  <c r="U57" i="1"/>
  <c r="S39" i="4"/>
  <c r="T39" i="4"/>
  <c r="U39" i="4"/>
  <c r="V39" i="4"/>
  <c r="AA58" i="1"/>
  <c r="AA62" i="1" s="1"/>
  <c r="W54" i="1"/>
  <c r="X39" i="4" s="1"/>
  <c r="X54" i="1"/>
  <c r="Y39" i="4" s="1"/>
  <c r="Y54" i="1"/>
  <c r="Z39" i="4" s="1"/>
  <c r="Z54" i="1"/>
  <c r="AA39" i="4" s="1"/>
  <c r="AA54" i="1"/>
  <c r="AB39" i="4" s="1"/>
  <c r="AB54" i="1"/>
  <c r="AC39" i="4" s="1"/>
  <c r="AC54" i="1"/>
  <c r="AD39" i="4" s="1"/>
  <c r="AD54" i="1"/>
  <c r="AE39" i="4" s="1"/>
  <c r="AE54" i="1"/>
  <c r="AF39" i="4" s="1"/>
  <c r="AF54" i="1"/>
  <c r="AG39" i="4" s="1"/>
  <c r="D95" i="1"/>
  <c r="E95" i="1" s="1"/>
  <c r="F95" i="1" s="1"/>
  <c r="G95" i="1" s="1"/>
  <c r="H95" i="1" s="1"/>
  <c r="I95" i="1" s="1"/>
  <c r="J95" i="1" s="1"/>
  <c r="K95" i="1" s="1"/>
  <c r="L95" i="1" s="1"/>
  <c r="M95" i="1" s="1"/>
  <c r="N95" i="1" s="1"/>
  <c r="O95" i="1" s="1"/>
  <c r="P95" i="1" s="1"/>
  <c r="Q95" i="1" s="1"/>
  <c r="R95" i="1" s="1"/>
  <c r="D90" i="1"/>
  <c r="E90" i="1" s="1"/>
  <c r="E89" i="1"/>
  <c r="C20" i="1"/>
  <c r="H80" i="1"/>
  <c r="E81" i="4"/>
  <c r="F81" i="4"/>
  <c r="G81" i="4"/>
  <c r="H81" i="4"/>
  <c r="I81" i="4"/>
  <c r="J81" i="4"/>
  <c r="K81" i="4"/>
  <c r="L81" i="4"/>
  <c r="M81" i="4"/>
  <c r="N81" i="4"/>
  <c r="O81" i="4"/>
  <c r="P81" i="4"/>
  <c r="Q81" i="4"/>
  <c r="R81" i="4"/>
  <c r="S81" i="4"/>
  <c r="T81" i="4"/>
  <c r="U81" i="4"/>
  <c r="V81" i="4"/>
  <c r="W81" i="4"/>
  <c r="X81" i="4"/>
  <c r="Y81" i="4"/>
  <c r="Z81" i="4"/>
  <c r="AA81" i="4"/>
  <c r="AB81" i="4"/>
  <c r="AC81" i="4"/>
  <c r="AD81" i="4"/>
  <c r="AE81" i="4"/>
  <c r="AF81" i="4"/>
  <c r="AG81" i="4"/>
  <c r="D81" i="4"/>
  <c r="H78" i="4"/>
  <c r="J78" i="4"/>
  <c r="L78" i="4"/>
  <c r="D78" i="4"/>
  <c r="X60" i="4"/>
  <c r="Y60" i="4"/>
  <c r="Z60" i="4"/>
  <c r="AA60" i="4"/>
  <c r="AB60" i="4"/>
  <c r="AC60" i="4"/>
  <c r="AD60" i="4"/>
  <c r="AE60" i="4"/>
  <c r="AF60" i="4"/>
  <c r="AG60" i="4"/>
  <c r="B75" i="1"/>
  <c r="B72" i="1"/>
  <c r="F8" i="6"/>
  <c r="F9" i="6" s="1"/>
  <c r="G22" i="1"/>
  <c r="H22" i="1" s="1"/>
  <c r="E21" i="1"/>
  <c r="D35" i="4"/>
  <c r="E73" i="1"/>
  <c r="F9" i="5"/>
  <c r="G6" i="6"/>
  <c r="B74" i="6"/>
  <c r="B75" i="6"/>
  <c r="A73" i="6"/>
  <c r="A72" i="6"/>
  <c r="A71" i="6"/>
  <c r="A70" i="6"/>
  <c r="A69" i="6"/>
  <c r="A68" i="6"/>
  <c r="A67" i="6"/>
  <c r="A66" i="6"/>
  <c r="A65" i="6"/>
  <c r="A64" i="6"/>
  <c r="A63" i="6"/>
  <c r="A62" i="6"/>
  <c r="A61" i="6"/>
  <c r="A60" i="6"/>
  <c r="A59" i="6"/>
  <c r="A58" i="6"/>
  <c r="A57" i="6"/>
  <c r="A56" i="6"/>
  <c r="A55" i="6"/>
  <c r="A54" i="6"/>
  <c r="A53" i="6"/>
  <c r="A52" i="6"/>
  <c r="A51" i="6"/>
  <c r="A50" i="6"/>
  <c r="A49" i="6"/>
  <c r="A48" i="6"/>
  <c r="A47" i="6"/>
  <c r="A46" i="6"/>
  <c r="A45" i="6"/>
  <c r="A44" i="6"/>
  <c r="A43" i="6"/>
  <c r="A42" i="6"/>
  <c r="A41" i="6"/>
  <c r="A40" i="6"/>
  <c r="A39" i="6"/>
  <c r="A38" i="6"/>
  <c r="A37" i="6"/>
  <c r="A36" i="6"/>
  <c r="A35" i="6"/>
  <c r="A34" i="6"/>
  <c r="A33" i="6"/>
  <c r="A32" i="6"/>
  <c r="A31" i="6"/>
  <c r="A30" i="6"/>
  <c r="A29" i="6"/>
  <c r="A28" i="6"/>
  <c r="A27" i="6"/>
  <c r="A26" i="6"/>
  <c r="A25" i="6"/>
  <c r="A24" i="6"/>
  <c r="A23" i="6"/>
  <c r="A22" i="6"/>
  <c r="A21" i="6"/>
  <c r="A20" i="6"/>
  <c r="A19" i="6"/>
  <c r="A18" i="6"/>
  <c r="A17" i="6"/>
  <c r="A16" i="6"/>
  <c r="A15" i="6"/>
  <c r="D69" i="1"/>
  <c r="D70" i="1" s="1"/>
  <c r="G26" i="1"/>
  <c r="D79" i="1"/>
  <c r="C79" i="1"/>
  <c r="D39" i="4"/>
  <c r="A73" i="5"/>
  <c r="A72" i="5"/>
  <c r="A71" i="5"/>
  <c r="A70" i="5"/>
  <c r="A69" i="5"/>
  <c r="A68" i="5"/>
  <c r="A67" i="5"/>
  <c r="A66" i="5"/>
  <c r="A65" i="5"/>
  <c r="A64" i="5"/>
  <c r="A63" i="5"/>
  <c r="A62" i="5"/>
  <c r="A61" i="5"/>
  <c r="A60" i="5"/>
  <c r="A59" i="5"/>
  <c r="A58" i="5"/>
  <c r="A57" i="5"/>
  <c r="A56" i="5"/>
  <c r="A55" i="5"/>
  <c r="A54" i="5"/>
  <c r="A53" i="5"/>
  <c r="A52" i="5"/>
  <c r="A51" i="5"/>
  <c r="A50" i="5"/>
  <c r="A49" i="5"/>
  <c r="A48" i="5"/>
  <c r="A47" i="5"/>
  <c r="A46" i="5"/>
  <c r="A45" i="5"/>
  <c r="A44" i="5"/>
  <c r="A43" i="5"/>
  <c r="A42" i="5"/>
  <c r="A41" i="5"/>
  <c r="A40" i="5"/>
  <c r="A39" i="5"/>
  <c r="A38" i="5"/>
  <c r="A37" i="5"/>
  <c r="A36" i="5"/>
  <c r="A35" i="5"/>
  <c r="A34" i="5"/>
  <c r="A33" i="5"/>
  <c r="A32" i="5"/>
  <c r="A31" i="5"/>
  <c r="A30" i="5"/>
  <c r="A29" i="5"/>
  <c r="A28" i="5"/>
  <c r="A27" i="5"/>
  <c r="A26" i="5"/>
  <c r="A25" i="5"/>
  <c r="A24" i="5"/>
  <c r="A23" i="5"/>
  <c r="A22" i="5"/>
  <c r="A21" i="5"/>
  <c r="A20" i="5"/>
  <c r="A19" i="5"/>
  <c r="A18" i="5"/>
  <c r="A17" i="5"/>
  <c r="A16" i="5"/>
  <c r="A15" i="5"/>
  <c r="C9" i="1"/>
  <c r="B74" i="5"/>
  <c r="C13" i="1"/>
  <c r="C5" i="1"/>
  <c r="B76" i="6"/>
  <c r="B77" i="6"/>
  <c r="B78" i="6"/>
  <c r="A78" i="6"/>
  <c r="A75" i="6"/>
  <c r="E35" i="4"/>
  <c r="A74" i="6"/>
  <c r="A76" i="6"/>
  <c r="A77" i="6"/>
  <c r="B79" i="6"/>
  <c r="B80" i="6"/>
  <c r="B81" i="6"/>
  <c r="B82" i="6"/>
  <c r="B83" i="6"/>
  <c r="B84" i="6"/>
  <c r="A84" i="6"/>
  <c r="A81" i="6"/>
  <c r="A83" i="6"/>
  <c r="A80" i="6"/>
  <c r="A79" i="6"/>
  <c r="B85" i="6"/>
  <c r="A82" i="6"/>
  <c r="B75" i="5"/>
  <c r="A74" i="5"/>
  <c r="E79" i="1"/>
  <c r="F34" i="4"/>
  <c r="B71" i="1"/>
  <c r="A75" i="5"/>
  <c r="B76" i="5"/>
  <c r="A85" i="6"/>
  <c r="B86" i="6"/>
  <c r="B77" i="5"/>
  <c r="A76" i="5"/>
  <c r="A86" i="6"/>
  <c r="B87" i="6"/>
  <c r="B88" i="6"/>
  <c r="A87" i="6"/>
  <c r="B78" i="5"/>
  <c r="A77" i="5"/>
  <c r="A78" i="5"/>
  <c r="B79" i="5"/>
  <c r="B89" i="6"/>
  <c r="A88" i="6"/>
  <c r="A89" i="6"/>
  <c r="B90" i="6"/>
  <c r="A79" i="5"/>
  <c r="B80" i="5"/>
  <c r="A90" i="6"/>
  <c r="B91" i="6"/>
  <c r="A80" i="5"/>
  <c r="B81" i="5"/>
  <c r="A91" i="6"/>
  <c r="B92" i="6"/>
  <c r="B82" i="5"/>
  <c r="A81" i="5"/>
  <c r="B93" i="6"/>
  <c r="A92" i="6"/>
  <c r="B83" i="5"/>
  <c r="A82" i="5"/>
  <c r="B94" i="6"/>
  <c r="A93" i="6"/>
  <c r="A83" i="5"/>
  <c r="B84" i="5"/>
  <c r="A84" i="5"/>
  <c r="B85" i="5"/>
  <c r="B95" i="6"/>
  <c r="A94" i="6"/>
  <c r="A85" i="5"/>
  <c r="B86" i="5"/>
  <c r="A95" i="6"/>
  <c r="B96" i="6"/>
  <c r="A86" i="5"/>
  <c r="B87" i="5"/>
  <c r="B97" i="6"/>
  <c r="A96" i="6"/>
  <c r="A97" i="6"/>
  <c r="B98" i="6"/>
  <c r="B88" i="5"/>
  <c r="A87" i="5"/>
  <c r="A88" i="5"/>
  <c r="B89" i="5"/>
  <c r="B99" i="6"/>
  <c r="A98" i="6"/>
  <c r="A99" i="6"/>
  <c r="B100" i="6"/>
  <c r="A89" i="5"/>
  <c r="B90" i="5"/>
  <c r="A90" i="5"/>
  <c r="B91" i="5"/>
  <c r="B101" i="6"/>
  <c r="A100" i="6"/>
  <c r="B92" i="5"/>
  <c r="A91" i="5"/>
  <c r="B102" i="6"/>
  <c r="A101" i="6"/>
  <c r="B103" i="6"/>
  <c r="A102" i="6"/>
  <c r="A92" i="5"/>
  <c r="B93" i="5"/>
  <c r="A93" i="5"/>
  <c r="B94" i="5"/>
  <c r="B104" i="6"/>
  <c r="A103" i="6"/>
  <c r="B105" i="6"/>
  <c r="A104" i="6"/>
  <c r="B95" i="5"/>
  <c r="A94" i="5"/>
  <c r="B96" i="5"/>
  <c r="A95" i="5"/>
  <c r="A105" i="6"/>
  <c r="B106" i="6"/>
  <c r="A96" i="5"/>
  <c r="B97" i="5"/>
  <c r="B107" i="6"/>
  <c r="A106" i="6"/>
  <c r="A107" i="6"/>
  <c r="B108" i="6"/>
  <c r="B98" i="5"/>
  <c r="A97" i="5"/>
  <c r="B109" i="6"/>
  <c r="A108" i="6"/>
  <c r="A98" i="5"/>
  <c r="B99" i="5"/>
  <c r="A99" i="5"/>
  <c r="B100" i="5"/>
  <c r="B110" i="6"/>
  <c r="A109" i="6"/>
  <c r="B111" i="6"/>
  <c r="A110" i="6"/>
  <c r="B101" i="5"/>
  <c r="A100" i="5"/>
  <c r="B102" i="5"/>
  <c r="A101" i="5"/>
  <c r="A111" i="6"/>
  <c r="B112" i="6"/>
  <c r="B113" i="6"/>
  <c r="A112" i="6"/>
  <c r="B103" i="5"/>
  <c r="A102" i="5"/>
  <c r="A113" i="6"/>
  <c r="B114" i="6"/>
  <c r="B104" i="5"/>
  <c r="A103" i="5"/>
  <c r="A104" i="5"/>
  <c r="B105" i="5"/>
  <c r="B115" i="6"/>
  <c r="A114" i="6"/>
  <c r="A115" i="6"/>
  <c r="B116" i="6"/>
  <c r="A105" i="5"/>
  <c r="B106" i="5"/>
  <c r="B117" i="6"/>
  <c r="A116" i="6"/>
  <c r="B107" i="5"/>
  <c r="A106" i="5"/>
  <c r="A107" i="5"/>
  <c r="B108" i="5"/>
  <c r="B118" i="6"/>
  <c r="A117" i="6"/>
  <c r="B119" i="6"/>
  <c r="A118" i="6"/>
  <c r="B109" i="5"/>
  <c r="A108" i="5"/>
  <c r="A109" i="5"/>
  <c r="B110" i="5"/>
  <c r="A119" i="6"/>
  <c r="B120" i="6"/>
  <c r="B111" i="5"/>
  <c r="A110" i="5"/>
  <c r="A120" i="6"/>
  <c r="B121" i="6"/>
  <c r="A111" i="5"/>
  <c r="B112" i="5"/>
  <c r="B122" i="6"/>
  <c r="A121" i="6"/>
  <c r="A122" i="6"/>
  <c r="B123" i="6"/>
  <c r="A112" i="5"/>
  <c r="B113" i="5"/>
  <c r="A113" i="5"/>
  <c r="B114" i="5"/>
  <c r="B124" i="6"/>
  <c r="A123" i="6"/>
  <c r="A124" i="6"/>
  <c r="B125" i="6"/>
  <c r="B115" i="5"/>
  <c r="A114" i="5"/>
  <c r="A125" i="6"/>
  <c r="B126" i="6"/>
  <c r="A115" i="5"/>
  <c r="B116" i="5"/>
  <c r="B117" i="5"/>
  <c r="A116" i="5"/>
  <c r="A126" i="6"/>
  <c r="B127" i="6"/>
  <c r="B128" i="6"/>
  <c r="A127" i="6"/>
  <c r="B118" i="5"/>
  <c r="A117" i="5"/>
  <c r="A118" i="5"/>
  <c r="B119" i="5"/>
  <c r="A128" i="6"/>
  <c r="B129" i="6"/>
  <c r="A119" i="5"/>
  <c r="B120" i="5"/>
  <c r="B130" i="6"/>
  <c r="A129" i="6"/>
  <c r="A130" i="6"/>
  <c r="B131" i="6"/>
  <c r="A120" i="5"/>
  <c r="B121" i="5"/>
  <c r="B132" i="6"/>
  <c r="A131" i="6"/>
  <c r="A121" i="5"/>
  <c r="B122" i="5"/>
  <c r="B123" i="5"/>
  <c r="A122" i="5"/>
  <c r="A132" i="6"/>
  <c r="B133" i="6"/>
  <c r="A133" i="6"/>
  <c r="B134" i="6"/>
  <c r="B124" i="5"/>
  <c r="A123" i="5"/>
  <c r="A124" i="5"/>
  <c r="B125" i="5"/>
  <c r="A134" i="6"/>
  <c r="B135" i="6"/>
  <c r="A125" i="5"/>
  <c r="B126" i="5"/>
  <c r="A135" i="6"/>
  <c r="B136" i="6"/>
  <c r="A126" i="5"/>
  <c r="B127" i="5"/>
  <c r="A136" i="6"/>
  <c r="B137" i="6"/>
  <c r="B138" i="6"/>
  <c r="A137" i="6"/>
  <c r="A127" i="5"/>
  <c r="B128" i="5"/>
  <c r="A138" i="6"/>
  <c r="B139" i="6"/>
  <c r="B129" i="5"/>
  <c r="A128" i="5"/>
  <c r="B130" i="5"/>
  <c r="A129" i="5"/>
  <c r="B140" i="6"/>
  <c r="A139" i="6"/>
  <c r="B131" i="5"/>
  <c r="A130" i="5"/>
  <c r="A140" i="6"/>
  <c r="B141" i="6"/>
  <c r="A141" i="6"/>
  <c r="B142" i="6"/>
  <c r="B132" i="5"/>
  <c r="A131" i="5"/>
  <c r="B133" i="5"/>
  <c r="A132" i="5"/>
  <c r="A142" i="6"/>
  <c r="B143" i="6"/>
  <c r="B144" i="6"/>
  <c r="A143" i="6"/>
  <c r="A133" i="5"/>
  <c r="B134" i="5"/>
  <c r="A134" i="5"/>
  <c r="B135" i="5"/>
  <c r="A144" i="6"/>
  <c r="B145" i="6"/>
  <c r="B136" i="5"/>
  <c r="A135" i="5"/>
  <c r="B146" i="6"/>
  <c r="A145" i="6"/>
  <c r="A136" i="5"/>
  <c r="B137" i="5"/>
  <c r="A146" i="6"/>
  <c r="B147" i="6"/>
  <c r="B148" i="6"/>
  <c r="A147" i="6"/>
  <c r="B138" i="5"/>
  <c r="A137" i="5"/>
  <c r="A138" i="5"/>
  <c r="B139" i="5"/>
  <c r="A148" i="6"/>
  <c r="B149" i="6"/>
  <c r="A149" i="6"/>
  <c r="B150" i="6"/>
  <c r="A139" i="5"/>
  <c r="B140" i="5"/>
  <c r="A150" i="6"/>
  <c r="B151" i="6"/>
  <c r="B141" i="5"/>
  <c r="A140" i="5"/>
  <c r="A151" i="6"/>
  <c r="B152" i="6"/>
  <c r="B142" i="5"/>
  <c r="A141" i="5"/>
  <c r="B143" i="5"/>
  <c r="A142" i="5"/>
  <c r="A152" i="6"/>
  <c r="B153" i="6"/>
  <c r="B154" i="6"/>
  <c r="A153" i="6"/>
  <c r="A143" i="5"/>
  <c r="B144" i="5"/>
  <c r="B155" i="6"/>
  <c r="A154" i="6"/>
  <c r="B145" i="5"/>
  <c r="A144" i="5"/>
  <c r="B146" i="5"/>
  <c r="A145" i="5"/>
  <c r="A155" i="6"/>
  <c r="B156" i="6"/>
  <c r="B147" i="5"/>
  <c r="A146" i="5"/>
  <c r="B157" i="6"/>
  <c r="A156" i="6"/>
  <c r="B148" i="5"/>
  <c r="A147" i="5"/>
  <c r="A157" i="6"/>
  <c r="B158" i="6"/>
  <c r="A148" i="5"/>
  <c r="B149" i="5"/>
  <c r="A158" i="6"/>
  <c r="B159" i="6"/>
  <c r="B160" i="6"/>
  <c r="A159" i="6"/>
  <c r="B150" i="5"/>
  <c r="A149" i="5"/>
  <c r="B161" i="6"/>
  <c r="A160" i="6"/>
  <c r="B151" i="5"/>
  <c r="A150" i="5"/>
  <c r="B152" i="5"/>
  <c r="A151" i="5"/>
  <c r="A161" i="6"/>
  <c r="B162" i="6"/>
  <c r="A162" i="6"/>
  <c r="B163" i="6"/>
  <c r="B153" i="5"/>
  <c r="A152" i="5"/>
  <c r="A153" i="5"/>
  <c r="B154" i="5"/>
  <c r="A163" i="6"/>
  <c r="B164" i="6"/>
  <c r="A154" i="5"/>
  <c r="B155" i="5"/>
  <c r="B165" i="6"/>
  <c r="A164" i="6"/>
  <c r="A165" i="6"/>
  <c r="B166" i="6"/>
  <c r="A155" i="5"/>
  <c r="B156" i="5"/>
  <c r="B167" i="6"/>
  <c r="A166" i="6"/>
  <c r="A156" i="5"/>
  <c r="B157" i="5"/>
  <c r="A157" i="5"/>
  <c r="B158" i="5"/>
  <c r="B168" i="6"/>
  <c r="A167" i="6"/>
  <c r="B169" i="6"/>
  <c r="A168" i="6"/>
  <c r="B159" i="5"/>
  <c r="A158" i="5"/>
  <c r="A169" i="6"/>
  <c r="B170" i="6"/>
  <c r="B160" i="5"/>
  <c r="A159" i="5"/>
  <c r="B171" i="6"/>
  <c r="A170" i="6"/>
  <c r="A160" i="5"/>
  <c r="B161" i="5"/>
  <c r="A161" i="5"/>
  <c r="B162" i="5"/>
  <c r="B172" i="6"/>
  <c r="A171" i="6"/>
  <c r="B163" i="5"/>
  <c r="A162" i="5"/>
  <c r="B173" i="6"/>
  <c r="A172" i="6"/>
  <c r="A163" i="5"/>
  <c r="B164" i="5"/>
  <c r="A173" i="6"/>
  <c r="B174" i="6"/>
  <c r="B175" i="6"/>
  <c r="A174" i="6"/>
  <c r="A164" i="5"/>
  <c r="B165" i="5"/>
  <c r="B176" i="6"/>
  <c r="A175" i="6"/>
  <c r="A165" i="5"/>
  <c r="B166" i="5"/>
  <c r="B177" i="6"/>
  <c r="A176" i="6"/>
  <c r="B167" i="5"/>
  <c r="A166" i="5"/>
  <c r="B168" i="5"/>
  <c r="A167" i="5"/>
  <c r="A177" i="6"/>
  <c r="B178" i="6"/>
  <c r="B179" i="6"/>
  <c r="A178" i="6"/>
  <c r="B169" i="5"/>
  <c r="A168" i="5"/>
  <c r="B170" i="5"/>
  <c r="A169" i="5"/>
  <c r="B180" i="6"/>
  <c r="A179" i="6"/>
  <c r="B171" i="5"/>
  <c r="A170" i="5"/>
  <c r="B181" i="6"/>
  <c r="A180" i="6"/>
  <c r="A181" i="6"/>
  <c r="B182" i="6"/>
  <c r="B172" i="5"/>
  <c r="A171" i="5"/>
  <c r="B173" i="5"/>
  <c r="A172" i="5"/>
  <c r="A182" i="6"/>
  <c r="B183" i="6"/>
  <c r="B174" i="5"/>
  <c r="A173" i="5"/>
  <c r="B184" i="6"/>
  <c r="A183" i="6"/>
  <c r="A174" i="5"/>
  <c r="B175" i="5"/>
  <c r="B185" i="6"/>
  <c r="A184" i="6"/>
  <c r="B186" i="6"/>
  <c r="A185" i="6"/>
  <c r="B176" i="5"/>
  <c r="A175" i="5"/>
  <c r="A186" i="6"/>
  <c r="B187" i="6"/>
  <c r="B177" i="5"/>
  <c r="A176" i="5"/>
  <c r="B188" i="6"/>
  <c r="A187" i="6"/>
  <c r="A177" i="5"/>
  <c r="B178" i="5"/>
  <c r="A188" i="6"/>
  <c r="B189" i="6"/>
  <c r="A178" i="5"/>
  <c r="B179" i="5"/>
  <c r="B190" i="6"/>
  <c r="A189" i="6"/>
  <c r="B180" i="5"/>
  <c r="A179" i="5"/>
  <c r="A180" i="5"/>
  <c r="B181" i="5"/>
  <c r="B191" i="6"/>
  <c r="A190" i="6"/>
  <c r="B182" i="5"/>
  <c r="A181" i="5"/>
  <c r="B192" i="6"/>
  <c r="A191" i="6"/>
  <c r="A192" i="6"/>
  <c r="B193" i="6"/>
  <c r="B183" i="5"/>
  <c r="A182" i="5"/>
  <c r="A183" i="5"/>
  <c r="B184" i="5"/>
  <c r="A193" i="6"/>
  <c r="B194" i="6"/>
  <c r="B185" i="5"/>
  <c r="A184" i="5"/>
  <c r="B195" i="6"/>
  <c r="A194" i="6"/>
  <c r="B196" i="6"/>
  <c r="A195" i="6"/>
  <c r="B186" i="5"/>
  <c r="A185" i="5"/>
  <c r="A186" i="5"/>
  <c r="B187" i="5"/>
  <c r="B197" i="6"/>
  <c r="A196" i="6"/>
  <c r="B188" i="5"/>
  <c r="A187" i="5"/>
  <c r="A197" i="6"/>
  <c r="B198" i="6"/>
  <c r="A198" i="6"/>
  <c r="B199" i="6"/>
  <c r="B189" i="5"/>
  <c r="A188" i="5"/>
  <c r="B190" i="5"/>
  <c r="A189" i="5"/>
  <c r="B200" i="6"/>
  <c r="A199" i="6"/>
  <c r="B201" i="6"/>
  <c r="A200" i="6"/>
  <c r="A190" i="5"/>
  <c r="B191" i="5"/>
  <c r="B202" i="6"/>
  <c r="A201" i="6"/>
  <c r="B192" i="5"/>
  <c r="A191" i="5"/>
  <c r="A192" i="5"/>
  <c r="B193" i="5"/>
  <c r="A202" i="6"/>
  <c r="B203" i="6"/>
  <c r="A193" i="5"/>
  <c r="B194" i="5"/>
  <c r="B204" i="6"/>
  <c r="A203" i="6"/>
  <c r="A204" i="6"/>
  <c r="B205" i="6"/>
  <c r="B195" i="5"/>
  <c r="A194" i="5"/>
  <c r="A195" i="5"/>
  <c r="B196" i="5"/>
  <c r="B206" i="6"/>
  <c r="A205" i="6"/>
  <c r="B207" i="6"/>
  <c r="A206" i="6"/>
  <c r="B197" i="5"/>
  <c r="A196" i="5"/>
  <c r="A197" i="5"/>
  <c r="B198" i="5"/>
  <c r="B208" i="6"/>
  <c r="A207" i="6"/>
  <c r="A208" i="6"/>
  <c r="B209" i="6"/>
  <c r="A198" i="5"/>
  <c r="B199" i="5"/>
  <c r="A209" i="6"/>
  <c r="B210" i="6"/>
  <c r="B200" i="5"/>
  <c r="A199" i="5"/>
  <c r="A200" i="5"/>
  <c r="B201" i="5"/>
  <c r="B211" i="6"/>
  <c r="A210" i="6"/>
  <c r="B212" i="6"/>
  <c r="A211" i="6"/>
  <c r="B202" i="5"/>
  <c r="A201" i="5"/>
  <c r="A202" i="5"/>
  <c r="B203" i="5"/>
  <c r="B213" i="6"/>
  <c r="A212" i="6"/>
  <c r="A213" i="6"/>
  <c r="B214" i="6"/>
  <c r="B204" i="5"/>
  <c r="A203" i="5"/>
  <c r="A204" i="5"/>
  <c r="B205" i="5"/>
  <c r="A214" i="6"/>
  <c r="B215" i="6"/>
  <c r="A205" i="5"/>
  <c r="B206" i="5"/>
  <c r="B216" i="6"/>
  <c r="A215" i="6"/>
  <c r="B217" i="6"/>
  <c r="A216" i="6"/>
  <c r="B207" i="5"/>
  <c r="A206" i="5"/>
  <c r="A207" i="5"/>
  <c r="B208" i="5"/>
  <c r="B218" i="6"/>
  <c r="A217" i="6"/>
  <c r="B209" i="5"/>
  <c r="A208" i="5"/>
  <c r="A218" i="6"/>
  <c r="B219" i="6"/>
  <c r="A209" i="5"/>
  <c r="B210" i="5"/>
  <c r="B220" i="6"/>
  <c r="A219" i="6"/>
  <c r="A220" i="6"/>
  <c r="B221" i="6"/>
  <c r="B211" i="5"/>
  <c r="A210" i="5"/>
  <c r="A211" i="5"/>
  <c r="B212" i="5"/>
  <c r="B222" i="6"/>
  <c r="A221" i="6"/>
  <c r="B223" i="6"/>
  <c r="A222" i="6"/>
  <c r="A212" i="5"/>
  <c r="B213" i="5"/>
  <c r="B214" i="5"/>
  <c r="A213" i="5"/>
  <c r="B224" i="6"/>
  <c r="A223" i="6"/>
  <c r="A224" i="6"/>
  <c r="B225" i="6"/>
  <c r="B215" i="5"/>
  <c r="A214" i="5"/>
  <c r="B216" i="5"/>
  <c r="A215" i="5"/>
  <c r="A225" i="6"/>
  <c r="B226" i="6"/>
  <c r="B227" i="6"/>
  <c r="A226" i="6"/>
  <c r="A216" i="5"/>
  <c r="B217" i="5"/>
  <c r="B218" i="5"/>
  <c r="A217" i="5"/>
  <c r="B228" i="6"/>
  <c r="A227" i="6"/>
  <c r="B229" i="6"/>
  <c r="A228" i="6"/>
  <c r="A218" i="5"/>
  <c r="B219" i="5"/>
  <c r="A229" i="6"/>
  <c r="B230" i="6"/>
  <c r="A219" i="5"/>
  <c r="B220" i="5"/>
  <c r="A220" i="5"/>
  <c r="B221" i="5"/>
  <c r="B231" i="6"/>
  <c r="A230" i="6"/>
  <c r="A231" i="6"/>
  <c r="B232" i="6"/>
  <c r="B222" i="5"/>
  <c r="A221" i="5"/>
  <c r="A222" i="5"/>
  <c r="B223" i="5"/>
  <c r="B233" i="6"/>
  <c r="A232" i="6"/>
  <c r="A233" i="6"/>
  <c r="B234" i="6"/>
  <c r="A223" i="5"/>
  <c r="B224" i="5"/>
  <c r="A234" i="6"/>
  <c r="B235" i="6"/>
  <c r="B225" i="5"/>
  <c r="A224" i="5"/>
  <c r="A225" i="5"/>
  <c r="B226" i="5"/>
  <c r="A235" i="6"/>
  <c r="B236" i="6"/>
  <c r="B237" i="6"/>
  <c r="A236" i="6"/>
  <c r="B227" i="5"/>
  <c r="A226" i="5"/>
  <c r="A227" i="5"/>
  <c r="B228" i="5"/>
  <c r="B238" i="6"/>
  <c r="A237" i="6"/>
  <c r="B229" i="5"/>
  <c r="A228" i="5"/>
  <c r="A238" i="6"/>
  <c r="B239" i="6"/>
  <c r="B240" i="6"/>
  <c r="A239" i="6"/>
  <c r="B230" i="5"/>
  <c r="A229" i="5"/>
  <c r="A230" i="5"/>
  <c r="B231" i="5"/>
  <c r="B241" i="6"/>
  <c r="A240" i="6"/>
  <c r="B242" i="6"/>
  <c r="A241" i="6"/>
  <c r="A231" i="5"/>
  <c r="B232" i="5"/>
  <c r="A242" i="6"/>
  <c r="B243" i="6"/>
  <c r="B233" i="5"/>
  <c r="A232" i="5"/>
  <c r="B244" i="6"/>
  <c r="A243" i="6"/>
  <c r="B234" i="5"/>
  <c r="A233" i="5"/>
  <c r="B245" i="6"/>
  <c r="A244" i="6"/>
  <c r="A234" i="5"/>
  <c r="B235" i="5"/>
  <c r="B236" i="5"/>
  <c r="A235" i="5"/>
  <c r="B246" i="6"/>
  <c r="A245" i="6"/>
  <c r="A246" i="6"/>
  <c r="B247" i="6"/>
  <c r="B237" i="5"/>
  <c r="A236" i="5"/>
  <c r="A237" i="5"/>
  <c r="B238" i="5"/>
  <c r="A247" i="6"/>
  <c r="B248" i="6"/>
  <c r="A248" i="6"/>
  <c r="B249" i="6"/>
  <c r="B239" i="5"/>
  <c r="A238" i="5"/>
  <c r="B240" i="5"/>
  <c r="A239" i="5"/>
  <c r="B250" i="6"/>
  <c r="A249" i="6"/>
  <c r="B251" i="6"/>
  <c r="A250" i="6"/>
  <c r="B241" i="5"/>
  <c r="A240" i="5"/>
  <c r="A251" i="6"/>
  <c r="B252" i="6"/>
  <c r="A241" i="5"/>
  <c r="B242" i="5"/>
  <c r="A252" i="6"/>
  <c r="B253" i="6"/>
  <c r="A242" i="5"/>
  <c r="B243" i="5"/>
  <c r="A253" i="6"/>
  <c r="B254" i="6"/>
  <c r="A243" i="5"/>
  <c r="B244" i="5"/>
  <c r="A244" i="5"/>
  <c r="B245" i="5"/>
  <c r="A254" i="6"/>
  <c r="B255" i="6"/>
  <c r="A255" i="6"/>
  <c r="B256" i="6"/>
  <c r="B246" i="5"/>
  <c r="A245" i="5"/>
  <c r="A246" i="5"/>
  <c r="B247" i="5"/>
  <c r="B257" i="6"/>
  <c r="A256" i="6"/>
  <c r="B258" i="6"/>
  <c r="A257" i="6"/>
  <c r="A247" i="5"/>
  <c r="B248" i="5"/>
  <c r="B249" i="5"/>
  <c r="A248" i="5"/>
  <c r="A258" i="6"/>
  <c r="B259" i="6"/>
  <c r="A259" i="6"/>
  <c r="B260" i="6"/>
  <c r="A249" i="5"/>
  <c r="B250" i="5"/>
  <c r="B261" i="6"/>
  <c r="A260" i="6"/>
  <c r="A250" i="5"/>
  <c r="B251" i="5"/>
  <c r="A261" i="6"/>
  <c r="B262" i="6"/>
  <c r="B252" i="5"/>
  <c r="A251" i="5"/>
  <c r="B253" i="5"/>
  <c r="A252" i="5"/>
  <c r="A262" i="6"/>
  <c r="B263" i="6"/>
  <c r="B264" i="6"/>
  <c r="A263" i="6"/>
  <c r="B254" i="5"/>
  <c r="A253" i="5"/>
  <c r="B255" i="5"/>
  <c r="A254" i="5"/>
  <c r="B265" i="6"/>
  <c r="A264" i="6"/>
  <c r="A265" i="6"/>
  <c r="B266" i="6"/>
  <c r="B256" i="5"/>
  <c r="A255" i="5"/>
  <c r="B257" i="5"/>
  <c r="A256" i="5"/>
  <c r="B267" i="6"/>
  <c r="A266" i="6"/>
  <c r="B268" i="6"/>
  <c r="A267" i="6"/>
  <c r="B258" i="5"/>
  <c r="A257" i="5"/>
  <c r="B259" i="5"/>
  <c r="A258" i="5"/>
  <c r="A268" i="6"/>
  <c r="B269" i="6"/>
  <c r="B270" i="6"/>
  <c r="A269" i="6"/>
  <c r="A259" i="5"/>
  <c r="B260" i="5"/>
  <c r="A260" i="5"/>
  <c r="B261" i="5"/>
  <c r="A270" i="6"/>
  <c r="B271" i="6"/>
  <c r="A261" i="5"/>
  <c r="B262" i="5"/>
  <c r="A271" i="6"/>
  <c r="B272" i="6"/>
  <c r="B263" i="5"/>
  <c r="A262" i="5"/>
  <c r="A272" i="6"/>
  <c r="B273" i="6"/>
  <c r="A273" i="6"/>
  <c r="B274" i="6"/>
  <c r="A263" i="5"/>
  <c r="B264" i="5"/>
  <c r="A264" i="5"/>
  <c r="B265" i="5"/>
  <c r="B275" i="6"/>
  <c r="A274" i="6"/>
  <c r="B266" i="5"/>
  <c r="A265" i="5"/>
  <c r="A275" i="6"/>
  <c r="B276" i="6"/>
  <c r="A276" i="6"/>
  <c r="B277" i="6"/>
  <c r="A266" i="5"/>
  <c r="B267" i="5"/>
  <c r="B268" i="5"/>
  <c r="A267" i="5"/>
  <c r="A277" i="6"/>
  <c r="B278" i="6"/>
  <c r="A278" i="6"/>
  <c r="B279" i="6"/>
  <c r="A268" i="5"/>
  <c r="B269" i="5"/>
  <c r="A269" i="5"/>
  <c r="B270" i="5"/>
  <c r="B280" i="6"/>
  <c r="A279" i="6"/>
  <c r="A280" i="6"/>
  <c r="B281" i="6"/>
  <c r="B271" i="5"/>
  <c r="A270" i="5"/>
  <c r="A271" i="5"/>
  <c r="B272" i="5"/>
  <c r="A281" i="6"/>
  <c r="B282" i="6"/>
  <c r="A272" i="5"/>
  <c r="B273" i="5"/>
  <c r="A282" i="6"/>
  <c r="B283" i="6"/>
  <c r="B284" i="6"/>
  <c r="A283" i="6"/>
  <c r="A273" i="5"/>
  <c r="B274" i="5"/>
  <c r="B275" i="5"/>
  <c r="A274" i="5"/>
  <c r="B285" i="6"/>
  <c r="A284" i="6"/>
  <c r="B276" i="5"/>
  <c r="A275" i="5"/>
  <c r="B286" i="6"/>
  <c r="A285" i="6"/>
  <c r="B277" i="5"/>
  <c r="A276" i="5"/>
  <c r="A286" i="6"/>
  <c r="B287" i="6"/>
  <c r="A277" i="5"/>
  <c r="B278" i="5"/>
  <c r="A287" i="6"/>
  <c r="B288" i="6"/>
  <c r="B289" i="6"/>
  <c r="A288" i="6"/>
  <c r="A278" i="5"/>
  <c r="B279" i="5"/>
  <c r="B280" i="5"/>
  <c r="A279" i="5"/>
  <c r="A289" i="6"/>
  <c r="B290" i="6"/>
  <c r="B291" i="6"/>
  <c r="A290" i="6"/>
  <c r="A280" i="5"/>
  <c r="B281" i="5"/>
  <c r="B282" i="5"/>
  <c r="A281" i="5"/>
  <c r="B292" i="6"/>
  <c r="A291" i="6"/>
  <c r="A292" i="6"/>
  <c r="B293" i="6"/>
  <c r="A282" i="5"/>
  <c r="B283" i="5"/>
  <c r="B284" i="5"/>
  <c r="A283" i="5"/>
  <c r="A293" i="6"/>
  <c r="B294" i="6"/>
  <c r="A284" i="5"/>
  <c r="B285" i="5"/>
  <c r="B295" i="6"/>
  <c r="A294" i="6"/>
  <c r="B296" i="6"/>
  <c r="A295" i="6"/>
  <c r="B286" i="5"/>
  <c r="A285" i="5"/>
  <c r="B287" i="5"/>
  <c r="A286" i="5"/>
  <c r="A296" i="6"/>
  <c r="B297" i="6"/>
  <c r="A297" i="6"/>
  <c r="B298" i="6"/>
  <c r="A287" i="5"/>
  <c r="B288" i="5"/>
  <c r="B299" i="6"/>
  <c r="A298" i="6"/>
  <c r="A288" i="5"/>
  <c r="B289" i="5"/>
  <c r="A289" i="5"/>
  <c r="B290" i="5"/>
  <c r="B300" i="6"/>
  <c r="A299" i="6"/>
  <c r="A300" i="6"/>
  <c r="B301" i="6"/>
  <c r="B291" i="5"/>
  <c r="A290" i="5"/>
  <c r="A291" i="5"/>
  <c r="B292" i="5"/>
  <c r="B302" i="6"/>
  <c r="A301" i="6"/>
  <c r="B303" i="6"/>
  <c r="A302" i="6"/>
  <c r="A292" i="5"/>
  <c r="B293" i="5"/>
  <c r="B304" i="6"/>
  <c r="A303" i="6"/>
  <c r="A293" i="5"/>
  <c r="B294" i="5"/>
  <c r="B305" i="6"/>
  <c r="A304" i="6"/>
  <c r="A294" i="5"/>
  <c r="B295" i="5"/>
  <c r="A305" i="6"/>
  <c r="B306" i="6"/>
  <c r="A295" i="5"/>
  <c r="B296" i="5"/>
  <c r="B297" i="5"/>
  <c r="A296" i="5"/>
  <c r="B307" i="6"/>
  <c r="A306" i="6"/>
  <c r="A307" i="6"/>
  <c r="B308" i="6"/>
  <c r="B298" i="5"/>
  <c r="A297" i="5"/>
  <c r="B299" i="5"/>
  <c r="A298" i="5"/>
  <c r="B309" i="6"/>
  <c r="A308" i="6"/>
  <c r="B310" i="6"/>
  <c r="A309" i="6"/>
  <c r="B300" i="5"/>
  <c r="A299" i="5"/>
  <c r="B301" i="5"/>
  <c r="A300" i="5"/>
  <c r="A310" i="6"/>
  <c r="B311" i="6"/>
  <c r="A311" i="6"/>
  <c r="B312" i="6"/>
  <c r="B302" i="5"/>
  <c r="A301" i="5"/>
  <c r="A302" i="5"/>
  <c r="B303" i="5"/>
  <c r="A312" i="6"/>
  <c r="B313" i="6"/>
  <c r="A313" i="6"/>
  <c r="B314" i="6"/>
  <c r="A303" i="5"/>
  <c r="B304" i="5"/>
  <c r="A314" i="6"/>
  <c r="B315" i="6"/>
  <c r="B305" i="5"/>
  <c r="A304" i="5"/>
  <c r="B306" i="5"/>
  <c r="A305" i="5"/>
  <c r="B316" i="6"/>
  <c r="A315" i="6"/>
  <c r="A316" i="6"/>
  <c r="B317" i="6"/>
  <c r="B307" i="5"/>
  <c r="A306" i="5"/>
  <c r="A307" i="5"/>
  <c r="B308" i="5"/>
  <c r="B318" i="6"/>
  <c r="A317" i="6"/>
  <c r="A308" i="5"/>
  <c r="B309" i="5"/>
  <c r="A318" i="6"/>
  <c r="B319" i="6"/>
  <c r="B320" i="6"/>
  <c r="A319" i="6"/>
  <c r="B310" i="5"/>
  <c r="A309" i="5"/>
  <c r="A310" i="5"/>
  <c r="B311" i="5"/>
  <c r="A320" i="6"/>
  <c r="B321" i="6"/>
  <c r="A311" i="5"/>
  <c r="B312" i="5"/>
  <c r="A321" i="6"/>
  <c r="B322" i="6"/>
  <c r="B323" i="6"/>
  <c r="A322" i="6"/>
  <c r="B313" i="5"/>
  <c r="A312" i="5"/>
  <c r="B314" i="5"/>
  <c r="A313" i="5"/>
  <c r="B324" i="6"/>
  <c r="A323" i="6"/>
  <c r="B325" i="6"/>
  <c r="A324" i="6"/>
  <c r="B315" i="5"/>
  <c r="A314" i="5"/>
  <c r="A315" i="5"/>
  <c r="B316" i="5"/>
  <c r="B326" i="6"/>
  <c r="A325" i="6"/>
  <c r="A316" i="5"/>
  <c r="B317" i="5"/>
  <c r="B327" i="6"/>
  <c r="A326" i="6"/>
  <c r="A327" i="6"/>
  <c r="B328" i="6"/>
  <c r="A317" i="5"/>
  <c r="B318" i="5"/>
  <c r="A328" i="6"/>
  <c r="B329" i="6"/>
  <c r="B319" i="5"/>
  <c r="A318" i="5"/>
  <c r="B330" i="6"/>
  <c r="A329" i="6"/>
  <c r="A319" i="5"/>
  <c r="B320" i="5"/>
  <c r="B321" i="5"/>
  <c r="A320" i="5"/>
  <c r="B331" i="6"/>
  <c r="A330" i="6"/>
  <c r="A331" i="6"/>
  <c r="B332" i="6"/>
  <c r="B322" i="5"/>
  <c r="A321" i="5"/>
  <c r="B333" i="6"/>
  <c r="A332" i="6"/>
  <c r="B323" i="5"/>
  <c r="A322" i="5"/>
  <c r="A323" i="5"/>
  <c r="B324" i="5"/>
  <c r="B334" i="6"/>
  <c r="A333" i="6"/>
  <c r="A334" i="6"/>
  <c r="B335" i="6"/>
  <c r="B325" i="5"/>
  <c r="A324" i="5"/>
  <c r="B326" i="5"/>
  <c r="A325" i="5"/>
  <c r="B336" i="6"/>
  <c r="A335" i="6"/>
  <c r="A326" i="5"/>
  <c r="B327" i="5"/>
  <c r="A336" i="6"/>
  <c r="B337" i="6"/>
  <c r="B328" i="5"/>
  <c r="A327" i="5"/>
  <c r="B338" i="6"/>
  <c r="A337" i="6"/>
  <c r="B339" i="6"/>
  <c r="A338" i="6"/>
  <c r="B329" i="5"/>
  <c r="A328" i="5"/>
  <c r="B330" i="5"/>
  <c r="A329" i="5"/>
  <c r="A339" i="6"/>
  <c r="B340" i="6"/>
  <c r="B331" i="5"/>
  <c r="A330" i="5"/>
  <c r="A340" i="6"/>
  <c r="B341" i="6"/>
  <c r="A341" i="6"/>
  <c r="B342" i="6"/>
  <c r="A331" i="5"/>
  <c r="B332" i="5"/>
  <c r="A342" i="6"/>
  <c r="B343" i="6"/>
  <c r="B333" i="5"/>
  <c r="A332" i="5"/>
  <c r="A343" i="6"/>
  <c r="B344" i="6"/>
  <c r="B334" i="5"/>
  <c r="A333" i="5"/>
  <c r="A334" i="5"/>
  <c r="B335" i="5"/>
  <c r="A344" i="6"/>
  <c r="B345" i="6"/>
  <c r="B346" i="6"/>
  <c r="A345" i="6"/>
  <c r="A335" i="5"/>
  <c r="B336" i="5"/>
  <c r="A346" i="6"/>
  <c r="B347" i="6"/>
  <c r="A336" i="5"/>
  <c r="B337" i="5"/>
  <c r="B348" i="6"/>
  <c r="A347" i="6"/>
  <c r="A337" i="5"/>
  <c r="B338" i="5"/>
  <c r="B349" i="6"/>
  <c r="A348" i="6"/>
  <c r="A338" i="5"/>
  <c r="B339" i="5"/>
  <c r="A349" i="6"/>
  <c r="B350" i="6"/>
  <c r="A339" i="5"/>
  <c r="B340" i="5"/>
  <c r="B341" i="5"/>
  <c r="A340" i="5"/>
  <c r="A350" i="6"/>
  <c r="B351" i="6"/>
  <c r="A351" i="6"/>
  <c r="B352" i="6"/>
  <c r="B342" i="5"/>
  <c r="A341" i="5"/>
  <c r="A342" i="5"/>
  <c r="B343" i="5"/>
  <c r="B353" i="6"/>
  <c r="A352" i="6"/>
  <c r="B344" i="5"/>
  <c r="A343" i="5"/>
  <c r="A353" i="6"/>
  <c r="B354" i="6"/>
  <c r="A354" i="6"/>
  <c r="B355" i="6"/>
  <c r="B345" i="5"/>
  <c r="A344" i="5"/>
  <c r="A355" i="6"/>
  <c r="B356" i="6"/>
  <c r="B346" i="5"/>
  <c r="A345" i="5"/>
  <c r="A356" i="6"/>
  <c r="B357" i="6"/>
  <c r="A346" i="5"/>
  <c r="B347" i="5"/>
  <c r="A347" i="5"/>
  <c r="B348" i="5"/>
  <c r="B358" i="6"/>
  <c r="A357" i="6"/>
  <c r="B359" i="6"/>
  <c r="A358" i="6"/>
  <c r="A348" i="5"/>
  <c r="B349" i="5"/>
  <c r="B360" i="6"/>
  <c r="A359" i="6"/>
  <c r="A349" i="5"/>
  <c r="B350" i="5"/>
  <c r="A350" i="5"/>
  <c r="B351" i="5"/>
  <c r="B361" i="6"/>
  <c r="A360" i="6"/>
  <c r="A361" i="6"/>
  <c r="B362" i="6"/>
  <c r="B352" i="5"/>
  <c r="A351" i="5"/>
  <c r="B353" i="5"/>
  <c r="A352" i="5"/>
  <c r="A362" i="6"/>
  <c r="B363" i="6"/>
  <c r="A353" i="5"/>
  <c r="B354" i="5"/>
  <c r="B364" i="6"/>
  <c r="A363" i="6"/>
  <c r="A364" i="6"/>
  <c r="B365" i="6"/>
  <c r="A354" i="5"/>
  <c r="B355" i="5"/>
  <c r="B356" i="5"/>
  <c r="A355" i="5"/>
  <c r="B366" i="6"/>
  <c r="A365" i="6"/>
  <c r="A356" i="5"/>
  <c r="B357" i="5"/>
  <c r="A366" i="6"/>
  <c r="B367" i="6"/>
  <c r="A367" i="6"/>
  <c r="B368" i="6"/>
  <c r="A357" i="5"/>
  <c r="B358" i="5"/>
  <c r="B369" i="6"/>
  <c r="A368" i="6"/>
  <c r="B359" i="5"/>
  <c r="A358" i="5"/>
  <c r="A359" i="5"/>
  <c r="B360" i="5"/>
  <c r="B370" i="6"/>
  <c r="A369" i="6"/>
  <c r="B371" i="6"/>
  <c r="A370" i="6"/>
  <c r="A360" i="5"/>
  <c r="B361" i="5"/>
  <c r="B362" i="5"/>
  <c r="A361" i="5"/>
  <c r="B372" i="6"/>
  <c r="A371" i="6"/>
  <c r="B373" i="6"/>
  <c r="A372" i="6"/>
  <c r="A362" i="5"/>
  <c r="B363" i="5"/>
  <c r="B364" i="5"/>
  <c r="A363" i="5"/>
  <c r="A373" i="6"/>
  <c r="B374" i="6"/>
  <c r="A374" i="6"/>
  <c r="A364" i="5"/>
  <c r="B365" i="5"/>
  <c r="A365" i="5"/>
  <c r="B366" i="5"/>
  <c r="B367" i="5"/>
  <c r="A366" i="5"/>
  <c r="A367" i="5"/>
  <c r="B368" i="5"/>
  <c r="A368" i="5"/>
  <c r="B369" i="5"/>
  <c r="A369" i="5"/>
  <c r="B370" i="5"/>
  <c r="A370" i="5"/>
  <c r="B371" i="5"/>
  <c r="A371" i="5"/>
  <c r="B372" i="5"/>
  <c r="A372" i="5"/>
  <c r="B373" i="5"/>
  <c r="B374" i="5"/>
  <c r="A374" i="5"/>
  <c r="A373" i="5"/>
  <c r="W58" i="1"/>
  <c r="C70" i="1"/>
  <c r="D89" i="1"/>
  <c r="D91" i="1" s="1"/>
  <c r="AC94" i="1"/>
  <c r="F94" i="1"/>
  <c r="AF94" i="1"/>
  <c r="I94" i="1"/>
  <c r="R94" i="1"/>
  <c r="Z94" i="1"/>
  <c r="AB94" i="1"/>
  <c r="AB89" i="1"/>
  <c r="C76" i="1"/>
  <c r="S89" i="1"/>
  <c r="Z89" i="1"/>
  <c r="R89" i="1"/>
  <c r="I89" i="1"/>
  <c r="X89" i="1"/>
  <c r="P89" i="1"/>
  <c r="G89" i="1"/>
  <c r="V89" i="1"/>
  <c r="N89" i="1"/>
  <c r="C38" i="4"/>
  <c r="C25" i="4"/>
  <c r="F21" i="1"/>
  <c r="E69" i="1"/>
  <c r="E70" i="1" s="1"/>
  <c r="B68" i="1"/>
  <c r="D76" i="1"/>
  <c r="B74" i="1"/>
  <c r="F35" i="4"/>
  <c r="N78" i="4"/>
  <c r="O78" i="4"/>
  <c r="P78" i="4"/>
  <c r="Q78" i="4"/>
  <c r="R78" i="4"/>
  <c r="S78" i="4"/>
  <c r="T78" i="4"/>
  <c r="V78" i="4"/>
  <c r="W78" i="4"/>
  <c r="X78" i="4"/>
  <c r="Y78" i="4"/>
  <c r="Z78" i="4"/>
  <c r="AA78" i="4"/>
  <c r="AB78" i="4"/>
  <c r="AD78" i="4"/>
  <c r="AF78" i="4"/>
  <c r="AE78" i="4"/>
  <c r="AG78" i="4"/>
  <c r="P75" i="4"/>
  <c r="R75" i="4"/>
  <c r="X75" i="4"/>
  <c r="AF75" i="4"/>
  <c r="F15" i="8" l="1"/>
  <c r="N15" i="8"/>
  <c r="C15" i="8"/>
  <c r="T15" i="8"/>
  <c r="G15" i="8"/>
  <c r="O15" i="8"/>
  <c r="D15" i="8"/>
  <c r="H15" i="8"/>
  <c r="P15" i="8"/>
  <c r="L15" i="8"/>
  <c r="I15" i="8"/>
  <c r="Q15" i="8"/>
  <c r="J15" i="8"/>
  <c r="R15" i="8"/>
  <c r="K15" i="8"/>
  <c r="S15" i="8"/>
  <c r="E15" i="8"/>
  <c r="M15" i="8"/>
  <c r="U15" i="8"/>
  <c r="AD89" i="1"/>
  <c r="AF89" i="1"/>
  <c r="K89" i="1"/>
  <c r="M89" i="1"/>
  <c r="O89" i="1"/>
  <c r="Q89" i="1"/>
  <c r="AA89" i="1"/>
  <c r="U89" i="1"/>
  <c r="W89" i="1"/>
  <c r="Y89" i="1"/>
  <c r="L89" i="1"/>
  <c r="AC89" i="1"/>
  <c r="AE89" i="1"/>
  <c r="C89" i="1"/>
  <c r="C91" i="1" s="1"/>
  <c r="D6" i="4" s="1"/>
  <c r="D31" i="4" s="1"/>
  <c r="F89" i="1"/>
  <c r="H89" i="1"/>
  <c r="J89" i="1"/>
  <c r="C161" i="1"/>
  <c r="P90" i="4"/>
  <c r="AA90" i="4"/>
  <c r="S90" i="4"/>
  <c r="K90" i="4"/>
  <c r="Z90" i="4"/>
  <c r="J90" i="4"/>
  <c r="AG90" i="4"/>
  <c r="Y90" i="4"/>
  <c r="Q90" i="4"/>
  <c r="X90" i="4"/>
  <c r="AE90" i="4"/>
  <c r="G90" i="4"/>
  <c r="AD90" i="4"/>
  <c r="V90" i="4"/>
  <c r="AF90" i="4"/>
  <c r="H90" i="4"/>
  <c r="O90" i="4"/>
  <c r="AC90" i="4"/>
  <c r="U90" i="4"/>
  <c r="M90" i="4"/>
  <c r="D90" i="4"/>
  <c r="AB90" i="4"/>
  <c r="T90" i="4"/>
  <c r="L90" i="4"/>
  <c r="V57" i="1"/>
  <c r="Q55" i="1"/>
  <c r="X58" i="1"/>
  <c r="V58" i="1"/>
  <c r="B58" i="1" s="1"/>
  <c r="AB58" i="1"/>
  <c r="AB62" i="1" s="1"/>
  <c r="AC13" i="4" s="1"/>
  <c r="AC71" i="4" s="1"/>
  <c r="Z58" i="1"/>
  <c r="AE58" i="1"/>
  <c r="AE62" i="1" s="1"/>
  <c r="AE63" i="1" s="1"/>
  <c r="AE120" i="1" s="1"/>
  <c r="Y58" i="1"/>
  <c r="AC58" i="1"/>
  <c r="AC62" i="1" s="1"/>
  <c r="AD13" i="4" s="1"/>
  <c r="E97" i="1"/>
  <c r="E10" i="4"/>
  <c r="AD58" i="1"/>
  <c r="AD62" i="1" s="1"/>
  <c r="AE13" i="4" s="1"/>
  <c r="R56" i="1"/>
  <c r="U56" i="1"/>
  <c r="U62" i="1" s="1"/>
  <c r="V13" i="4" s="1"/>
  <c r="V71" i="4" s="1"/>
  <c r="S56" i="1"/>
  <c r="P56" i="1"/>
  <c r="T56" i="1"/>
  <c r="V56" i="1"/>
  <c r="Q56" i="1"/>
  <c r="S57" i="1"/>
  <c r="Y57" i="1"/>
  <c r="P55" i="1"/>
  <c r="B73" i="1"/>
  <c r="R57" i="1"/>
  <c r="T57" i="1"/>
  <c r="T62" i="1" s="1"/>
  <c r="U13" i="4" s="1"/>
  <c r="U71" i="4" s="1"/>
  <c r="W57" i="1"/>
  <c r="W62" i="1" s="1"/>
  <c r="E76" i="1"/>
  <c r="B76" i="1" s="1"/>
  <c r="Q57" i="1"/>
  <c r="B57" i="1" s="1"/>
  <c r="X57" i="1"/>
  <c r="X62" i="1" s="1"/>
  <c r="X63" i="1" s="1"/>
  <c r="X120" i="1" s="1"/>
  <c r="N55" i="1"/>
  <c r="N62" i="1" s="1"/>
  <c r="O13" i="4" s="1"/>
  <c r="C7" i="4"/>
  <c r="C8" i="4"/>
  <c r="Z57" i="1"/>
  <c r="C43" i="4"/>
  <c r="D77" i="1"/>
  <c r="F96" i="1"/>
  <c r="C12" i="1"/>
  <c r="C14" i="1" s="1"/>
  <c r="R96" i="1"/>
  <c r="S95" i="1"/>
  <c r="T95" i="1" s="1"/>
  <c r="U95" i="1" s="1"/>
  <c r="V95" i="1" s="1"/>
  <c r="W95" i="1" s="1"/>
  <c r="X95" i="1" s="1"/>
  <c r="Y95" i="1" s="1"/>
  <c r="Z95" i="1" s="1"/>
  <c r="C16" i="4"/>
  <c r="D42" i="4"/>
  <c r="C42" i="4" s="1"/>
  <c r="L17" i="1"/>
  <c r="M12" i="4" s="1"/>
  <c r="I17" i="1"/>
  <c r="J12" i="4" s="1"/>
  <c r="H17" i="1"/>
  <c r="I12" i="4" s="1"/>
  <c r="D17" i="1"/>
  <c r="E12" i="4" s="1"/>
  <c r="F17" i="1"/>
  <c r="C17" i="1"/>
  <c r="C63" i="1" s="1"/>
  <c r="C120" i="1" s="1"/>
  <c r="G17" i="1"/>
  <c r="K17" i="1"/>
  <c r="L12" i="4" s="1"/>
  <c r="E17" i="1"/>
  <c r="J17" i="1"/>
  <c r="K12" i="4" s="1"/>
  <c r="E91" i="1"/>
  <c r="F90" i="1"/>
  <c r="C17" i="4"/>
  <c r="D106" i="1"/>
  <c r="E6" i="4"/>
  <c r="C6" i="1"/>
  <c r="C7" i="1"/>
  <c r="W94" i="1"/>
  <c r="Y94" i="1"/>
  <c r="E94" i="1"/>
  <c r="E96" i="1" s="1"/>
  <c r="N94" i="1"/>
  <c r="N96" i="1" s="1"/>
  <c r="AE94" i="1"/>
  <c r="D94" i="1"/>
  <c r="D96" i="1" s="1"/>
  <c r="T94" i="1"/>
  <c r="V94" i="1"/>
  <c r="H94" i="1"/>
  <c r="H96" i="1" s="1"/>
  <c r="K94" i="1"/>
  <c r="K96" i="1" s="1"/>
  <c r="M94" i="1"/>
  <c r="M96" i="1" s="1"/>
  <c r="AD94" i="1"/>
  <c r="P94" i="1"/>
  <c r="P96" i="1" s="1"/>
  <c r="L94" i="1"/>
  <c r="L96" i="1" s="1"/>
  <c r="S94" i="1"/>
  <c r="U94" i="1"/>
  <c r="G94" i="1"/>
  <c r="G96" i="1" s="1"/>
  <c r="X94" i="1"/>
  <c r="J94" i="1"/>
  <c r="J96" i="1" s="1"/>
  <c r="AA94" i="1"/>
  <c r="O94" i="1"/>
  <c r="O96" i="1" s="1"/>
  <c r="Q94" i="1"/>
  <c r="Q96" i="1" s="1"/>
  <c r="C94" i="1"/>
  <c r="C96" i="1" s="1"/>
  <c r="I96" i="1"/>
  <c r="C77" i="1"/>
  <c r="E39" i="4"/>
  <c r="E90" i="4" s="1"/>
  <c r="K62" i="1"/>
  <c r="L62" i="1"/>
  <c r="M13" i="4" s="1"/>
  <c r="E55" i="1"/>
  <c r="M62" i="1"/>
  <c r="N13" i="4" s="1"/>
  <c r="F55" i="1"/>
  <c r="D55" i="1"/>
  <c r="G55" i="1"/>
  <c r="J62" i="1"/>
  <c r="K13" i="4" s="1"/>
  <c r="C33" i="4"/>
  <c r="B69" i="1"/>
  <c r="N39" i="4"/>
  <c r="N90" i="4" s="1"/>
  <c r="AG13" i="4"/>
  <c r="C35" i="4"/>
  <c r="B79" i="1"/>
  <c r="R39" i="4"/>
  <c r="AB13" i="4"/>
  <c r="AA63" i="1"/>
  <c r="AA120" i="1" s="1"/>
  <c r="W39" i="4"/>
  <c r="I90" i="4"/>
  <c r="O55" i="1"/>
  <c r="O62" i="1" s="1"/>
  <c r="G23" i="1"/>
  <c r="H23" i="1" s="1"/>
  <c r="B70" i="1"/>
  <c r="D62" i="1" l="1"/>
  <c r="E13" i="4" s="1"/>
  <c r="B55" i="1"/>
  <c r="C106" i="1"/>
  <c r="AF13" i="4"/>
  <c r="AF71" i="4" s="1"/>
  <c r="AD63" i="1"/>
  <c r="AD120" i="1" s="1"/>
  <c r="AB63" i="1"/>
  <c r="AB120" i="1" s="1"/>
  <c r="C21" i="1"/>
  <c r="C15" i="5" s="1"/>
  <c r="Y62" i="1"/>
  <c r="Z13" i="4" s="1"/>
  <c r="Z71" i="4" s="1"/>
  <c r="Z72" i="4" s="1"/>
  <c r="S62" i="1"/>
  <c r="T13" i="4" s="1"/>
  <c r="T71" i="4" s="1"/>
  <c r="E77" i="1"/>
  <c r="B77" i="1" s="1"/>
  <c r="P62" i="1"/>
  <c r="V62" i="1"/>
  <c r="W13" i="4" s="1"/>
  <c r="W71" i="4" s="1"/>
  <c r="W72" i="4" s="1"/>
  <c r="Z62" i="1"/>
  <c r="AA13" i="4" s="1"/>
  <c r="AA71" i="4" s="1"/>
  <c r="F97" i="1"/>
  <c r="F10" i="4"/>
  <c r="AC63" i="1"/>
  <c r="AC120" i="1" s="1"/>
  <c r="Q62" i="1"/>
  <c r="Q63" i="1" s="1"/>
  <c r="Q120" i="1" s="1"/>
  <c r="R62" i="1"/>
  <c r="S13" i="4" s="1"/>
  <c r="S71" i="4" s="1"/>
  <c r="D12" i="4"/>
  <c r="K63" i="1"/>
  <c r="K120" i="1" s="1"/>
  <c r="M63" i="1"/>
  <c r="M120" i="1" s="1"/>
  <c r="D63" i="1"/>
  <c r="D120" i="1" s="1"/>
  <c r="U63" i="1"/>
  <c r="U120" i="1" s="1"/>
  <c r="X13" i="4"/>
  <c r="X71" i="4" s="1"/>
  <c r="W63" i="1"/>
  <c r="W120" i="1" s="1"/>
  <c r="P73" i="1"/>
  <c r="N73" i="1"/>
  <c r="K73" i="1"/>
  <c r="J73" i="1"/>
  <c r="M73" i="1"/>
  <c r="O73" i="1"/>
  <c r="H73" i="1"/>
  <c r="L73" i="1"/>
  <c r="M71" i="4"/>
  <c r="M72" i="4" s="1"/>
  <c r="I73" i="1"/>
  <c r="B81" i="1"/>
  <c r="Q73" i="1"/>
  <c r="S63" i="1"/>
  <c r="S120" i="1" s="1"/>
  <c r="K71" i="4"/>
  <c r="K72" i="4" s="1"/>
  <c r="G12" i="4"/>
  <c r="L13" i="4"/>
  <c r="L71" i="4" s="1"/>
  <c r="L72" i="4" s="1"/>
  <c r="G9" i="4"/>
  <c r="G32" i="4" s="1"/>
  <c r="F107" i="1"/>
  <c r="I9" i="4"/>
  <c r="I32" i="4" s="1"/>
  <c r="H107" i="1"/>
  <c r="U96" i="1"/>
  <c r="J63" i="1"/>
  <c r="J120" i="1" s="1"/>
  <c r="X96" i="1"/>
  <c r="L9" i="4"/>
  <c r="L32" i="4" s="1"/>
  <c r="K107" i="1"/>
  <c r="Y96" i="1"/>
  <c r="G90" i="1"/>
  <c r="F91" i="1"/>
  <c r="I80" i="1"/>
  <c r="J80" i="1" s="1"/>
  <c r="G80" i="1"/>
  <c r="Z96" i="1"/>
  <c r="AA95" i="1"/>
  <c r="AB95" i="1" s="1"/>
  <c r="AG71" i="4"/>
  <c r="AG72" i="4" s="1"/>
  <c r="R107" i="1"/>
  <c r="S9" i="4"/>
  <c r="S32" i="4" s="1"/>
  <c r="B17" i="1"/>
  <c r="L63" i="1"/>
  <c r="L120" i="1" s="1"/>
  <c r="D9" i="4"/>
  <c r="C107" i="1"/>
  <c r="S96" i="1"/>
  <c r="T96" i="1"/>
  <c r="F12" i="4"/>
  <c r="H9" i="4"/>
  <c r="H32" i="4" s="1"/>
  <c r="G107" i="1"/>
  <c r="V96" i="1"/>
  <c r="R9" i="4"/>
  <c r="R32" i="4" s="1"/>
  <c r="Q107" i="1"/>
  <c r="M9" i="4"/>
  <c r="M32" i="4" s="1"/>
  <c r="L107" i="1"/>
  <c r="E9" i="4"/>
  <c r="E32" i="4" s="1"/>
  <c r="D107" i="1"/>
  <c r="E100" i="1"/>
  <c r="E106" i="1"/>
  <c r="F6" i="4"/>
  <c r="P9" i="4"/>
  <c r="P32" i="4" s="1"/>
  <c r="O107" i="1"/>
  <c r="Q9" i="4"/>
  <c r="Q32" i="4" s="1"/>
  <c r="P107" i="1"/>
  <c r="E31" i="4"/>
  <c r="C100" i="1"/>
  <c r="B117" i="1" s="1"/>
  <c r="H12" i="4"/>
  <c r="W96" i="1"/>
  <c r="N63" i="1"/>
  <c r="N120" i="1" s="1"/>
  <c r="J9" i="4"/>
  <c r="J32" i="4" s="1"/>
  <c r="I107" i="1"/>
  <c r="O9" i="4"/>
  <c r="O32" i="4" s="1"/>
  <c r="N107" i="1"/>
  <c r="D100" i="1"/>
  <c r="T63" i="1"/>
  <c r="T120" i="1" s="1"/>
  <c r="Y13" i="4"/>
  <c r="Y71" i="4" s="1"/>
  <c r="K9" i="4"/>
  <c r="K32" i="4" s="1"/>
  <c r="J107" i="1"/>
  <c r="N9" i="4"/>
  <c r="N32" i="4" s="1"/>
  <c r="M107" i="1"/>
  <c r="F9" i="4"/>
  <c r="F32" i="4" s="1"/>
  <c r="E107" i="1"/>
  <c r="C26" i="1"/>
  <c r="D34" i="4" s="1"/>
  <c r="B23" i="1"/>
  <c r="D21" i="1"/>
  <c r="G21" i="1" s="1"/>
  <c r="H21" i="1" s="1"/>
  <c r="F10" i="5"/>
  <c r="D15" i="5" s="1"/>
  <c r="C16" i="5" s="1"/>
  <c r="R90" i="4"/>
  <c r="AC72" i="4"/>
  <c r="AB71" i="4"/>
  <c r="W90" i="4"/>
  <c r="AE71" i="4"/>
  <c r="AD71" i="4"/>
  <c r="U72" i="4"/>
  <c r="V72" i="4"/>
  <c r="O71" i="4"/>
  <c r="O63" i="1"/>
  <c r="O120" i="1" s="1"/>
  <c r="P13" i="4"/>
  <c r="N71" i="4"/>
  <c r="F27" i="1"/>
  <c r="E71" i="4"/>
  <c r="E27" i="1"/>
  <c r="E36" i="4" l="1"/>
  <c r="E37" i="4" s="1"/>
  <c r="C24" i="1"/>
  <c r="C25" i="1" s="1"/>
  <c r="C15" i="6" s="1"/>
  <c r="Z63" i="1"/>
  <c r="Z120" i="1" s="1"/>
  <c r="Y63" i="1"/>
  <c r="Y120" i="1" s="1"/>
  <c r="V63" i="1"/>
  <c r="V120" i="1" s="1"/>
  <c r="R13" i="4"/>
  <c r="R71" i="4" s="1"/>
  <c r="Q13" i="4"/>
  <c r="Q71" i="4" s="1"/>
  <c r="Q72" i="4" s="1"/>
  <c r="P63" i="1"/>
  <c r="P120" i="1" s="1"/>
  <c r="D71" i="4"/>
  <c r="D72" i="4" s="1"/>
  <c r="C12" i="4"/>
  <c r="R63" i="1"/>
  <c r="R120" i="1" s="1"/>
  <c r="G10" i="4"/>
  <c r="G97" i="1"/>
  <c r="D28" i="1"/>
  <c r="AA96" i="1"/>
  <c r="E169" i="1"/>
  <c r="D222" i="8" s="1"/>
  <c r="E111" i="1"/>
  <c r="E108" i="1"/>
  <c r="E109" i="1" s="1"/>
  <c r="E114" i="1"/>
  <c r="F18" i="4" s="1"/>
  <c r="F44" i="4" s="1"/>
  <c r="AB96" i="1"/>
  <c r="AC95" i="1"/>
  <c r="C114" i="1"/>
  <c r="D18" i="4" s="1"/>
  <c r="C108" i="1"/>
  <c r="C109" i="1" s="1"/>
  <c r="C110" i="1" s="1"/>
  <c r="B112" i="1"/>
  <c r="C169" i="1"/>
  <c r="B222" i="8" s="1"/>
  <c r="C111" i="1"/>
  <c r="B113" i="1"/>
  <c r="W9" i="4"/>
  <c r="W32" i="4" s="1"/>
  <c r="V107" i="1"/>
  <c r="T9" i="4"/>
  <c r="T32" i="4" s="1"/>
  <c r="S107" i="1"/>
  <c r="U9" i="4"/>
  <c r="U32" i="4" s="1"/>
  <c r="T107" i="1"/>
  <c r="G6" i="4"/>
  <c r="F100" i="1"/>
  <c r="F106" i="1"/>
  <c r="Y9" i="4"/>
  <c r="Y32" i="4" s="1"/>
  <c r="X107" i="1"/>
  <c r="D32" i="4"/>
  <c r="D36" i="4" s="1"/>
  <c r="D11" i="4"/>
  <c r="D62" i="4" s="1"/>
  <c r="H90" i="1"/>
  <c r="G91" i="1"/>
  <c r="AA9" i="4"/>
  <c r="AA32" i="4" s="1"/>
  <c r="Z107" i="1"/>
  <c r="E11" i="4"/>
  <c r="E62" i="4" s="1"/>
  <c r="Z9" i="4"/>
  <c r="Z32" i="4" s="1"/>
  <c r="Y107" i="1"/>
  <c r="D114" i="1"/>
  <c r="E18" i="4" s="1"/>
  <c r="E44" i="4" s="1"/>
  <c r="D169" i="1"/>
  <c r="C222" i="8" s="1"/>
  <c r="D108" i="1"/>
  <c r="D109" i="1" s="1"/>
  <c r="D111" i="1"/>
  <c r="X9" i="4"/>
  <c r="X32" i="4" s="1"/>
  <c r="W107" i="1"/>
  <c r="F11" i="4"/>
  <c r="F62" i="4" s="1"/>
  <c r="F31" i="4"/>
  <c r="F36" i="4" s="1"/>
  <c r="V9" i="4"/>
  <c r="V32" i="4" s="1"/>
  <c r="U107" i="1"/>
  <c r="E15" i="5"/>
  <c r="D46" i="4" s="1"/>
  <c r="D31" i="1"/>
  <c r="C34" i="4"/>
  <c r="H26" i="1"/>
  <c r="F15" i="5"/>
  <c r="H12" i="5" s="1"/>
  <c r="F11" i="5"/>
  <c r="F12" i="5" s="1"/>
  <c r="AE72" i="4"/>
  <c r="AB72" i="4"/>
  <c r="AF72" i="4"/>
  <c r="Y72" i="4"/>
  <c r="AD72" i="4"/>
  <c r="X72" i="4"/>
  <c r="AA72" i="4"/>
  <c r="S72" i="4"/>
  <c r="T72" i="4"/>
  <c r="N72" i="4"/>
  <c r="O72" i="4"/>
  <c r="R72" i="4"/>
  <c r="P71" i="4"/>
  <c r="E72" i="4"/>
  <c r="G25" i="1"/>
  <c r="F28" i="1"/>
  <c r="G24" i="1"/>
  <c r="D16" i="5"/>
  <c r="C17" i="5" s="1"/>
  <c r="E16" i="5"/>
  <c r="H24" i="1" l="1"/>
  <c r="AA107" i="1"/>
  <c r="H97" i="1"/>
  <c r="H10" i="4"/>
  <c r="AB9" i="4"/>
  <c r="AB32" i="4" s="1"/>
  <c r="F10" i="6"/>
  <c r="F11" i="6" s="1"/>
  <c r="F12" i="6" s="1"/>
  <c r="F14" i="4"/>
  <c r="E170" i="1"/>
  <c r="E110" i="1"/>
  <c r="AD95" i="1"/>
  <c r="AC96" i="1"/>
  <c r="F37" i="4"/>
  <c r="C32" i="4"/>
  <c r="AC9" i="4"/>
  <c r="AC32" i="4" s="1"/>
  <c r="AB107" i="1"/>
  <c r="C154" i="1"/>
  <c r="I90" i="1"/>
  <c r="H91" i="1"/>
  <c r="F15" i="4"/>
  <c r="F41" i="4" s="1"/>
  <c r="E115" i="1"/>
  <c r="D170" i="1"/>
  <c r="E14" i="4"/>
  <c r="D15" i="4"/>
  <c r="C115" i="1"/>
  <c r="C116" i="1" s="1"/>
  <c r="C118" i="1" s="1"/>
  <c r="C122" i="1" s="1"/>
  <c r="C150" i="1" s="1"/>
  <c r="G106" i="1"/>
  <c r="H6" i="4"/>
  <c r="G100" i="1"/>
  <c r="F114" i="1"/>
  <c r="G18" i="4" s="1"/>
  <c r="G44" i="4" s="1"/>
  <c r="F108" i="1"/>
  <c r="F109" i="1" s="1"/>
  <c r="F111" i="1"/>
  <c r="F169" i="1"/>
  <c r="E222" i="8" s="1"/>
  <c r="D110" i="1"/>
  <c r="G31" i="4"/>
  <c r="G36" i="4" s="1"/>
  <c r="G11" i="4"/>
  <c r="G62" i="4" s="1"/>
  <c r="D115" i="1"/>
  <c r="E15" i="4"/>
  <c r="E41" i="4" s="1"/>
  <c r="C9" i="4"/>
  <c r="C170" i="1"/>
  <c r="D14" i="4"/>
  <c r="D44" i="4"/>
  <c r="G15" i="5"/>
  <c r="H11" i="5" s="1"/>
  <c r="C123" i="1" s="1"/>
  <c r="C125" i="1" s="1"/>
  <c r="H25" i="1"/>
  <c r="C27" i="1"/>
  <c r="C28" i="1" s="1"/>
  <c r="P72" i="4"/>
  <c r="E28" i="1"/>
  <c r="G28" i="1" s="1"/>
  <c r="G27" i="1"/>
  <c r="F16" i="5"/>
  <c r="E46" i="4"/>
  <c r="D17" i="5"/>
  <c r="C18" i="5" s="1"/>
  <c r="E17" i="5"/>
  <c r="E173" i="1" l="1"/>
  <c r="D226" i="8" s="1"/>
  <c r="D223" i="8"/>
  <c r="C173" i="1"/>
  <c r="B226" i="8" s="1"/>
  <c r="B223" i="8"/>
  <c r="D173" i="1"/>
  <c r="C226" i="8" s="1"/>
  <c r="C223" i="8"/>
  <c r="C126" i="1"/>
  <c r="G16" i="5"/>
  <c r="I11" i="5" s="1"/>
  <c r="D123" i="1" s="1"/>
  <c r="I12" i="5"/>
  <c r="D15" i="6"/>
  <c r="C16" i="6" s="1"/>
  <c r="D16" i="6" s="1"/>
  <c r="C17" i="6" s="1"/>
  <c r="E15" i="6"/>
  <c r="I10" i="4"/>
  <c r="I97" i="1"/>
  <c r="C155" i="1"/>
  <c r="C156" i="1" s="1"/>
  <c r="C127" i="1" s="1"/>
  <c r="G14" i="4"/>
  <c r="F170" i="1"/>
  <c r="F110" i="1"/>
  <c r="D116" i="1"/>
  <c r="G111" i="1"/>
  <c r="G114" i="1"/>
  <c r="H18" i="4" s="1"/>
  <c r="G108" i="1"/>
  <c r="G109" i="1" s="1"/>
  <c r="G169" i="1"/>
  <c r="F222" i="8" s="1"/>
  <c r="D37" i="4"/>
  <c r="D63" i="4"/>
  <c r="D64" i="4" s="1"/>
  <c r="D40" i="4"/>
  <c r="I6" i="4"/>
  <c r="H100" i="1"/>
  <c r="H106" i="1"/>
  <c r="AE95" i="1"/>
  <c r="AD96" i="1"/>
  <c r="AD9" i="4"/>
  <c r="AD32" i="4" s="1"/>
  <c r="AC107" i="1"/>
  <c r="J90" i="1"/>
  <c r="I91" i="1"/>
  <c r="E116" i="1"/>
  <c r="F115" i="1"/>
  <c r="G15" i="4"/>
  <c r="G41" i="4" s="1"/>
  <c r="H31" i="4"/>
  <c r="H36" i="4" s="1"/>
  <c r="H11" i="4"/>
  <c r="H62" i="4" s="1"/>
  <c r="H28" i="1"/>
  <c r="G37" i="4"/>
  <c r="D41" i="4"/>
  <c r="F40" i="4"/>
  <c r="F63" i="4"/>
  <c r="F64" i="4" s="1"/>
  <c r="E63" i="4"/>
  <c r="E64" i="4" s="1"/>
  <c r="E40" i="4"/>
  <c r="E48" i="4" s="1"/>
  <c r="C159" i="1"/>
  <c r="D159" i="1" s="1"/>
  <c r="E159" i="1" s="1"/>
  <c r="F159" i="1" s="1"/>
  <c r="G159" i="1" s="1"/>
  <c r="H159" i="1" s="1"/>
  <c r="I159" i="1" s="1"/>
  <c r="J159" i="1" s="1"/>
  <c r="K159" i="1" s="1"/>
  <c r="L159" i="1" s="1"/>
  <c r="M159" i="1" s="1"/>
  <c r="N159" i="1" s="1"/>
  <c r="O159" i="1" s="1"/>
  <c r="P159" i="1" s="1"/>
  <c r="Q159" i="1" s="1"/>
  <c r="R159" i="1" s="1"/>
  <c r="S159" i="1" s="1"/>
  <c r="T159" i="1" s="1"/>
  <c r="U159" i="1" s="1"/>
  <c r="V159" i="1" s="1"/>
  <c r="W159" i="1" s="1"/>
  <c r="X159" i="1" s="1"/>
  <c r="Y159" i="1" s="1"/>
  <c r="Z159" i="1" s="1"/>
  <c r="AA159" i="1" s="1"/>
  <c r="AB159" i="1" s="1"/>
  <c r="AC159" i="1" s="1"/>
  <c r="AD159" i="1" s="1"/>
  <c r="AE159" i="1" s="1"/>
  <c r="AF159" i="1" s="1"/>
  <c r="C163" i="1"/>
  <c r="D20" i="4" s="1"/>
  <c r="H27" i="1"/>
  <c r="D21" i="4"/>
  <c r="D18" i="5"/>
  <c r="C19" i="5" s="1"/>
  <c r="E18" i="5"/>
  <c r="F46" i="4"/>
  <c r="F17" i="5"/>
  <c r="F173" i="1" l="1"/>
  <c r="E226" i="8" s="1"/>
  <c r="E223" i="8"/>
  <c r="G17" i="5"/>
  <c r="J11" i="5" s="1"/>
  <c r="E123" i="1" s="1"/>
  <c r="J12" i="5"/>
  <c r="F15" i="6"/>
  <c r="G15" i="6" s="1"/>
  <c r="M124" i="1" s="1"/>
  <c r="M125" i="1" s="1"/>
  <c r="E16" i="6"/>
  <c r="J10" i="4"/>
  <c r="J97" i="1"/>
  <c r="AF95" i="1"/>
  <c r="AF96" i="1" s="1"/>
  <c r="AE96" i="1"/>
  <c r="H44" i="4"/>
  <c r="H111" i="1"/>
  <c r="H114" i="1"/>
  <c r="I18" i="4" s="1"/>
  <c r="I44" i="4" s="1"/>
  <c r="H108" i="1"/>
  <c r="H109" i="1" s="1"/>
  <c r="H169" i="1"/>
  <c r="G222" i="8" s="1"/>
  <c r="H15" i="4"/>
  <c r="H41" i="4" s="1"/>
  <c r="G115" i="1"/>
  <c r="K90" i="1"/>
  <c r="J91" i="1"/>
  <c r="I106" i="1"/>
  <c r="I100" i="1"/>
  <c r="J6" i="4"/>
  <c r="I31" i="4"/>
  <c r="I36" i="4" s="1"/>
  <c r="I11" i="4"/>
  <c r="I62" i="4" s="1"/>
  <c r="F116" i="1"/>
  <c r="G63" i="4"/>
  <c r="G64" i="4" s="1"/>
  <c r="G40" i="4"/>
  <c r="G48" i="4" s="1"/>
  <c r="G54" i="4" s="1"/>
  <c r="G49" i="4" s="1"/>
  <c r="H14" i="4"/>
  <c r="G170" i="1"/>
  <c r="G110" i="1"/>
  <c r="AE9" i="4"/>
  <c r="AE32" i="4" s="1"/>
  <c r="AD107" i="1"/>
  <c r="D48" i="4"/>
  <c r="C162" i="1"/>
  <c r="F16" i="6"/>
  <c r="D17" i="6"/>
  <c r="C18" i="6" s="1"/>
  <c r="E17" i="6"/>
  <c r="F18" i="5"/>
  <c r="G46" i="4"/>
  <c r="B224" i="8"/>
  <c r="D74" i="4"/>
  <c r="E19" i="5"/>
  <c r="D19" i="5"/>
  <c r="C20" i="5" s="1"/>
  <c r="D125" i="1"/>
  <c r="E21" i="4"/>
  <c r="G173" i="1" l="1"/>
  <c r="F226" i="8" s="1"/>
  <c r="F223" i="8"/>
  <c r="G18" i="5"/>
  <c r="K11" i="5" s="1"/>
  <c r="F123" i="1" s="1"/>
  <c r="K12" i="5"/>
  <c r="G16" i="6"/>
  <c r="N124" i="1" s="1"/>
  <c r="N125" i="1" s="1"/>
  <c r="K10" i="4"/>
  <c r="K97" i="1"/>
  <c r="G116" i="1"/>
  <c r="F17" i="6"/>
  <c r="G17" i="6" s="1"/>
  <c r="O124" i="1" s="1"/>
  <c r="O125" i="1" s="1"/>
  <c r="H170" i="1"/>
  <c r="I14" i="4"/>
  <c r="H110" i="1"/>
  <c r="D54" i="4"/>
  <c r="B12" i="9" s="1"/>
  <c r="I108" i="1"/>
  <c r="I109" i="1" s="1"/>
  <c r="I114" i="1"/>
  <c r="J18" i="4" s="1"/>
  <c r="I169" i="1"/>
  <c r="H222" i="8" s="1"/>
  <c r="I111" i="1"/>
  <c r="L90" i="1"/>
  <c r="K91" i="1"/>
  <c r="I37" i="4"/>
  <c r="J31" i="4"/>
  <c r="J36" i="4" s="1"/>
  <c r="J11" i="4"/>
  <c r="J62" i="4" s="1"/>
  <c r="J100" i="1"/>
  <c r="K6" i="4"/>
  <c r="J106" i="1"/>
  <c r="H37" i="4"/>
  <c r="H115" i="1"/>
  <c r="I15" i="4"/>
  <c r="AF9" i="4"/>
  <c r="AF32" i="4" s="1"/>
  <c r="AE107" i="1"/>
  <c r="AG9" i="4"/>
  <c r="AG32" i="4" s="1"/>
  <c r="AF107" i="1"/>
  <c r="D19" i="4"/>
  <c r="C164" i="1"/>
  <c r="H40" i="4"/>
  <c r="H63" i="4"/>
  <c r="H64" i="4" s="1"/>
  <c r="D18" i="6"/>
  <c r="C19" i="6" s="1"/>
  <c r="E18" i="6"/>
  <c r="F125" i="1"/>
  <c r="G21" i="4"/>
  <c r="H46" i="4"/>
  <c r="F19" i="5"/>
  <c r="C172" i="1"/>
  <c r="B225" i="8" s="1"/>
  <c r="C174" i="1"/>
  <c r="D20" i="5"/>
  <c r="C21" i="5" s="1"/>
  <c r="E20" i="5"/>
  <c r="D75" i="4"/>
  <c r="E74" i="4"/>
  <c r="C157" i="1"/>
  <c r="F21" i="4"/>
  <c r="E125" i="1"/>
  <c r="C175" i="1" l="1"/>
  <c r="B228" i="8" s="1"/>
  <c r="B227" i="8"/>
  <c r="H173" i="1"/>
  <c r="G226" i="8" s="1"/>
  <c r="G223" i="8"/>
  <c r="G19" i="5"/>
  <c r="L11" i="5" s="1"/>
  <c r="G123" i="1" s="1"/>
  <c r="L12" i="5"/>
  <c r="C128" i="1"/>
  <c r="L10" i="4"/>
  <c r="L97" i="1"/>
  <c r="I170" i="1"/>
  <c r="J14" i="4"/>
  <c r="H48" i="4"/>
  <c r="J169" i="1"/>
  <c r="I222" i="8" s="1"/>
  <c r="J108" i="1"/>
  <c r="J109" i="1" s="1"/>
  <c r="J111" i="1"/>
  <c r="J114" i="1"/>
  <c r="K18" i="4" s="1"/>
  <c r="K44" i="4" s="1"/>
  <c r="J44" i="4"/>
  <c r="D49" i="4"/>
  <c r="E54" i="4"/>
  <c r="C12" i="9" s="1"/>
  <c r="H12" i="9" s="1"/>
  <c r="I40" i="4"/>
  <c r="I63" i="4"/>
  <c r="I64" i="4" s="1"/>
  <c r="D45" i="4"/>
  <c r="D65" i="4"/>
  <c r="D66" i="4" s="1"/>
  <c r="D26" i="4"/>
  <c r="I110" i="1"/>
  <c r="I41" i="4"/>
  <c r="H116" i="1"/>
  <c r="C165" i="1"/>
  <c r="K100" i="1"/>
  <c r="K106" i="1"/>
  <c r="L6" i="4"/>
  <c r="L91" i="1"/>
  <c r="M90" i="1"/>
  <c r="K11" i="4"/>
  <c r="K62" i="4" s="1"/>
  <c r="K31" i="4"/>
  <c r="K36" i="4" s="1"/>
  <c r="I115" i="1"/>
  <c r="J15" i="4"/>
  <c r="J41" i="4" s="1"/>
  <c r="F18" i="6"/>
  <c r="G18" i="6" s="1"/>
  <c r="P124" i="1" s="1"/>
  <c r="P125" i="1" s="1"/>
  <c r="E19" i="6"/>
  <c r="D19" i="6"/>
  <c r="C20" i="6" s="1"/>
  <c r="I46" i="4"/>
  <c r="E21" i="5"/>
  <c r="D21" i="5"/>
  <c r="C22" i="5" s="1"/>
  <c r="G74" i="4"/>
  <c r="F20" i="5"/>
  <c r="E75" i="4"/>
  <c r="F74" i="4"/>
  <c r="I173" i="1" l="1"/>
  <c r="H226" i="8" s="1"/>
  <c r="H223" i="8"/>
  <c r="G20" i="5"/>
  <c r="M11" i="5" s="1"/>
  <c r="H123" i="1" s="1"/>
  <c r="M12" i="5"/>
  <c r="C129" i="1"/>
  <c r="D27" i="4" s="1"/>
  <c r="E47" i="4" s="1"/>
  <c r="C130" i="1"/>
  <c r="M10" i="4"/>
  <c r="M97" i="1"/>
  <c r="I48" i="4"/>
  <c r="I54" i="4" s="1"/>
  <c r="I49" i="4" s="1"/>
  <c r="K37" i="4"/>
  <c r="I116" i="1"/>
  <c r="E49" i="4"/>
  <c r="L11" i="4"/>
  <c r="L62" i="4" s="1"/>
  <c r="L31" i="4"/>
  <c r="L36" i="4" s="1"/>
  <c r="M91" i="1"/>
  <c r="N90" i="1"/>
  <c r="L106" i="1"/>
  <c r="L100" i="1"/>
  <c r="M6" i="4"/>
  <c r="J37" i="4"/>
  <c r="J170" i="1"/>
  <c r="K14" i="4"/>
  <c r="D67" i="4"/>
  <c r="D68" i="4"/>
  <c r="H54" i="4"/>
  <c r="H49" i="4" s="1"/>
  <c r="K15" i="4"/>
  <c r="J115" i="1"/>
  <c r="K169" i="1"/>
  <c r="J222" i="8" s="1"/>
  <c r="K111" i="1"/>
  <c r="K108" i="1"/>
  <c r="K109" i="1" s="1"/>
  <c r="K114" i="1"/>
  <c r="L18" i="4" s="1"/>
  <c r="D51" i="4"/>
  <c r="D52" i="4" s="1"/>
  <c r="J110" i="1"/>
  <c r="J63" i="4"/>
  <c r="J64" i="4" s="1"/>
  <c r="J40" i="4"/>
  <c r="J48" i="4" s="1"/>
  <c r="J54" i="4" s="1"/>
  <c r="J49" i="4" s="1"/>
  <c r="F19" i="6"/>
  <c r="G19" i="6" s="1"/>
  <c r="Q124" i="1" s="1"/>
  <c r="Q125" i="1" s="1"/>
  <c r="D20" i="6"/>
  <c r="C21" i="6" s="1"/>
  <c r="E20" i="6"/>
  <c r="E22" i="5"/>
  <c r="D22" i="5"/>
  <c r="C23" i="5" s="1"/>
  <c r="G75" i="4"/>
  <c r="J46" i="4"/>
  <c r="I21" i="4"/>
  <c r="H125" i="1"/>
  <c r="F21" i="5"/>
  <c r="F75" i="4"/>
  <c r="H21" i="4"/>
  <c r="G125" i="1"/>
  <c r="D58" i="4" l="1"/>
  <c r="J173" i="1"/>
  <c r="I226" i="8" s="1"/>
  <c r="I223" i="8"/>
  <c r="G21" i="5"/>
  <c r="N11" i="5" s="1"/>
  <c r="I123" i="1" s="1"/>
  <c r="N12" i="5"/>
  <c r="D28" i="4"/>
  <c r="C131" i="1" s="1"/>
  <c r="C132" i="1" s="1"/>
  <c r="N10" i="4"/>
  <c r="N97" i="1"/>
  <c r="J116" i="1"/>
  <c r="K170" i="1"/>
  <c r="L14" i="4"/>
  <c r="K110" i="1"/>
  <c r="L37" i="4"/>
  <c r="L44" i="4"/>
  <c r="M31" i="4"/>
  <c r="M36" i="4" s="1"/>
  <c r="M11" i="4"/>
  <c r="M62" i="4" s="1"/>
  <c r="L169" i="1"/>
  <c r="K222" i="8" s="1"/>
  <c r="L108" i="1"/>
  <c r="L109" i="1" s="1"/>
  <c r="L111" i="1"/>
  <c r="L114" i="1"/>
  <c r="M18" i="4" s="1"/>
  <c r="M44" i="4" s="1"/>
  <c r="L15" i="4"/>
  <c r="L41" i="4" s="1"/>
  <c r="K115" i="1"/>
  <c r="D69" i="4"/>
  <c r="D70" i="4" s="1"/>
  <c r="O90" i="1"/>
  <c r="N91" i="1"/>
  <c r="K40" i="4"/>
  <c r="K63" i="4"/>
  <c r="K64" i="4" s="1"/>
  <c r="M106" i="1"/>
  <c r="N6" i="4"/>
  <c r="M100" i="1"/>
  <c r="K41" i="4"/>
  <c r="F22" i="5"/>
  <c r="F20" i="6"/>
  <c r="G20" i="6" s="1"/>
  <c r="R124" i="1" s="1"/>
  <c r="R125" i="1" s="1"/>
  <c r="D21" i="6"/>
  <c r="C22" i="6" s="1"/>
  <c r="E21" i="6"/>
  <c r="E23" i="5"/>
  <c r="D23" i="5"/>
  <c r="C24" i="5" s="1"/>
  <c r="J21" i="4"/>
  <c r="I125" i="1"/>
  <c r="H74" i="4"/>
  <c r="K46" i="4"/>
  <c r="I74" i="4"/>
  <c r="B26" i="9" l="1"/>
  <c r="B13" i="9"/>
  <c r="B10" i="9" s="1"/>
  <c r="D83" i="4"/>
  <c r="D57" i="4"/>
  <c r="K173" i="1"/>
  <c r="J226" i="8" s="1"/>
  <c r="J223" i="8"/>
  <c r="G22" i="5"/>
  <c r="O11" i="5" s="1"/>
  <c r="J123" i="1" s="1"/>
  <c r="O12" i="5"/>
  <c r="O10" i="4"/>
  <c r="O97" i="1"/>
  <c r="K48" i="4"/>
  <c r="K54" i="4" s="1"/>
  <c r="K49" i="4" s="1"/>
  <c r="L170" i="1"/>
  <c r="M14" i="4"/>
  <c r="L110" i="1"/>
  <c r="N106" i="1"/>
  <c r="N100" i="1"/>
  <c r="O6" i="4"/>
  <c r="K116" i="1"/>
  <c r="D95" i="4"/>
  <c r="D73" i="4"/>
  <c r="D76" i="4" s="1"/>
  <c r="D79" i="4" s="1"/>
  <c r="D82" i="4" s="1"/>
  <c r="D84" i="4" s="1"/>
  <c r="M37" i="4"/>
  <c r="L40" i="4"/>
  <c r="L48" i="4" s="1"/>
  <c r="L63" i="4"/>
  <c r="L64" i="4" s="1"/>
  <c r="M169" i="1"/>
  <c r="L222" i="8" s="1"/>
  <c r="M108" i="1"/>
  <c r="M109" i="1" s="1"/>
  <c r="M111" i="1"/>
  <c r="M114" i="1"/>
  <c r="N18" i="4" s="1"/>
  <c r="M15" i="4"/>
  <c r="L115" i="1"/>
  <c r="P90" i="1"/>
  <c r="O91" i="1"/>
  <c r="N11" i="4"/>
  <c r="N62" i="4" s="1"/>
  <c r="N31" i="4"/>
  <c r="N36" i="4" s="1"/>
  <c r="F21" i="6"/>
  <c r="G21" i="6" s="1"/>
  <c r="S124" i="1" s="1"/>
  <c r="S125" i="1" s="1"/>
  <c r="E22" i="6"/>
  <c r="D22" i="6"/>
  <c r="C23" i="6" s="1"/>
  <c r="J74" i="4"/>
  <c r="K21" i="4"/>
  <c r="J125" i="1"/>
  <c r="I75" i="4"/>
  <c r="H75" i="4"/>
  <c r="D24" i="5"/>
  <c r="C25" i="5" s="1"/>
  <c r="E24" i="5"/>
  <c r="F23" i="5"/>
  <c r="L46" i="4"/>
  <c r="B118" i="9" l="1"/>
  <c r="B117" i="9"/>
  <c r="B121" i="9"/>
  <c r="B123" i="9"/>
  <c r="B165" i="9"/>
  <c r="B139" i="9"/>
  <c r="B15" i="9"/>
  <c r="L173" i="1"/>
  <c r="K226" i="8" s="1"/>
  <c r="K223" i="8"/>
  <c r="G23" i="5"/>
  <c r="P11" i="5" s="1"/>
  <c r="K123" i="1" s="1"/>
  <c r="P12" i="5"/>
  <c r="P10" i="4"/>
  <c r="P97" i="1"/>
  <c r="L116" i="1"/>
  <c r="M170" i="1"/>
  <c r="N14" i="4"/>
  <c r="M110" i="1"/>
  <c r="P91" i="1"/>
  <c r="Q90" i="1"/>
  <c r="L54" i="4"/>
  <c r="L49" i="4" s="1"/>
  <c r="N44" i="4"/>
  <c r="M115" i="1"/>
  <c r="N15" i="4"/>
  <c r="N41" i="4" s="1"/>
  <c r="N37" i="4"/>
  <c r="D94" i="4"/>
  <c r="M40" i="4"/>
  <c r="M63" i="4"/>
  <c r="M64" i="4" s="1"/>
  <c r="O31" i="4"/>
  <c r="O36" i="4" s="1"/>
  <c r="O11" i="4"/>
  <c r="O62" i="4" s="1"/>
  <c r="O100" i="1"/>
  <c r="P6" i="4"/>
  <c r="O106" i="1"/>
  <c r="M41" i="4"/>
  <c r="N169" i="1"/>
  <c r="M222" i="8" s="1"/>
  <c r="N114" i="1"/>
  <c r="O18" i="4" s="1"/>
  <c r="O44" i="4" s="1"/>
  <c r="N108" i="1"/>
  <c r="N109" i="1" s="1"/>
  <c r="N110" i="1" s="1"/>
  <c r="N111" i="1"/>
  <c r="F22" i="6"/>
  <c r="G22" i="6" s="1"/>
  <c r="T124" i="1" s="1"/>
  <c r="T125" i="1" s="1"/>
  <c r="E23" i="6"/>
  <c r="D23" i="6"/>
  <c r="C24" i="6" s="1"/>
  <c r="K125" i="1"/>
  <c r="L21" i="4"/>
  <c r="F24" i="5"/>
  <c r="M46" i="4"/>
  <c r="D25" i="5"/>
  <c r="C26" i="5" s="1"/>
  <c r="E25" i="5"/>
  <c r="K74" i="4"/>
  <c r="J75" i="4"/>
  <c r="E10" i="9" l="1"/>
  <c r="B96" i="9"/>
  <c r="B106" i="9"/>
  <c r="E11" i="9"/>
  <c r="E6" i="9"/>
  <c r="E7" i="9"/>
  <c r="E4" i="9"/>
  <c r="E15" i="9"/>
  <c r="E12" i="9"/>
  <c r="B131" i="9"/>
  <c r="B168" i="9"/>
  <c r="B170" i="9" s="1"/>
  <c r="B104" i="9"/>
  <c r="B95" i="9"/>
  <c r="E5" i="9"/>
  <c r="B99" i="9"/>
  <c r="B128" i="9"/>
  <c r="B157" i="9"/>
  <c r="B160" i="9" s="1"/>
  <c r="E13" i="9"/>
  <c r="M173" i="1"/>
  <c r="L226" i="8" s="1"/>
  <c r="L223" i="8"/>
  <c r="G24" i="5"/>
  <c r="Q11" i="5" s="1"/>
  <c r="L123" i="1" s="1"/>
  <c r="B123" i="1" s="1"/>
  <c r="Q12" i="5"/>
  <c r="Q10" i="4"/>
  <c r="Q97" i="1"/>
  <c r="M48" i="4"/>
  <c r="M54" i="4" s="1"/>
  <c r="M49" i="4" s="1"/>
  <c r="M116" i="1"/>
  <c r="R90" i="1"/>
  <c r="Q91" i="1"/>
  <c r="O37" i="4"/>
  <c r="P31" i="4"/>
  <c r="P36" i="4" s="1"/>
  <c r="P11" i="4"/>
  <c r="P62" i="4" s="1"/>
  <c r="P106" i="1"/>
  <c r="P100" i="1"/>
  <c r="Q6" i="4"/>
  <c r="N170" i="1"/>
  <c r="O14" i="4"/>
  <c r="O114" i="1"/>
  <c r="P18" i="4" s="1"/>
  <c r="P44" i="4" s="1"/>
  <c r="O108" i="1"/>
  <c r="O109" i="1" s="1"/>
  <c r="O169" i="1"/>
  <c r="N222" i="8" s="1"/>
  <c r="O111" i="1"/>
  <c r="N40" i="4"/>
  <c r="N48" i="4" s="1"/>
  <c r="N54" i="4" s="1"/>
  <c r="N49" i="4" s="1"/>
  <c r="N63" i="4"/>
  <c r="N64" i="4" s="1"/>
  <c r="N115" i="1"/>
  <c r="O15" i="4"/>
  <c r="O41" i="4" s="1"/>
  <c r="F25" i="5"/>
  <c r="G25" i="5" s="1"/>
  <c r="D24" i="6"/>
  <c r="C25" i="6" s="1"/>
  <c r="E24" i="6"/>
  <c r="F23" i="6"/>
  <c r="G23" i="6" s="1"/>
  <c r="U124" i="1" s="1"/>
  <c r="U125" i="1" s="1"/>
  <c r="L125" i="1"/>
  <c r="M21" i="4"/>
  <c r="K75" i="4"/>
  <c r="N46" i="4"/>
  <c r="L74" i="4"/>
  <c r="D26" i="5"/>
  <c r="C27" i="5" s="1"/>
  <c r="E26" i="5"/>
  <c r="N173" i="1" l="1"/>
  <c r="M226" i="8" s="1"/>
  <c r="M223" i="8"/>
  <c r="R10" i="4"/>
  <c r="R97" i="1"/>
  <c r="F26" i="5"/>
  <c r="G26" i="5" s="1"/>
  <c r="N116" i="1"/>
  <c r="O170" i="1"/>
  <c r="P14" i="4"/>
  <c r="O110" i="1"/>
  <c r="O115" i="1"/>
  <c r="P15" i="4"/>
  <c r="P41" i="4" s="1"/>
  <c r="O40" i="4"/>
  <c r="O48" i="4" s="1"/>
  <c r="O54" i="4" s="1"/>
  <c r="O49" i="4" s="1"/>
  <c r="O63" i="4"/>
  <c r="O64" i="4" s="1"/>
  <c r="Q31" i="4"/>
  <c r="Q36" i="4" s="1"/>
  <c r="Q11" i="4"/>
  <c r="Q62" i="4" s="1"/>
  <c r="P37" i="4"/>
  <c r="Q106" i="1"/>
  <c r="R6" i="4"/>
  <c r="Q100" i="1"/>
  <c r="P169" i="1"/>
  <c r="O222" i="8" s="1"/>
  <c r="P111" i="1"/>
  <c r="P114" i="1"/>
  <c r="Q18" i="4" s="1"/>
  <c r="Q44" i="4" s="1"/>
  <c r="P108" i="1"/>
  <c r="P109" i="1" s="1"/>
  <c r="P110" i="1" s="1"/>
  <c r="S90" i="1"/>
  <c r="R91" i="1"/>
  <c r="D25" i="6"/>
  <c r="C26" i="6" s="1"/>
  <c r="E25" i="6"/>
  <c r="F24" i="6"/>
  <c r="G24" i="6" s="1"/>
  <c r="V124" i="1" s="1"/>
  <c r="V125" i="1" s="1"/>
  <c r="O46" i="4"/>
  <c r="L75" i="4"/>
  <c r="E27" i="5"/>
  <c r="D27" i="5"/>
  <c r="C28" i="5" s="1"/>
  <c r="M74" i="4"/>
  <c r="C21" i="4"/>
  <c r="O173" i="1" l="1"/>
  <c r="N226" i="8" s="1"/>
  <c r="N223" i="8"/>
  <c r="S10" i="4"/>
  <c r="S97" i="1"/>
  <c r="S91" i="1"/>
  <c r="T90" i="1"/>
  <c r="Q169" i="1"/>
  <c r="P222" i="8" s="1"/>
  <c r="Q111" i="1"/>
  <c r="Q108" i="1"/>
  <c r="Q109" i="1" s="1"/>
  <c r="Q114" i="1"/>
  <c r="R18" i="4" s="1"/>
  <c r="R44" i="4" s="1"/>
  <c r="R31" i="4"/>
  <c r="R36" i="4" s="1"/>
  <c r="R11" i="4"/>
  <c r="R62" i="4" s="1"/>
  <c r="Q37" i="4"/>
  <c r="O116" i="1"/>
  <c r="P63" i="4"/>
  <c r="P64" i="4" s="1"/>
  <c r="P40" i="4"/>
  <c r="P48" i="4" s="1"/>
  <c r="P54" i="4" s="1"/>
  <c r="P49" i="4" s="1"/>
  <c r="P170" i="1"/>
  <c r="Q14" i="4"/>
  <c r="R106" i="1"/>
  <c r="R100" i="1"/>
  <c r="S6" i="4"/>
  <c r="Q15" i="4"/>
  <c r="Q41" i="4" s="1"/>
  <c r="P115" i="1"/>
  <c r="F27" i="5"/>
  <c r="G27" i="5" s="1"/>
  <c r="F25" i="6"/>
  <c r="G25" i="6" s="1"/>
  <c r="W124" i="1" s="1"/>
  <c r="W125" i="1" s="1"/>
  <c r="E26" i="6"/>
  <c r="D26" i="6"/>
  <c r="C27" i="6" s="1"/>
  <c r="P46" i="4"/>
  <c r="D28" i="5"/>
  <c r="C29" i="5" s="1"/>
  <c r="E28" i="5"/>
  <c r="M75" i="4"/>
  <c r="P173" i="1" l="1"/>
  <c r="O226" i="8" s="1"/>
  <c r="O223" i="8"/>
  <c r="T10" i="4"/>
  <c r="T97" i="1"/>
  <c r="Q170" i="1"/>
  <c r="R14" i="4"/>
  <c r="Q110" i="1"/>
  <c r="R169" i="1"/>
  <c r="Q222" i="8" s="1"/>
  <c r="R108" i="1"/>
  <c r="R109" i="1" s="1"/>
  <c r="R111" i="1"/>
  <c r="R114" i="1"/>
  <c r="S18" i="4" s="1"/>
  <c r="S44" i="4" s="1"/>
  <c r="Q63" i="4"/>
  <c r="Q64" i="4" s="1"/>
  <c r="Q40" i="4"/>
  <c r="Q48" i="4" s="1"/>
  <c r="Q54" i="4" s="1"/>
  <c r="Q49" i="4" s="1"/>
  <c r="S11" i="4"/>
  <c r="S62" i="4" s="1"/>
  <c r="S31" i="4"/>
  <c r="S36" i="4" s="1"/>
  <c r="Q115" i="1"/>
  <c r="R15" i="4"/>
  <c r="R41" i="4" s="1"/>
  <c r="U90" i="1"/>
  <c r="T91" i="1"/>
  <c r="S106" i="1"/>
  <c r="T6" i="4"/>
  <c r="S100" i="1"/>
  <c r="P116" i="1"/>
  <c r="R37" i="4"/>
  <c r="E27" i="6"/>
  <c r="D27" i="6"/>
  <c r="C28" i="6" s="1"/>
  <c r="F26" i="6"/>
  <c r="G26" i="6" s="1"/>
  <c r="X124" i="1" s="1"/>
  <c r="X125" i="1" s="1"/>
  <c r="Q46" i="4"/>
  <c r="D29" i="5"/>
  <c r="C30" i="5" s="1"/>
  <c r="E29" i="5"/>
  <c r="F28" i="5"/>
  <c r="G28" i="5" s="1"/>
  <c r="Q173" i="1" l="1"/>
  <c r="P226" i="8" s="1"/>
  <c r="P223" i="8"/>
  <c r="U10" i="4"/>
  <c r="U97" i="1"/>
  <c r="S15" i="4"/>
  <c r="S41" i="4" s="1"/>
  <c r="R115" i="1"/>
  <c r="S37" i="4"/>
  <c r="R170" i="1"/>
  <c r="S14" i="4"/>
  <c r="S169" i="1"/>
  <c r="R222" i="8" s="1"/>
  <c r="S114" i="1"/>
  <c r="T18" i="4" s="1"/>
  <c r="T44" i="4" s="1"/>
  <c r="S108" i="1"/>
  <c r="S109" i="1" s="1"/>
  <c r="S110" i="1" s="1"/>
  <c r="S111" i="1"/>
  <c r="V90" i="1"/>
  <c r="U91" i="1"/>
  <c r="T106" i="1"/>
  <c r="T100" i="1"/>
  <c r="U6" i="4"/>
  <c r="R110" i="1"/>
  <c r="T11" i="4"/>
  <c r="T62" i="4" s="1"/>
  <c r="T31" i="4"/>
  <c r="T36" i="4" s="1"/>
  <c r="Q116" i="1"/>
  <c r="R40" i="4"/>
  <c r="R48" i="4" s="1"/>
  <c r="R54" i="4" s="1"/>
  <c r="R49" i="4" s="1"/>
  <c r="R63" i="4"/>
  <c r="R64" i="4" s="1"/>
  <c r="E28" i="6"/>
  <c r="D28" i="6"/>
  <c r="C29" i="6" s="1"/>
  <c r="F27" i="6"/>
  <c r="G27" i="6" s="1"/>
  <c r="Y124" i="1" s="1"/>
  <c r="Y125" i="1" s="1"/>
  <c r="F29" i="5"/>
  <c r="G29" i="5" s="1"/>
  <c r="R46" i="4"/>
  <c r="E30" i="5"/>
  <c r="D30" i="5"/>
  <c r="C31" i="5" s="1"/>
  <c r="R173" i="1" l="1"/>
  <c r="Q226" i="8" s="1"/>
  <c r="Q223" i="8"/>
  <c r="V10" i="4"/>
  <c r="V97" i="1"/>
  <c r="R116" i="1"/>
  <c r="T169" i="1"/>
  <c r="S222" i="8" s="1"/>
  <c r="T111" i="1"/>
  <c r="T108" i="1"/>
  <c r="T109" i="1" s="1"/>
  <c r="T110" i="1" s="1"/>
  <c r="T114" i="1"/>
  <c r="U18" i="4" s="1"/>
  <c r="U44" i="4" s="1"/>
  <c r="W90" i="1"/>
  <c r="V91" i="1"/>
  <c r="T37" i="4"/>
  <c r="S115" i="1"/>
  <c r="T15" i="4"/>
  <c r="T41" i="4" s="1"/>
  <c r="S170" i="1"/>
  <c r="T14" i="4"/>
  <c r="U31" i="4"/>
  <c r="U36" i="4" s="1"/>
  <c r="U11" i="4"/>
  <c r="U62" i="4" s="1"/>
  <c r="U106" i="1"/>
  <c r="V6" i="4"/>
  <c r="U100" i="1"/>
  <c r="S63" i="4"/>
  <c r="S64" i="4" s="1"/>
  <c r="S40" i="4"/>
  <c r="S48" i="4" s="1"/>
  <c r="S54" i="4" s="1"/>
  <c r="S49" i="4" s="1"/>
  <c r="F28" i="6"/>
  <c r="G28" i="6" s="1"/>
  <c r="Z124" i="1" s="1"/>
  <c r="Z125" i="1" s="1"/>
  <c r="D29" i="6"/>
  <c r="C30" i="6" s="1"/>
  <c r="E29" i="6"/>
  <c r="E31" i="5"/>
  <c r="D31" i="5"/>
  <c r="C32" i="5" s="1"/>
  <c r="F30" i="5"/>
  <c r="G30" i="5" s="1"/>
  <c r="S46" i="4"/>
  <c r="S173" i="1" l="1"/>
  <c r="R226" i="8" s="1"/>
  <c r="R223" i="8"/>
  <c r="W10" i="4"/>
  <c r="C10" i="4" s="1"/>
  <c r="W97" i="1"/>
  <c r="F29" i="6"/>
  <c r="G29" i="6" s="1"/>
  <c r="AA124" i="1" s="1"/>
  <c r="AA125" i="1" s="1"/>
  <c r="U37" i="4"/>
  <c r="T170" i="1"/>
  <c r="U14" i="4"/>
  <c r="V106" i="1"/>
  <c r="V100" i="1"/>
  <c r="W6" i="4"/>
  <c r="T63" i="4"/>
  <c r="T64" i="4" s="1"/>
  <c r="T40" i="4"/>
  <c r="T48" i="4" s="1"/>
  <c r="T54" i="4" s="1"/>
  <c r="T49" i="4" s="1"/>
  <c r="X90" i="1"/>
  <c r="W91" i="1"/>
  <c r="U169" i="1"/>
  <c r="T222" i="8" s="1"/>
  <c r="U111" i="1"/>
  <c r="U108" i="1"/>
  <c r="U109" i="1" s="1"/>
  <c r="U114" i="1"/>
  <c r="V18" i="4" s="1"/>
  <c r="V44" i="4" s="1"/>
  <c r="S116" i="1"/>
  <c r="V11" i="4"/>
  <c r="V62" i="4" s="1"/>
  <c r="V31" i="4"/>
  <c r="V36" i="4" s="1"/>
  <c r="U15" i="4"/>
  <c r="U41" i="4" s="1"/>
  <c r="T115" i="1"/>
  <c r="E30" i="6"/>
  <c r="D30" i="6"/>
  <c r="C31" i="6" s="1"/>
  <c r="T46" i="4"/>
  <c r="E32" i="5"/>
  <c r="D32" i="5"/>
  <c r="C33" i="5" s="1"/>
  <c r="F31" i="5"/>
  <c r="G31" i="5" s="1"/>
  <c r="T173" i="1" l="1"/>
  <c r="S226" i="8" s="1"/>
  <c r="S223" i="8"/>
  <c r="X97" i="1"/>
  <c r="X10" i="4"/>
  <c r="W11" i="4"/>
  <c r="W62" i="4" s="1"/>
  <c r="W31" i="4"/>
  <c r="W36" i="4" s="1"/>
  <c r="C6" i="4"/>
  <c r="C11" i="4" s="1"/>
  <c r="U170" i="1"/>
  <c r="V14" i="4"/>
  <c r="W106" i="1"/>
  <c r="W100" i="1"/>
  <c r="X6" i="4"/>
  <c r="V169" i="1"/>
  <c r="U222" i="8" s="1"/>
  <c r="V114" i="1"/>
  <c r="W18" i="4" s="1"/>
  <c r="V108" i="1"/>
  <c r="V109" i="1" s="1"/>
  <c r="V110" i="1" s="1"/>
  <c r="V111" i="1"/>
  <c r="T116" i="1"/>
  <c r="U110" i="1"/>
  <c r="Y90" i="1"/>
  <c r="X91" i="1"/>
  <c r="U40" i="4"/>
  <c r="U48" i="4" s="1"/>
  <c r="U54" i="4" s="1"/>
  <c r="U49" i="4" s="1"/>
  <c r="U63" i="4"/>
  <c r="U64" i="4" s="1"/>
  <c r="U115" i="1"/>
  <c r="V15" i="4"/>
  <c r="V41" i="4" s="1"/>
  <c r="D31" i="6"/>
  <c r="C32" i="6" s="1"/>
  <c r="E31" i="6"/>
  <c r="F30" i="6"/>
  <c r="G30" i="6" s="1"/>
  <c r="AB124" i="1" s="1"/>
  <c r="AB125" i="1" s="1"/>
  <c r="E33" i="5"/>
  <c r="D33" i="5"/>
  <c r="C34" i="5" s="1"/>
  <c r="F32" i="5"/>
  <c r="G32" i="5" s="1"/>
  <c r="U46" i="4"/>
  <c r="U173" i="1" l="1"/>
  <c r="T226" i="8" s="1"/>
  <c r="T223" i="8"/>
  <c r="Y97" i="1"/>
  <c r="Y10" i="4"/>
  <c r="U116" i="1"/>
  <c r="X11" i="4"/>
  <c r="X62" i="4" s="1"/>
  <c r="X31" i="4"/>
  <c r="W169" i="1"/>
  <c r="W111" i="1"/>
  <c r="W114" i="1"/>
  <c r="X18" i="4" s="1"/>
  <c r="X44" i="4" s="1"/>
  <c r="W108" i="1"/>
  <c r="W109" i="1" s="1"/>
  <c r="W110" i="1" s="1"/>
  <c r="C36" i="4"/>
  <c r="C31" i="4"/>
  <c r="V115" i="1"/>
  <c r="W15" i="4"/>
  <c r="V37" i="4"/>
  <c r="W44" i="4"/>
  <c r="C44" i="4" s="1"/>
  <c r="C18" i="4"/>
  <c r="V63" i="4"/>
  <c r="V64" i="4" s="1"/>
  <c r="V40" i="4"/>
  <c r="V48" i="4" s="1"/>
  <c r="V54" i="4" s="1"/>
  <c r="V49" i="4" s="1"/>
  <c r="V170" i="1"/>
  <c r="W14" i="4"/>
  <c r="Y6" i="4"/>
  <c r="X100" i="1"/>
  <c r="X106" i="1"/>
  <c r="Z90" i="1"/>
  <c r="Y91" i="1"/>
  <c r="D32" i="6"/>
  <c r="C33" i="6" s="1"/>
  <c r="E32" i="6"/>
  <c r="F31" i="6"/>
  <c r="G31" i="6" s="1"/>
  <c r="AC124" i="1" s="1"/>
  <c r="AC125" i="1" s="1"/>
  <c r="V46" i="4"/>
  <c r="E34" i="5"/>
  <c r="D34" i="5"/>
  <c r="C35" i="5" s="1"/>
  <c r="F33" i="5"/>
  <c r="G33" i="5" s="1"/>
  <c r="V173" i="1" l="1"/>
  <c r="U226" i="8" s="1"/>
  <c r="U223" i="8"/>
  <c r="Z10" i="4"/>
  <c r="Z97" i="1"/>
  <c r="X36" i="4"/>
  <c r="X37" i="4" s="1"/>
  <c r="X169" i="1"/>
  <c r="X114" i="1"/>
  <c r="Y18" i="4" s="1"/>
  <c r="Y44" i="4" s="1"/>
  <c r="X108" i="1"/>
  <c r="X109" i="1" s="1"/>
  <c r="X110" i="1" s="1"/>
  <c r="X111" i="1"/>
  <c r="Y31" i="4"/>
  <c r="Y11" i="4"/>
  <c r="Y62" i="4" s="1"/>
  <c r="C37" i="4"/>
  <c r="W170" i="1"/>
  <c r="W173" i="1" s="1"/>
  <c r="X14" i="4"/>
  <c r="Y106" i="1"/>
  <c r="Y100" i="1"/>
  <c r="Z6" i="4"/>
  <c r="W63" i="4"/>
  <c r="W64" i="4" s="1"/>
  <c r="W40" i="4"/>
  <c r="C14" i="4"/>
  <c r="W41" i="4"/>
  <c r="C41" i="4" s="1"/>
  <c r="C15" i="4"/>
  <c r="W37" i="4"/>
  <c r="X15" i="4"/>
  <c r="X41" i="4" s="1"/>
  <c r="W115" i="1"/>
  <c r="AA90" i="1"/>
  <c r="Z91" i="1"/>
  <c r="V116" i="1"/>
  <c r="F32" i="6"/>
  <c r="G32" i="6" s="1"/>
  <c r="AD124" i="1" s="1"/>
  <c r="AD125" i="1" s="1"/>
  <c r="D33" i="6"/>
  <c r="C34" i="6" s="1"/>
  <c r="E33" i="6"/>
  <c r="F34" i="5"/>
  <c r="G34" i="5" s="1"/>
  <c r="D35" i="5"/>
  <c r="C36" i="5" s="1"/>
  <c r="E35" i="5"/>
  <c r="W46" i="4"/>
  <c r="AA10" i="4" l="1"/>
  <c r="AA97" i="1"/>
  <c r="Z106" i="1"/>
  <c r="Z100" i="1"/>
  <c r="AA6" i="4"/>
  <c r="AB90" i="1"/>
  <c r="AA91" i="1"/>
  <c r="Y169" i="1"/>
  <c r="Y114" i="1"/>
  <c r="Z18" i="4" s="1"/>
  <c r="Z44" i="4" s="1"/>
  <c r="Y108" i="1"/>
  <c r="Y109" i="1" s="1"/>
  <c r="Y110" i="1" s="1"/>
  <c r="Y111" i="1"/>
  <c r="X63" i="4"/>
  <c r="X64" i="4" s="1"/>
  <c r="X40" i="4"/>
  <c r="X48" i="4" s="1"/>
  <c r="X54" i="4" s="1"/>
  <c r="X49" i="4" s="1"/>
  <c r="Y15" i="4"/>
  <c r="Y41" i="4" s="1"/>
  <c r="X115" i="1"/>
  <c r="X170" i="1"/>
  <c r="X173" i="1" s="1"/>
  <c r="Y14" i="4"/>
  <c r="W116" i="1"/>
  <c r="W48" i="4"/>
  <c r="C40" i="4"/>
  <c r="Y36" i="4"/>
  <c r="Y37" i="4" s="1"/>
  <c r="Z31" i="4"/>
  <c r="Z11" i="4"/>
  <c r="Z62" i="4" s="1"/>
  <c r="F33" i="6"/>
  <c r="G33" i="6" s="1"/>
  <c r="AE124" i="1" s="1"/>
  <c r="AE125" i="1" s="1"/>
  <c r="E34" i="6"/>
  <c r="D34" i="6"/>
  <c r="C35" i="6" s="1"/>
  <c r="X46" i="4"/>
  <c r="C46" i="4"/>
  <c r="F35" i="5"/>
  <c r="G35" i="5" s="1"/>
  <c r="D36" i="5"/>
  <c r="C37" i="5" s="1"/>
  <c r="E36" i="5"/>
  <c r="AB10" i="4" l="1"/>
  <c r="AB97" i="1"/>
  <c r="W54" i="4"/>
  <c r="W49" i="4" s="1"/>
  <c r="Y40" i="4"/>
  <c r="Y48" i="4" s="1"/>
  <c r="Y54" i="4" s="1"/>
  <c r="Y49" i="4" s="1"/>
  <c r="Y63" i="4"/>
  <c r="Y64" i="4" s="1"/>
  <c r="AA31" i="4"/>
  <c r="AA11" i="4"/>
  <c r="AA62" i="4" s="1"/>
  <c r="Z36" i="4"/>
  <c r="Z37" i="4" s="1"/>
  <c r="Z169" i="1"/>
  <c r="Z108" i="1"/>
  <c r="Z109" i="1" s="1"/>
  <c r="Z110" i="1" s="1"/>
  <c r="Z111" i="1"/>
  <c r="Z114" i="1"/>
  <c r="AA18" i="4" s="1"/>
  <c r="AA44" i="4" s="1"/>
  <c r="X116" i="1"/>
  <c r="AA100" i="1"/>
  <c r="AB6" i="4"/>
  <c r="AA106" i="1"/>
  <c r="AB91" i="1"/>
  <c r="AC90" i="1"/>
  <c r="Y170" i="1"/>
  <c r="Y173" i="1" s="1"/>
  <c r="Z14" i="4"/>
  <c r="Y115" i="1"/>
  <c r="Z15" i="4"/>
  <c r="Z41" i="4" s="1"/>
  <c r="F34" i="6"/>
  <c r="G34" i="6" s="1"/>
  <c r="AF124" i="1" s="1"/>
  <c r="AF125" i="1" s="1"/>
  <c r="E35" i="6"/>
  <c r="D35" i="6"/>
  <c r="C36" i="6" s="1"/>
  <c r="F36" i="5"/>
  <c r="G36" i="5" s="1"/>
  <c r="E37" i="5"/>
  <c r="D37" i="5"/>
  <c r="C38" i="5" s="1"/>
  <c r="Y46" i="4"/>
  <c r="AC10" i="4" l="1"/>
  <c r="AC97" i="1"/>
  <c r="AD90" i="1"/>
  <c r="AC91" i="1"/>
  <c r="AB31" i="4"/>
  <c r="AB11" i="4"/>
  <c r="AB62" i="4" s="1"/>
  <c r="Z40" i="4"/>
  <c r="Z48" i="4" s="1"/>
  <c r="Z54" i="4" s="1"/>
  <c r="Z49" i="4" s="1"/>
  <c r="Z63" i="4"/>
  <c r="Z64" i="4" s="1"/>
  <c r="AA169" i="1"/>
  <c r="AA111" i="1"/>
  <c r="AA108" i="1"/>
  <c r="AA109" i="1" s="1"/>
  <c r="AA114" i="1"/>
  <c r="AB18" i="4" s="1"/>
  <c r="AB44" i="4" s="1"/>
  <c r="AA36" i="4"/>
  <c r="AA37" i="4" s="1"/>
  <c r="Z115" i="1"/>
  <c r="AA15" i="4"/>
  <c r="AA41" i="4" s="1"/>
  <c r="Z170" i="1"/>
  <c r="Z173" i="1" s="1"/>
  <c r="AA14" i="4"/>
  <c r="AB106" i="1"/>
  <c r="AC6" i="4"/>
  <c r="AB100" i="1"/>
  <c r="Y116" i="1"/>
  <c r="F35" i="6"/>
  <c r="G35" i="6" s="1"/>
  <c r="E36" i="6"/>
  <c r="D36" i="6"/>
  <c r="C37" i="6" s="1"/>
  <c r="Z46" i="4"/>
  <c r="E38" i="5"/>
  <c r="D38" i="5"/>
  <c r="C39" i="5" s="1"/>
  <c r="F37" i="5"/>
  <c r="G37" i="5" s="1"/>
  <c r="AD10" i="4" l="1"/>
  <c r="AD97" i="1"/>
  <c r="AA170" i="1"/>
  <c r="AA173" i="1" s="1"/>
  <c r="AB14" i="4"/>
  <c r="AA110" i="1"/>
  <c r="AB36" i="4"/>
  <c r="AC106" i="1"/>
  <c r="AC100" i="1"/>
  <c r="AD6" i="4"/>
  <c r="AB169" i="1"/>
  <c r="AB108" i="1"/>
  <c r="AB109" i="1" s="1"/>
  <c r="AB114" i="1"/>
  <c r="AC18" i="4" s="1"/>
  <c r="AC44" i="4" s="1"/>
  <c r="AB111" i="1"/>
  <c r="AE90" i="1"/>
  <c r="AD91" i="1"/>
  <c r="AC11" i="4"/>
  <c r="AC62" i="4" s="1"/>
  <c r="AC31" i="4"/>
  <c r="Z116" i="1"/>
  <c r="AA40" i="4"/>
  <c r="AA48" i="4" s="1"/>
  <c r="AA54" i="4" s="1"/>
  <c r="AA49" i="4" s="1"/>
  <c r="AA63" i="4"/>
  <c r="AA64" i="4" s="1"/>
  <c r="AB15" i="4"/>
  <c r="AB41" i="4" s="1"/>
  <c r="AA115" i="1"/>
  <c r="F36" i="6"/>
  <c r="G36" i="6" s="1"/>
  <c r="E37" i="6"/>
  <c r="D37" i="6"/>
  <c r="C38" i="6" s="1"/>
  <c r="F38" i="5"/>
  <c r="G38" i="5" s="1"/>
  <c r="D39" i="5"/>
  <c r="C40" i="5" s="1"/>
  <c r="E39" i="5"/>
  <c r="AA46" i="4"/>
  <c r="AE10" i="4" l="1"/>
  <c r="AE97" i="1"/>
  <c r="AB170" i="1"/>
  <c r="AB173" i="1" s="1"/>
  <c r="AC14" i="4"/>
  <c r="AB110" i="1"/>
  <c r="AD106" i="1"/>
  <c r="AD100" i="1"/>
  <c r="AE6" i="4"/>
  <c r="AF90" i="1"/>
  <c r="AF91" i="1" s="1"/>
  <c r="AE91" i="1"/>
  <c r="AD31" i="4"/>
  <c r="AD11" i="4"/>
  <c r="AD62" i="4" s="1"/>
  <c r="AC169" i="1"/>
  <c r="AC111" i="1"/>
  <c r="AC114" i="1"/>
  <c r="AD18" i="4" s="1"/>
  <c r="AD44" i="4" s="1"/>
  <c r="AC108" i="1"/>
  <c r="AC109" i="1" s="1"/>
  <c r="AC110" i="1" s="1"/>
  <c r="AA116" i="1"/>
  <c r="AC36" i="4"/>
  <c r="AC37" i="4" s="1"/>
  <c r="AB63" i="4"/>
  <c r="AB64" i="4" s="1"/>
  <c r="AB40" i="4"/>
  <c r="AB48" i="4" s="1"/>
  <c r="AB54" i="4" s="1"/>
  <c r="AB49" i="4" s="1"/>
  <c r="AC15" i="4"/>
  <c r="AC41" i="4" s="1"/>
  <c r="AB115" i="1"/>
  <c r="AB37" i="4"/>
  <c r="F37" i="6"/>
  <c r="G37" i="6" s="1"/>
  <c r="D38" i="6"/>
  <c r="C39" i="6" s="1"/>
  <c r="E38" i="6"/>
  <c r="AB46" i="4"/>
  <c r="F39" i="5"/>
  <c r="G39" i="5" s="1"/>
  <c r="D40" i="5"/>
  <c r="C41" i="5" s="1"/>
  <c r="E40" i="5"/>
  <c r="AF10" i="4" l="1"/>
  <c r="AF97" i="1"/>
  <c r="AB116" i="1"/>
  <c r="AD36" i="4"/>
  <c r="AD37" i="4" s="1"/>
  <c r="AE11" i="4"/>
  <c r="AE62" i="4" s="1"/>
  <c r="AE31" i="4"/>
  <c r="AC40" i="4"/>
  <c r="AC48" i="4" s="1"/>
  <c r="AC54" i="4" s="1"/>
  <c r="AC49" i="4" s="1"/>
  <c r="AC63" i="4"/>
  <c r="AC64" i="4" s="1"/>
  <c r="AE106" i="1"/>
  <c r="AE100" i="1"/>
  <c r="AF6" i="4"/>
  <c r="AC170" i="1"/>
  <c r="AC173" i="1" s="1"/>
  <c r="AD14" i="4"/>
  <c r="AF106" i="1"/>
  <c r="AG6" i="4"/>
  <c r="AD169" i="1"/>
  <c r="AD114" i="1"/>
  <c r="AE18" i="4" s="1"/>
  <c r="AE44" i="4" s="1"/>
  <c r="AD108" i="1"/>
  <c r="AD109" i="1" s="1"/>
  <c r="AD110" i="1" s="1"/>
  <c r="AD111" i="1"/>
  <c r="AD15" i="4"/>
  <c r="AD41" i="4" s="1"/>
  <c r="AC115" i="1"/>
  <c r="F40" i="5"/>
  <c r="G40" i="5" s="1"/>
  <c r="F38" i="6"/>
  <c r="G38" i="6" s="1"/>
  <c r="D39" i="6"/>
  <c r="C40" i="6" s="1"/>
  <c r="E39" i="6"/>
  <c r="E41" i="5"/>
  <c r="D41" i="5"/>
  <c r="C42" i="5" s="1"/>
  <c r="AC46" i="4"/>
  <c r="AF100" i="1" l="1"/>
  <c r="AF169" i="1" s="1"/>
  <c r="AE114" i="1"/>
  <c r="AF18" i="4" s="1"/>
  <c r="AF44" i="4" s="1"/>
  <c r="AE169" i="1"/>
  <c r="AE111" i="1"/>
  <c r="AE108" i="1"/>
  <c r="AE109" i="1" s="1"/>
  <c r="AF114" i="1"/>
  <c r="AG18" i="4" s="1"/>
  <c r="AG44" i="4" s="1"/>
  <c r="AG31" i="4"/>
  <c r="AE15" i="4"/>
  <c r="AE41" i="4" s="1"/>
  <c r="AD115" i="1"/>
  <c r="AD63" i="4"/>
  <c r="AD64" i="4" s="1"/>
  <c r="AD40" i="4"/>
  <c r="AD48" i="4" s="1"/>
  <c r="AD54" i="4" s="1"/>
  <c r="AD49" i="4" s="1"/>
  <c r="AC116" i="1"/>
  <c r="AD170" i="1"/>
  <c r="AD173" i="1" s="1"/>
  <c r="AE14" i="4"/>
  <c r="AF31" i="4"/>
  <c r="AF11" i="4"/>
  <c r="AF62" i="4" s="1"/>
  <c r="AE36" i="4"/>
  <c r="AE37" i="4" s="1"/>
  <c r="F41" i="5"/>
  <c r="G41" i="5" s="1"/>
  <c r="F39" i="6"/>
  <c r="G39" i="6" s="1"/>
  <c r="D40" i="6"/>
  <c r="C41" i="6" s="1"/>
  <c r="E40" i="6"/>
  <c r="AD46" i="4"/>
  <c r="D42" i="5"/>
  <c r="C43" i="5" s="1"/>
  <c r="E42" i="5"/>
  <c r="AF111" i="1" l="1"/>
  <c r="AF115" i="1" s="1"/>
  <c r="AF108" i="1"/>
  <c r="AF109" i="1" s="1"/>
  <c r="AF110" i="1" s="1"/>
  <c r="AG10" i="4"/>
  <c r="AG11" i="4" s="1"/>
  <c r="AG62" i="4" s="1"/>
  <c r="AE40" i="4"/>
  <c r="AE48" i="4" s="1"/>
  <c r="AE54" i="4" s="1"/>
  <c r="AE49" i="4" s="1"/>
  <c r="AE63" i="4"/>
  <c r="AE64" i="4" s="1"/>
  <c r="AF15" i="4"/>
  <c r="AF41" i="4" s="1"/>
  <c r="AE115" i="1"/>
  <c r="AG36" i="4"/>
  <c r="AG37" i="4" s="1"/>
  <c r="AD116" i="1"/>
  <c r="AF36" i="4"/>
  <c r="AF37" i="4" s="1"/>
  <c r="AE170" i="1"/>
  <c r="AE173" i="1" s="1"/>
  <c r="AF14" i="4"/>
  <c r="AE110" i="1"/>
  <c r="AG15" i="4"/>
  <c r="AG41" i="4" s="1"/>
  <c r="F42" i="5"/>
  <c r="G42" i="5" s="1"/>
  <c r="F40" i="6"/>
  <c r="G40" i="6" s="1"/>
  <c r="D41" i="6"/>
  <c r="C42" i="6" s="1"/>
  <c r="E41" i="6"/>
  <c r="D43" i="5"/>
  <c r="C44" i="5" s="1"/>
  <c r="E43" i="5"/>
  <c r="AE46" i="4"/>
  <c r="AG14" i="4" l="1"/>
  <c r="AG40" i="4" s="1"/>
  <c r="AG48" i="4" s="1"/>
  <c r="AG54" i="4" s="1"/>
  <c r="AG49" i="4" s="1"/>
  <c r="AF170" i="1"/>
  <c r="AF173" i="1" s="1"/>
  <c r="AE116" i="1"/>
  <c r="AF116" i="1"/>
  <c r="AF40" i="4"/>
  <c r="AF48" i="4" s="1"/>
  <c r="AF54" i="4" s="1"/>
  <c r="AF49" i="4" s="1"/>
  <c r="AF63" i="4"/>
  <c r="AF64" i="4" s="1"/>
  <c r="F41" i="6"/>
  <c r="G41" i="6" s="1"/>
  <c r="F43" i="5"/>
  <c r="G43" i="5" s="1"/>
  <c r="E42" i="6"/>
  <c r="D42" i="6"/>
  <c r="C43" i="6" s="1"/>
  <c r="AF46" i="4"/>
  <c r="E44" i="5"/>
  <c r="D44" i="5"/>
  <c r="C45" i="5" s="1"/>
  <c r="AG63" i="4" l="1"/>
  <c r="AG64" i="4" s="1"/>
  <c r="E43" i="6"/>
  <c r="D43" i="6"/>
  <c r="C44" i="6" s="1"/>
  <c r="F42" i="6"/>
  <c r="G42" i="6" s="1"/>
  <c r="F44" i="5"/>
  <c r="G44" i="5" s="1"/>
  <c r="D45" i="5"/>
  <c r="C46" i="5" s="1"/>
  <c r="E45" i="5"/>
  <c r="AG46" i="4"/>
  <c r="F43" i="6" l="1"/>
  <c r="G43" i="6" s="1"/>
  <c r="E44" i="6"/>
  <c r="D44" i="6"/>
  <c r="C45" i="6" s="1"/>
  <c r="F45" i="5"/>
  <c r="G45" i="5" s="1"/>
  <c r="E46" i="5"/>
  <c r="D46" i="5"/>
  <c r="C47" i="5" s="1"/>
  <c r="F44" i="6" l="1"/>
  <c r="G44" i="6" s="1"/>
  <c r="D45" i="6"/>
  <c r="C46" i="6" s="1"/>
  <c r="E45" i="6"/>
  <c r="F46" i="5"/>
  <c r="G46" i="5" s="1"/>
  <c r="D47" i="5"/>
  <c r="C48" i="5" s="1"/>
  <c r="E47" i="5"/>
  <c r="F47" i="5" l="1"/>
  <c r="G47" i="5" s="1"/>
  <c r="F45" i="6"/>
  <c r="G45" i="6" s="1"/>
  <c r="D46" i="6"/>
  <c r="C47" i="6" s="1"/>
  <c r="E46" i="6"/>
  <c r="E48" i="5"/>
  <c r="D48" i="5"/>
  <c r="C49" i="5" s="1"/>
  <c r="F46" i="6" l="1"/>
  <c r="G46" i="6" s="1"/>
  <c r="D47" i="6"/>
  <c r="C48" i="6" s="1"/>
  <c r="E47" i="6"/>
  <c r="D49" i="5"/>
  <c r="C50" i="5" s="1"/>
  <c r="E49" i="5"/>
  <c r="F48" i="5"/>
  <c r="G48" i="5" s="1"/>
  <c r="F47" i="6" l="1"/>
  <c r="G47" i="6" s="1"/>
  <c r="F49" i="5"/>
  <c r="G49" i="5" s="1"/>
  <c r="D48" i="6"/>
  <c r="C49" i="6" s="1"/>
  <c r="E48" i="6"/>
  <c r="E50" i="5"/>
  <c r="D50" i="5"/>
  <c r="C51" i="5" s="1"/>
  <c r="D49" i="6" l="1"/>
  <c r="C50" i="6" s="1"/>
  <c r="E49" i="6"/>
  <c r="F48" i="6"/>
  <c r="G48" i="6" s="1"/>
  <c r="D51" i="5"/>
  <c r="C52" i="5" s="1"/>
  <c r="E51" i="5"/>
  <c r="F50" i="5"/>
  <c r="G50" i="5" s="1"/>
  <c r="F49" i="6" l="1"/>
  <c r="G49" i="6" s="1"/>
  <c r="E50" i="6"/>
  <c r="D50" i="6"/>
  <c r="C51" i="6" s="1"/>
  <c r="F51" i="5"/>
  <c r="G51" i="5" s="1"/>
  <c r="D52" i="5"/>
  <c r="C53" i="5" s="1"/>
  <c r="E52" i="5"/>
  <c r="F52" i="5" l="1"/>
  <c r="G52" i="5" s="1"/>
  <c r="D51" i="6"/>
  <c r="C52" i="6" s="1"/>
  <c r="E51" i="6"/>
  <c r="F50" i="6"/>
  <c r="G50" i="6" s="1"/>
  <c r="D53" i="5"/>
  <c r="C54" i="5" s="1"/>
  <c r="E53" i="5"/>
  <c r="F53" i="5" l="1"/>
  <c r="G53" i="5" s="1"/>
  <c r="F51" i="6"/>
  <c r="G51" i="6" s="1"/>
  <c r="D52" i="6"/>
  <c r="C53" i="6" s="1"/>
  <c r="E52" i="6"/>
  <c r="E54" i="5"/>
  <c r="D54" i="5"/>
  <c r="C55" i="5" s="1"/>
  <c r="F54" i="5" l="1"/>
  <c r="G54" i="5" s="1"/>
  <c r="D53" i="6"/>
  <c r="C54" i="6" s="1"/>
  <c r="E53" i="6"/>
  <c r="F52" i="6"/>
  <c r="G52" i="6" s="1"/>
  <c r="D55" i="5"/>
  <c r="C56" i="5" s="1"/>
  <c r="E55" i="5"/>
  <c r="F55" i="5" l="1"/>
  <c r="G55" i="5" s="1"/>
  <c r="F53" i="6"/>
  <c r="G53" i="6" s="1"/>
  <c r="D54" i="6"/>
  <c r="C55" i="6" s="1"/>
  <c r="E54" i="6"/>
  <c r="D56" i="5"/>
  <c r="C57" i="5" s="1"/>
  <c r="E56" i="5"/>
  <c r="F54" i="6" l="1"/>
  <c r="G54" i="6" s="1"/>
  <c r="E55" i="6"/>
  <c r="D55" i="6"/>
  <c r="C56" i="6" s="1"/>
  <c r="F56" i="5"/>
  <c r="G56" i="5" s="1"/>
  <c r="E57" i="5"/>
  <c r="D57" i="5"/>
  <c r="C58" i="5" s="1"/>
  <c r="F55" i="6" l="1"/>
  <c r="G55" i="6" s="1"/>
  <c r="E56" i="6"/>
  <c r="D56" i="6"/>
  <c r="C57" i="6" s="1"/>
  <c r="F57" i="5"/>
  <c r="G57" i="5" s="1"/>
  <c r="D58" i="5"/>
  <c r="C59" i="5" s="1"/>
  <c r="E58" i="5"/>
  <c r="F58" i="5" l="1"/>
  <c r="G58" i="5" s="1"/>
  <c r="E57" i="6"/>
  <c r="D57" i="6"/>
  <c r="C58" i="6" s="1"/>
  <c r="F56" i="6"/>
  <c r="G56" i="6" s="1"/>
  <c r="D59" i="5"/>
  <c r="C60" i="5" s="1"/>
  <c r="E59" i="5"/>
  <c r="F57" i="6" l="1"/>
  <c r="G57" i="6" s="1"/>
  <c r="E58" i="6"/>
  <c r="D58" i="6"/>
  <c r="C59" i="6" s="1"/>
  <c r="D60" i="5"/>
  <c r="C61" i="5" s="1"/>
  <c r="E60" i="5"/>
  <c r="F59" i="5"/>
  <c r="G59" i="5" s="1"/>
  <c r="F58" i="6" l="1"/>
  <c r="G58" i="6" s="1"/>
  <c r="E59" i="6"/>
  <c r="D59" i="6"/>
  <c r="C60" i="6" s="1"/>
  <c r="E61" i="5"/>
  <c r="D61" i="5"/>
  <c r="C62" i="5" s="1"/>
  <c r="F60" i="5"/>
  <c r="G60" i="5" s="1"/>
  <c r="F61" i="5" l="1"/>
  <c r="G61" i="5" s="1"/>
  <c r="E60" i="6"/>
  <c r="D60" i="6"/>
  <c r="C61" i="6" s="1"/>
  <c r="F59" i="6"/>
  <c r="G59" i="6" s="1"/>
  <c r="E62" i="5"/>
  <c r="D62" i="5"/>
  <c r="C63" i="5" s="1"/>
  <c r="F60" i="6" l="1"/>
  <c r="G60" i="6" s="1"/>
  <c r="D61" i="6"/>
  <c r="C62" i="6" s="1"/>
  <c r="E61" i="6"/>
  <c r="F62" i="5"/>
  <c r="G62" i="5" s="1"/>
  <c r="D63" i="5"/>
  <c r="C64" i="5" s="1"/>
  <c r="E63" i="5"/>
  <c r="F63" i="5" l="1"/>
  <c r="G63" i="5" s="1"/>
  <c r="F61" i="6"/>
  <c r="G61" i="6" s="1"/>
  <c r="E62" i="6"/>
  <c r="D62" i="6"/>
  <c r="C63" i="6" s="1"/>
  <c r="D64" i="5"/>
  <c r="C65" i="5" s="1"/>
  <c r="E64" i="5"/>
  <c r="F64" i="5" l="1"/>
  <c r="G64" i="5" s="1"/>
  <c r="F62" i="6"/>
  <c r="G62" i="6" s="1"/>
  <c r="E63" i="6"/>
  <c r="D63" i="6"/>
  <c r="C64" i="6" s="1"/>
  <c r="E65" i="5"/>
  <c r="D65" i="5"/>
  <c r="C66" i="5" s="1"/>
  <c r="E64" i="6" l="1"/>
  <c r="D64" i="6"/>
  <c r="C65" i="6" s="1"/>
  <c r="F63" i="6"/>
  <c r="G63" i="6" s="1"/>
  <c r="D66" i="5"/>
  <c r="C67" i="5" s="1"/>
  <c r="E66" i="5"/>
  <c r="F65" i="5"/>
  <c r="G65" i="5" s="1"/>
  <c r="F66" i="5" l="1"/>
  <c r="G66" i="5" s="1"/>
  <c r="D65" i="6"/>
  <c r="C66" i="6" s="1"/>
  <c r="E65" i="6"/>
  <c r="F64" i="6"/>
  <c r="G64" i="6" s="1"/>
  <c r="D67" i="5"/>
  <c r="C68" i="5" s="1"/>
  <c r="E67" i="5"/>
  <c r="F67" i="5" l="1"/>
  <c r="G67" i="5" s="1"/>
  <c r="F65" i="6"/>
  <c r="G65" i="6" s="1"/>
  <c r="D66" i="6"/>
  <c r="C67" i="6" s="1"/>
  <c r="E66" i="6"/>
  <c r="D68" i="5"/>
  <c r="C69" i="5" s="1"/>
  <c r="E68" i="5"/>
  <c r="E67" i="6" l="1"/>
  <c r="D67" i="6"/>
  <c r="C68" i="6" s="1"/>
  <c r="F66" i="6"/>
  <c r="G66" i="6" s="1"/>
  <c r="E69" i="5"/>
  <c r="D69" i="5"/>
  <c r="C70" i="5" s="1"/>
  <c r="F68" i="5"/>
  <c r="G68" i="5" s="1"/>
  <c r="F67" i="6" l="1"/>
  <c r="G67" i="6" s="1"/>
  <c r="E68" i="6"/>
  <c r="D68" i="6"/>
  <c r="C69" i="6" s="1"/>
  <c r="D70" i="5"/>
  <c r="C71" i="5" s="1"/>
  <c r="E70" i="5"/>
  <c r="F69" i="5"/>
  <c r="G69" i="5" s="1"/>
  <c r="D69" i="6" l="1"/>
  <c r="C70" i="6" s="1"/>
  <c r="E69" i="6"/>
  <c r="F68" i="6"/>
  <c r="G68" i="6" s="1"/>
  <c r="E71" i="5"/>
  <c r="D71" i="5"/>
  <c r="C72" i="5" s="1"/>
  <c r="F70" i="5"/>
  <c r="G70" i="5" s="1"/>
  <c r="D70" i="6" l="1"/>
  <c r="C71" i="6" s="1"/>
  <c r="E70" i="6"/>
  <c r="F69" i="6"/>
  <c r="G69" i="6" s="1"/>
  <c r="F71" i="5"/>
  <c r="G71" i="5" s="1"/>
  <c r="D72" i="5"/>
  <c r="C73" i="5" s="1"/>
  <c r="E72" i="5"/>
  <c r="F72" i="5" l="1"/>
  <c r="G72" i="5" s="1"/>
  <c r="F70" i="6"/>
  <c r="G70" i="6" s="1"/>
  <c r="E71" i="6"/>
  <c r="D71" i="6"/>
  <c r="C72" i="6" s="1"/>
  <c r="E73" i="5"/>
  <c r="D73" i="5"/>
  <c r="C74" i="5" s="1"/>
  <c r="E72" i="6" l="1"/>
  <c r="D72" i="6"/>
  <c r="C73" i="6" s="1"/>
  <c r="F71" i="6"/>
  <c r="G71" i="6" s="1"/>
  <c r="E74" i="5"/>
  <c r="D74" i="5"/>
  <c r="C75" i="5" s="1"/>
  <c r="F73" i="5"/>
  <c r="G73" i="5" s="1"/>
  <c r="F72" i="6" l="1"/>
  <c r="G72" i="6" s="1"/>
  <c r="E73" i="6"/>
  <c r="D73" i="6"/>
  <c r="C74" i="6" s="1"/>
  <c r="E75" i="5"/>
  <c r="D75" i="5"/>
  <c r="C76" i="5" s="1"/>
  <c r="F74" i="5"/>
  <c r="G74" i="5" s="1"/>
  <c r="E74" i="6" l="1"/>
  <c r="D74" i="6"/>
  <c r="C75" i="6" s="1"/>
  <c r="F73" i="6"/>
  <c r="G73" i="6" s="1"/>
  <c r="F75" i="5"/>
  <c r="G75" i="5" s="1"/>
  <c r="D76" i="5"/>
  <c r="C77" i="5" s="1"/>
  <c r="E76" i="5"/>
  <c r="E75" i="6" l="1"/>
  <c r="D75" i="6"/>
  <c r="C76" i="6" s="1"/>
  <c r="F74" i="6"/>
  <c r="G74" i="6" s="1"/>
  <c r="D77" i="5"/>
  <c r="C78" i="5" s="1"/>
  <c r="E77" i="5"/>
  <c r="F76" i="5"/>
  <c r="G76" i="5" s="1"/>
  <c r="D76" i="6" l="1"/>
  <c r="C77" i="6" s="1"/>
  <c r="E76" i="6"/>
  <c r="F75" i="6"/>
  <c r="G75" i="6" s="1"/>
  <c r="D78" i="5"/>
  <c r="C79" i="5" s="1"/>
  <c r="E78" i="5"/>
  <c r="F77" i="5"/>
  <c r="G77" i="5" s="1"/>
  <c r="D77" i="6" l="1"/>
  <c r="C78" i="6" s="1"/>
  <c r="E77" i="6"/>
  <c r="F76" i="6"/>
  <c r="G76" i="6" s="1"/>
  <c r="F78" i="5"/>
  <c r="G78" i="5" s="1"/>
  <c r="E79" i="5"/>
  <c r="D79" i="5"/>
  <c r="C80" i="5" s="1"/>
  <c r="F77" i="6" l="1"/>
  <c r="G77" i="6" s="1"/>
  <c r="E78" i="6"/>
  <c r="D78" i="6"/>
  <c r="C79" i="6" s="1"/>
  <c r="E80" i="5"/>
  <c r="D80" i="5"/>
  <c r="C81" i="5" s="1"/>
  <c r="F79" i="5"/>
  <c r="G79" i="5" s="1"/>
  <c r="D79" i="6" l="1"/>
  <c r="C80" i="6" s="1"/>
  <c r="E79" i="6"/>
  <c r="F78" i="6"/>
  <c r="G78" i="6" s="1"/>
  <c r="D81" i="5"/>
  <c r="C82" i="5" s="1"/>
  <c r="E81" i="5"/>
  <c r="F80" i="5"/>
  <c r="G80" i="5" s="1"/>
  <c r="F79" i="6" l="1"/>
  <c r="G79" i="6" s="1"/>
  <c r="E80" i="6"/>
  <c r="D80" i="6"/>
  <c r="C81" i="6" s="1"/>
  <c r="E82" i="5"/>
  <c r="D82" i="5"/>
  <c r="C83" i="5" s="1"/>
  <c r="F81" i="5"/>
  <c r="G81" i="5" s="1"/>
  <c r="F80" i="6" l="1"/>
  <c r="G80" i="6" s="1"/>
  <c r="D81" i="6"/>
  <c r="C82" i="6" s="1"/>
  <c r="E81" i="6"/>
  <c r="F82" i="5"/>
  <c r="G82" i="5" s="1"/>
  <c r="E83" i="5"/>
  <c r="D83" i="5"/>
  <c r="C84" i="5" s="1"/>
  <c r="F81" i="6" l="1"/>
  <c r="G81" i="6" s="1"/>
  <c r="D82" i="6"/>
  <c r="C83" i="6" s="1"/>
  <c r="E82" i="6"/>
  <c r="E84" i="5"/>
  <c r="D84" i="5"/>
  <c r="C85" i="5" s="1"/>
  <c r="F83" i="5"/>
  <c r="G83" i="5" s="1"/>
  <c r="F82" i="6" l="1"/>
  <c r="G82" i="6" s="1"/>
  <c r="D83" i="6"/>
  <c r="C84" i="6" s="1"/>
  <c r="E83" i="6"/>
  <c r="E85" i="5"/>
  <c r="D85" i="5"/>
  <c r="C86" i="5" s="1"/>
  <c r="F84" i="5"/>
  <c r="G84" i="5" s="1"/>
  <c r="F83" i="6" l="1"/>
  <c r="G83" i="6" s="1"/>
  <c r="E84" i="6"/>
  <c r="D84" i="6"/>
  <c r="C85" i="6" s="1"/>
  <c r="E86" i="5"/>
  <c r="D86" i="5"/>
  <c r="C87" i="5" s="1"/>
  <c r="F85" i="5"/>
  <c r="G85" i="5" s="1"/>
  <c r="F86" i="5" l="1"/>
  <c r="G86" i="5" s="1"/>
  <c r="D85" i="6"/>
  <c r="C86" i="6" s="1"/>
  <c r="E85" i="6"/>
  <c r="F84" i="6"/>
  <c r="G84" i="6" s="1"/>
  <c r="D87" i="5"/>
  <c r="C88" i="5" s="1"/>
  <c r="E87" i="5"/>
  <c r="F87" i="5" l="1"/>
  <c r="G87" i="5" s="1"/>
  <c r="F85" i="6"/>
  <c r="G85" i="6" s="1"/>
  <c r="E86" i="6"/>
  <c r="D86" i="6"/>
  <c r="C87" i="6" s="1"/>
  <c r="D88" i="5"/>
  <c r="C89" i="5" s="1"/>
  <c r="E88" i="5"/>
  <c r="F86" i="6" l="1"/>
  <c r="G86" i="6" s="1"/>
  <c r="F88" i="5"/>
  <c r="G88" i="5" s="1"/>
  <c r="E87" i="6"/>
  <c r="D87" i="6"/>
  <c r="C88" i="6" s="1"/>
  <c r="D89" i="5"/>
  <c r="C90" i="5" s="1"/>
  <c r="E89" i="5"/>
  <c r="F89" i="5" l="1"/>
  <c r="G89" i="5" s="1"/>
  <c r="D88" i="6"/>
  <c r="C89" i="6" s="1"/>
  <c r="E88" i="6"/>
  <c r="F87" i="6"/>
  <c r="G87" i="6" s="1"/>
  <c r="E90" i="5"/>
  <c r="D90" i="5"/>
  <c r="C91" i="5" s="1"/>
  <c r="F90" i="5" l="1"/>
  <c r="G90" i="5" s="1"/>
  <c r="F88" i="6"/>
  <c r="G88" i="6" s="1"/>
  <c r="E89" i="6"/>
  <c r="D89" i="6"/>
  <c r="C90" i="6" s="1"/>
  <c r="E91" i="5"/>
  <c r="D91" i="5"/>
  <c r="C92" i="5" s="1"/>
  <c r="E90" i="6" l="1"/>
  <c r="D90" i="6"/>
  <c r="C91" i="6" s="1"/>
  <c r="F89" i="6"/>
  <c r="G89" i="6" s="1"/>
  <c r="E92" i="5"/>
  <c r="D92" i="5"/>
  <c r="C93" i="5" s="1"/>
  <c r="F91" i="5"/>
  <c r="G91" i="5" s="1"/>
  <c r="E91" i="6" l="1"/>
  <c r="D91" i="6"/>
  <c r="C92" i="6" s="1"/>
  <c r="F90" i="6"/>
  <c r="G90" i="6" s="1"/>
  <c r="D93" i="5"/>
  <c r="C94" i="5" s="1"/>
  <c r="E93" i="5"/>
  <c r="F92" i="5"/>
  <c r="G92" i="5" s="1"/>
  <c r="E92" i="6" l="1"/>
  <c r="D92" i="6"/>
  <c r="C93" i="6" s="1"/>
  <c r="F91" i="6"/>
  <c r="G91" i="6" s="1"/>
  <c r="E94" i="5"/>
  <c r="D94" i="5"/>
  <c r="C95" i="5" s="1"/>
  <c r="F93" i="5"/>
  <c r="G93" i="5" s="1"/>
  <c r="F94" i="5" l="1"/>
  <c r="G94" i="5" s="1"/>
  <c r="F92" i="6"/>
  <c r="G92" i="6" s="1"/>
  <c r="E93" i="6"/>
  <c r="D93" i="6"/>
  <c r="C94" i="6" s="1"/>
  <c r="D95" i="5"/>
  <c r="C96" i="5" s="1"/>
  <c r="E95" i="5"/>
  <c r="F93" i="6" l="1"/>
  <c r="G93" i="6" s="1"/>
  <c r="D94" i="6"/>
  <c r="C95" i="6" s="1"/>
  <c r="E94" i="6"/>
  <c r="E96" i="5"/>
  <c r="D96" i="5"/>
  <c r="C97" i="5" s="1"/>
  <c r="F95" i="5"/>
  <c r="G95" i="5" s="1"/>
  <c r="F96" i="5" l="1"/>
  <c r="G96" i="5" s="1"/>
  <c r="F94" i="6"/>
  <c r="G94" i="6" s="1"/>
  <c r="D95" i="6"/>
  <c r="C96" i="6" s="1"/>
  <c r="E95" i="6"/>
  <c r="E97" i="5"/>
  <c r="D97" i="5"/>
  <c r="C98" i="5" s="1"/>
  <c r="F95" i="6" l="1"/>
  <c r="G95" i="6" s="1"/>
  <c r="D96" i="6"/>
  <c r="C97" i="6" s="1"/>
  <c r="E96" i="6"/>
  <c r="D98" i="5"/>
  <c r="C99" i="5" s="1"/>
  <c r="E98" i="5"/>
  <c r="F97" i="5"/>
  <c r="G97" i="5" s="1"/>
  <c r="F96" i="6" l="1"/>
  <c r="G96" i="6" s="1"/>
  <c r="E97" i="6"/>
  <c r="D97" i="6"/>
  <c r="C98" i="6" s="1"/>
  <c r="D99" i="5"/>
  <c r="C100" i="5" s="1"/>
  <c r="E99" i="5"/>
  <c r="F98" i="5"/>
  <c r="G98" i="5" s="1"/>
  <c r="F99" i="5" l="1"/>
  <c r="G99" i="5" s="1"/>
  <c r="F97" i="6"/>
  <c r="G97" i="6" s="1"/>
  <c r="D98" i="6"/>
  <c r="C99" i="6" s="1"/>
  <c r="E98" i="6"/>
  <c r="E100" i="5"/>
  <c r="D100" i="5"/>
  <c r="C101" i="5" s="1"/>
  <c r="F100" i="5" l="1"/>
  <c r="G100" i="5" s="1"/>
  <c r="F98" i="6"/>
  <c r="G98" i="6" s="1"/>
  <c r="E99" i="6"/>
  <c r="D99" i="6"/>
  <c r="C100" i="6" s="1"/>
  <c r="D101" i="5"/>
  <c r="C102" i="5" s="1"/>
  <c r="E101" i="5"/>
  <c r="F101" i="5" l="1"/>
  <c r="G101" i="5" s="1"/>
  <c r="F99" i="6"/>
  <c r="G99" i="6" s="1"/>
  <c r="E100" i="6"/>
  <c r="D100" i="6"/>
  <c r="C101" i="6" s="1"/>
  <c r="E102" i="5"/>
  <c r="D102" i="5"/>
  <c r="C103" i="5" s="1"/>
  <c r="F102" i="5" l="1"/>
  <c r="G102" i="5" s="1"/>
  <c r="E101" i="6"/>
  <c r="D101" i="6"/>
  <c r="C102" i="6" s="1"/>
  <c r="F100" i="6"/>
  <c r="G100" i="6" s="1"/>
  <c r="E103" i="5"/>
  <c r="D103" i="5"/>
  <c r="C104" i="5" s="1"/>
  <c r="F103" i="5" l="1"/>
  <c r="G103" i="5" s="1"/>
  <c r="F101" i="6"/>
  <c r="G101" i="6" s="1"/>
  <c r="E102" i="6"/>
  <c r="D102" i="6"/>
  <c r="C103" i="6" s="1"/>
  <c r="E104" i="5"/>
  <c r="D104" i="5"/>
  <c r="C105" i="5" s="1"/>
  <c r="F104" i="5" l="1"/>
  <c r="G104" i="5" s="1"/>
  <c r="D103" i="6"/>
  <c r="C104" i="6" s="1"/>
  <c r="E103" i="6"/>
  <c r="F102" i="6"/>
  <c r="G102" i="6" s="1"/>
  <c r="E105" i="5"/>
  <c r="D105" i="5"/>
  <c r="C106" i="5" s="1"/>
  <c r="F103" i="6" l="1"/>
  <c r="G103" i="6" s="1"/>
  <c r="D104" i="6"/>
  <c r="C105" i="6" s="1"/>
  <c r="E104" i="6"/>
  <c r="D106" i="5"/>
  <c r="C107" i="5" s="1"/>
  <c r="E106" i="5"/>
  <c r="F105" i="5"/>
  <c r="G105" i="5" s="1"/>
  <c r="F104" i="6" l="1"/>
  <c r="G104" i="6" s="1"/>
  <c r="E105" i="6"/>
  <c r="D105" i="6"/>
  <c r="C106" i="6" s="1"/>
  <c r="D107" i="5"/>
  <c r="C108" i="5" s="1"/>
  <c r="E107" i="5"/>
  <c r="F106" i="5"/>
  <c r="G106" i="5" s="1"/>
  <c r="E106" i="6" l="1"/>
  <c r="D106" i="6"/>
  <c r="C107" i="6" s="1"/>
  <c r="F105" i="6"/>
  <c r="G105" i="6" s="1"/>
  <c r="E108" i="5"/>
  <c r="D108" i="5"/>
  <c r="C109" i="5" s="1"/>
  <c r="F107" i="5"/>
  <c r="G107" i="5" s="1"/>
  <c r="F108" i="5" l="1"/>
  <c r="G108" i="5" s="1"/>
  <c r="F106" i="6"/>
  <c r="E107" i="6"/>
  <c r="D107" i="6"/>
  <c r="C108" i="6" s="1"/>
  <c r="G106" i="6"/>
  <c r="D109" i="5"/>
  <c r="C110" i="5" s="1"/>
  <c r="E109" i="5"/>
  <c r="E108" i="6" l="1"/>
  <c r="D108" i="6"/>
  <c r="C109" i="6" s="1"/>
  <c r="F107" i="6"/>
  <c r="G107" i="6" s="1"/>
  <c r="D110" i="5"/>
  <c r="C111" i="5" s="1"/>
  <c r="E110" i="5"/>
  <c r="F109" i="5"/>
  <c r="G109" i="5" s="1"/>
  <c r="F108" i="6" l="1"/>
  <c r="G108" i="6" s="1"/>
  <c r="D109" i="6"/>
  <c r="C110" i="6" s="1"/>
  <c r="E109" i="6"/>
  <c r="F110" i="5"/>
  <c r="G110" i="5" s="1"/>
  <c r="D111" i="5"/>
  <c r="C112" i="5" s="1"/>
  <c r="E111" i="5"/>
  <c r="F111" i="5" l="1"/>
  <c r="G111" i="5" s="1"/>
  <c r="F109" i="6"/>
  <c r="G109" i="6" s="1"/>
  <c r="E110" i="6"/>
  <c r="D110" i="6"/>
  <c r="C111" i="6" s="1"/>
  <c r="D112" i="5"/>
  <c r="C113" i="5" s="1"/>
  <c r="E112" i="5"/>
  <c r="F112" i="5" l="1"/>
  <c r="G112" i="5" s="1"/>
  <c r="F110" i="6"/>
  <c r="G110" i="6" s="1"/>
  <c r="E111" i="6"/>
  <c r="D111" i="6"/>
  <c r="C112" i="6" s="1"/>
  <c r="D113" i="5"/>
  <c r="C114" i="5" s="1"/>
  <c r="E113" i="5"/>
  <c r="F113" i="5" l="1"/>
  <c r="G113" i="5" s="1"/>
  <c r="D112" i="6"/>
  <c r="C113" i="6" s="1"/>
  <c r="E112" i="6"/>
  <c r="F111" i="6"/>
  <c r="G111" i="6" s="1"/>
  <c r="D114" i="5"/>
  <c r="C115" i="5" s="1"/>
  <c r="E114" i="5"/>
  <c r="F112" i="6" l="1"/>
  <c r="G112" i="6" s="1"/>
  <c r="E113" i="6"/>
  <c r="D113" i="6"/>
  <c r="C114" i="6" s="1"/>
  <c r="D115" i="5"/>
  <c r="C116" i="5" s="1"/>
  <c r="E115" i="5"/>
  <c r="F114" i="5"/>
  <c r="G114" i="5" s="1"/>
  <c r="F115" i="5" l="1"/>
  <c r="G115" i="5" s="1"/>
  <c r="D114" i="6"/>
  <c r="C115" i="6" s="1"/>
  <c r="E114" i="6"/>
  <c r="F113" i="6"/>
  <c r="G113" i="6" s="1"/>
  <c r="D116" i="5"/>
  <c r="C117" i="5" s="1"/>
  <c r="E116" i="5"/>
  <c r="F116" i="5" l="1"/>
  <c r="G116" i="5" s="1"/>
  <c r="D115" i="6"/>
  <c r="C116" i="6" s="1"/>
  <c r="E115" i="6"/>
  <c r="F114" i="6"/>
  <c r="G114" i="6" s="1"/>
  <c r="E117" i="5"/>
  <c r="D117" i="5"/>
  <c r="C118" i="5" s="1"/>
  <c r="F117" i="5" l="1"/>
  <c r="G117" i="5" s="1"/>
  <c r="D116" i="6"/>
  <c r="C117" i="6" s="1"/>
  <c r="E116" i="6"/>
  <c r="F115" i="6"/>
  <c r="G115" i="6" s="1"/>
  <c r="E118" i="5"/>
  <c r="D118" i="5"/>
  <c r="C119" i="5" s="1"/>
  <c r="F116" i="6" l="1"/>
  <c r="G116" i="6" s="1"/>
  <c r="F118" i="5"/>
  <c r="G118" i="5" s="1"/>
  <c r="D117" i="6"/>
  <c r="C118" i="6" s="1"/>
  <c r="E117" i="6"/>
  <c r="E119" i="5"/>
  <c r="D119" i="5"/>
  <c r="C120" i="5" s="1"/>
  <c r="F119" i="5" l="1"/>
  <c r="G119" i="5" s="1"/>
  <c r="E118" i="6"/>
  <c r="D118" i="6"/>
  <c r="C119" i="6" s="1"/>
  <c r="F117" i="6"/>
  <c r="G117" i="6" s="1"/>
  <c r="E120" i="5"/>
  <c r="D120" i="5"/>
  <c r="C121" i="5" s="1"/>
  <c r="E119" i="6" l="1"/>
  <c r="D119" i="6"/>
  <c r="C120" i="6" s="1"/>
  <c r="F118" i="6"/>
  <c r="G118" i="6" s="1"/>
  <c r="E121" i="5"/>
  <c r="D121" i="5"/>
  <c r="C122" i="5" s="1"/>
  <c r="F120" i="5"/>
  <c r="G120" i="5" s="1"/>
  <c r="F121" i="5" l="1"/>
  <c r="G121" i="5" s="1"/>
  <c r="E120" i="6"/>
  <c r="D120" i="6"/>
  <c r="C121" i="6" s="1"/>
  <c r="F119" i="6"/>
  <c r="G119" i="6" s="1"/>
  <c r="E122" i="5"/>
  <c r="D122" i="5"/>
  <c r="C123" i="5" s="1"/>
  <c r="F122" i="5" l="1"/>
  <c r="I122" i="5" s="1"/>
  <c r="E121" i="6"/>
  <c r="D121" i="6"/>
  <c r="C122" i="6" s="1"/>
  <c r="F120" i="6"/>
  <c r="G120" i="6" s="1"/>
  <c r="H122" i="5"/>
  <c r="D123" i="5"/>
  <c r="C124" i="5" s="1"/>
  <c r="E123" i="5"/>
  <c r="G122" i="5" l="1"/>
  <c r="J122" i="5" s="1"/>
  <c r="F123" i="5"/>
  <c r="G123" i="5" s="1"/>
  <c r="D122" i="6"/>
  <c r="C123" i="6" s="1"/>
  <c r="E122" i="6"/>
  <c r="F121" i="6"/>
  <c r="G121" i="6" s="1"/>
  <c r="D124" i="5"/>
  <c r="C125" i="5" s="1"/>
  <c r="E124" i="5"/>
  <c r="F122" i="6" l="1"/>
  <c r="G122" i="6" s="1"/>
  <c r="E123" i="6"/>
  <c r="D123" i="6"/>
  <c r="C124" i="6" s="1"/>
  <c r="D125" i="5"/>
  <c r="C126" i="5" s="1"/>
  <c r="E125" i="5"/>
  <c r="F124" i="5"/>
  <c r="G124" i="5" s="1"/>
  <c r="F125" i="5" l="1"/>
  <c r="G125" i="5" s="1"/>
  <c r="F123" i="6"/>
  <c r="G123" i="6" s="1"/>
  <c r="E124" i="6"/>
  <c r="D124" i="6"/>
  <c r="C125" i="6" s="1"/>
  <c r="D126" i="5"/>
  <c r="C127" i="5" s="1"/>
  <c r="E126" i="5"/>
  <c r="F126" i="5" l="1"/>
  <c r="G126" i="5" s="1"/>
  <c r="D125" i="6"/>
  <c r="C126" i="6" s="1"/>
  <c r="E125" i="6"/>
  <c r="F124" i="6"/>
  <c r="G124" i="6" s="1"/>
  <c r="D127" i="5"/>
  <c r="C128" i="5" s="1"/>
  <c r="E127" i="5"/>
  <c r="F127" i="5" l="1"/>
  <c r="G127" i="5" s="1"/>
  <c r="F125" i="6"/>
  <c r="G125" i="6" s="1"/>
  <c r="E126" i="6"/>
  <c r="D126" i="6"/>
  <c r="C127" i="6" s="1"/>
  <c r="D128" i="5"/>
  <c r="C129" i="5" s="1"/>
  <c r="E128" i="5"/>
  <c r="F126" i="6" l="1"/>
  <c r="G126" i="6" s="1"/>
  <c r="E127" i="6"/>
  <c r="D127" i="6"/>
  <c r="C128" i="6" s="1"/>
  <c r="F128" i="5"/>
  <c r="G128" i="5" s="1"/>
  <c r="E129" i="5"/>
  <c r="D129" i="5"/>
  <c r="C130" i="5" s="1"/>
  <c r="E128" i="6" l="1"/>
  <c r="D128" i="6"/>
  <c r="C129" i="6" s="1"/>
  <c r="F127" i="6"/>
  <c r="G127" i="6" s="1"/>
  <c r="D130" i="5"/>
  <c r="C131" i="5" s="1"/>
  <c r="E130" i="5"/>
  <c r="F129" i="5"/>
  <c r="G129" i="5" s="1"/>
  <c r="E129" i="6" l="1"/>
  <c r="D129" i="6"/>
  <c r="C130" i="6" s="1"/>
  <c r="F128" i="6"/>
  <c r="G128" i="6" s="1"/>
  <c r="D131" i="5"/>
  <c r="C132" i="5" s="1"/>
  <c r="E131" i="5"/>
  <c r="F130" i="5"/>
  <c r="G130" i="5" s="1"/>
  <c r="F131" i="5" l="1"/>
  <c r="G131" i="5" s="1"/>
  <c r="F129" i="6"/>
  <c r="G129" i="6" s="1"/>
  <c r="E130" i="6"/>
  <c r="D130" i="6"/>
  <c r="C131" i="6" s="1"/>
  <c r="D132" i="5"/>
  <c r="C133" i="5" s="1"/>
  <c r="E132" i="5"/>
  <c r="D131" i="6" l="1"/>
  <c r="C132" i="6" s="1"/>
  <c r="E131" i="6"/>
  <c r="F130" i="6"/>
  <c r="G130" i="6" s="1"/>
  <c r="D133" i="5"/>
  <c r="C134" i="5" s="1"/>
  <c r="E133" i="5"/>
  <c r="F132" i="5"/>
  <c r="G132" i="5" s="1"/>
  <c r="F131" i="6" l="1"/>
  <c r="G131" i="6" s="1"/>
  <c r="E132" i="6"/>
  <c r="D132" i="6"/>
  <c r="C133" i="6" s="1"/>
  <c r="D134" i="5"/>
  <c r="C135" i="5" s="1"/>
  <c r="E134" i="5"/>
  <c r="F133" i="5"/>
  <c r="G133" i="5" s="1"/>
  <c r="F134" i="5" l="1"/>
  <c r="G134" i="5" s="1"/>
  <c r="F132" i="6"/>
  <c r="E133" i="6"/>
  <c r="D133" i="6"/>
  <c r="C134" i="6" s="1"/>
  <c r="G132" i="6"/>
  <c r="D135" i="5"/>
  <c r="C136" i="5" s="1"/>
  <c r="E135" i="5"/>
  <c r="D134" i="6" l="1"/>
  <c r="C135" i="6" s="1"/>
  <c r="E134" i="6"/>
  <c r="F133" i="6"/>
  <c r="G133" i="6" s="1"/>
  <c r="E136" i="5"/>
  <c r="D136" i="5"/>
  <c r="C137" i="5" s="1"/>
  <c r="F135" i="5"/>
  <c r="G135" i="5" s="1"/>
  <c r="D135" i="6" l="1"/>
  <c r="C136" i="6" s="1"/>
  <c r="E135" i="6"/>
  <c r="F134" i="6"/>
  <c r="G134" i="6" s="1"/>
  <c r="E137" i="5"/>
  <c r="D137" i="5"/>
  <c r="C138" i="5" s="1"/>
  <c r="F136" i="5"/>
  <c r="G136" i="5" s="1"/>
  <c r="F137" i="5" l="1"/>
  <c r="G137" i="5" s="1"/>
  <c r="D136" i="6"/>
  <c r="C137" i="6" s="1"/>
  <c r="E136" i="6"/>
  <c r="F135" i="6"/>
  <c r="G135" i="6" s="1"/>
  <c r="E138" i="5"/>
  <c r="D138" i="5"/>
  <c r="C139" i="5" s="1"/>
  <c r="F138" i="5" l="1"/>
  <c r="G138" i="5" s="1"/>
  <c r="E137" i="6"/>
  <c r="D137" i="6"/>
  <c r="C138" i="6" s="1"/>
  <c r="F136" i="6"/>
  <c r="G136" i="6" s="1"/>
  <c r="E139" i="5"/>
  <c r="D139" i="5"/>
  <c r="C140" i="5" s="1"/>
  <c r="F139" i="5" l="1"/>
  <c r="G139" i="5" s="1"/>
  <c r="E138" i="6"/>
  <c r="D138" i="6"/>
  <c r="C139" i="6" s="1"/>
  <c r="F137" i="6"/>
  <c r="G137" i="6" s="1"/>
  <c r="D140" i="5"/>
  <c r="C141" i="5" s="1"/>
  <c r="E140" i="5"/>
  <c r="F138" i="6" l="1"/>
  <c r="G138" i="6" s="1"/>
  <c r="D139" i="6"/>
  <c r="C140" i="6" s="1"/>
  <c r="E139" i="6"/>
  <c r="D141" i="5"/>
  <c r="C142" i="5" s="1"/>
  <c r="E141" i="5"/>
  <c r="F140" i="5"/>
  <c r="G140" i="5" s="1"/>
  <c r="E140" i="6" l="1"/>
  <c r="D140" i="6"/>
  <c r="C141" i="6" s="1"/>
  <c r="F139" i="6"/>
  <c r="G139" i="6" s="1"/>
  <c r="E142" i="5"/>
  <c r="D142" i="5"/>
  <c r="C143" i="5" s="1"/>
  <c r="F141" i="5"/>
  <c r="G141" i="5" s="1"/>
  <c r="F142" i="5" l="1"/>
  <c r="G142" i="5" s="1"/>
  <c r="E141" i="6"/>
  <c r="D141" i="6"/>
  <c r="C142" i="6" s="1"/>
  <c r="F140" i="6"/>
  <c r="G140" i="6" s="1"/>
  <c r="E143" i="5"/>
  <c r="D143" i="5"/>
  <c r="C144" i="5" s="1"/>
  <c r="E142" i="6" l="1"/>
  <c r="D142" i="6"/>
  <c r="C143" i="6" s="1"/>
  <c r="F141" i="6"/>
  <c r="G141" i="6" s="1"/>
  <c r="D144" i="5"/>
  <c r="C145" i="5" s="1"/>
  <c r="E144" i="5"/>
  <c r="F143" i="5"/>
  <c r="G143" i="5" s="1"/>
  <c r="F144" i="5" l="1"/>
  <c r="G144" i="5" s="1"/>
  <c r="F142" i="6"/>
  <c r="G142" i="6" s="1"/>
  <c r="E143" i="6"/>
  <c r="D143" i="6"/>
  <c r="C144" i="6" s="1"/>
  <c r="E145" i="5"/>
  <c r="D145" i="5"/>
  <c r="C146" i="5" s="1"/>
  <c r="F145" i="5" l="1"/>
  <c r="G145" i="5" s="1"/>
  <c r="F143" i="6"/>
  <c r="G143" i="6" s="1"/>
  <c r="D144" i="6"/>
  <c r="C145" i="6" s="1"/>
  <c r="E144" i="6"/>
  <c r="E146" i="5"/>
  <c r="D146" i="5"/>
  <c r="C147" i="5" s="1"/>
  <c r="E145" i="6" l="1"/>
  <c r="D145" i="6"/>
  <c r="C146" i="6" s="1"/>
  <c r="F144" i="6"/>
  <c r="G144" i="6" s="1"/>
  <c r="E147" i="5"/>
  <c r="D147" i="5"/>
  <c r="C148" i="5" s="1"/>
  <c r="F146" i="5"/>
  <c r="G146" i="5" s="1"/>
  <c r="F145" i="6" l="1"/>
  <c r="G145" i="6" s="1"/>
  <c r="E146" i="6"/>
  <c r="D146" i="6"/>
  <c r="C147" i="6" s="1"/>
  <c r="E148" i="5"/>
  <c r="D148" i="5"/>
  <c r="C149" i="5" s="1"/>
  <c r="F147" i="5"/>
  <c r="G147" i="5" s="1"/>
  <c r="E147" i="6" l="1"/>
  <c r="D147" i="6"/>
  <c r="C148" i="6" s="1"/>
  <c r="F146" i="6"/>
  <c r="G146" i="6" s="1"/>
  <c r="E149" i="5"/>
  <c r="D149" i="5"/>
  <c r="C150" i="5" s="1"/>
  <c r="F148" i="5"/>
  <c r="G148" i="5" s="1"/>
  <c r="F149" i="5" l="1"/>
  <c r="G149" i="5" s="1"/>
  <c r="E148" i="6"/>
  <c r="D148" i="6"/>
  <c r="C149" i="6" s="1"/>
  <c r="F147" i="6"/>
  <c r="G147" i="6" s="1"/>
  <c r="E150" i="5"/>
  <c r="D150" i="5"/>
  <c r="C151" i="5" s="1"/>
  <c r="F150" i="5" l="1"/>
  <c r="G150" i="5" s="1"/>
  <c r="D149" i="6"/>
  <c r="C150" i="6" s="1"/>
  <c r="E149" i="6"/>
  <c r="F148" i="6"/>
  <c r="G148" i="6" s="1"/>
  <c r="D151" i="5"/>
  <c r="C152" i="5" s="1"/>
  <c r="E151" i="5"/>
  <c r="F149" i="6" l="1"/>
  <c r="G149" i="6" s="1"/>
  <c r="E150" i="6"/>
  <c r="D150" i="6"/>
  <c r="C151" i="6" s="1"/>
  <c r="E152" i="5"/>
  <c r="D152" i="5"/>
  <c r="C153" i="5" s="1"/>
  <c r="F151" i="5"/>
  <c r="G151" i="5" s="1"/>
  <c r="D151" i="6" l="1"/>
  <c r="C152" i="6" s="1"/>
  <c r="E151" i="6"/>
  <c r="F150" i="6"/>
  <c r="G150" i="6" s="1"/>
  <c r="E153" i="5"/>
  <c r="D153" i="5"/>
  <c r="C154" i="5" s="1"/>
  <c r="F152" i="5"/>
  <c r="G152" i="5" s="1"/>
  <c r="F151" i="6" l="1"/>
  <c r="G151" i="6" s="1"/>
  <c r="D152" i="6"/>
  <c r="C153" i="6" s="1"/>
  <c r="E152" i="6"/>
  <c r="D154" i="5"/>
  <c r="C155" i="5" s="1"/>
  <c r="E154" i="5"/>
  <c r="F153" i="5"/>
  <c r="G153" i="5" s="1"/>
  <c r="F154" i="5" l="1"/>
  <c r="G154" i="5" s="1"/>
  <c r="F152" i="6"/>
  <c r="G152" i="6" s="1"/>
  <c r="E153" i="6"/>
  <c r="D153" i="6"/>
  <c r="C154" i="6" s="1"/>
  <c r="D155" i="5"/>
  <c r="C156" i="5" s="1"/>
  <c r="E155" i="5"/>
  <c r="F155" i="5" l="1"/>
  <c r="G155" i="5" s="1"/>
  <c r="F153" i="6"/>
  <c r="D154" i="6"/>
  <c r="C155" i="6" s="1"/>
  <c r="E154" i="6"/>
  <c r="G153" i="6"/>
  <c r="E156" i="5"/>
  <c r="D156" i="5"/>
  <c r="C157" i="5" s="1"/>
  <c r="F156" i="5" l="1"/>
  <c r="G156" i="5" s="1"/>
  <c r="F154" i="6"/>
  <c r="G154" i="6" s="1"/>
  <c r="D155" i="6"/>
  <c r="C156" i="6" s="1"/>
  <c r="E155" i="6"/>
  <c r="D157" i="5"/>
  <c r="C158" i="5" s="1"/>
  <c r="E157" i="5"/>
  <c r="F155" i="6" l="1"/>
  <c r="G155" i="6" s="1"/>
  <c r="D156" i="6"/>
  <c r="C157" i="6" s="1"/>
  <c r="E156" i="6"/>
  <c r="D158" i="5"/>
  <c r="C159" i="5" s="1"/>
  <c r="E158" i="5"/>
  <c r="F157" i="5"/>
  <c r="G157" i="5" s="1"/>
  <c r="F156" i="6" l="1"/>
  <c r="G156" i="6" s="1"/>
  <c r="D157" i="6"/>
  <c r="C158" i="6" s="1"/>
  <c r="E157" i="6"/>
  <c r="F158" i="5"/>
  <c r="G158" i="5" s="1"/>
  <c r="E159" i="5"/>
  <c r="D159" i="5"/>
  <c r="C160" i="5" s="1"/>
  <c r="F157" i="6" l="1"/>
  <c r="G157" i="6" s="1"/>
  <c r="D158" i="6"/>
  <c r="C159" i="6" s="1"/>
  <c r="E158" i="6"/>
  <c r="E160" i="5"/>
  <c r="D160" i="5"/>
  <c r="C161" i="5" s="1"/>
  <c r="F159" i="5"/>
  <c r="G159" i="5" s="1"/>
  <c r="F160" i="5" l="1"/>
  <c r="G160" i="5" s="1"/>
  <c r="E159" i="6"/>
  <c r="D159" i="6"/>
  <c r="C160" i="6" s="1"/>
  <c r="F158" i="6"/>
  <c r="G158" i="6" s="1"/>
  <c r="D161" i="5"/>
  <c r="C162" i="5" s="1"/>
  <c r="E161" i="5"/>
  <c r="D160" i="6" l="1"/>
  <c r="C161" i="6" s="1"/>
  <c r="E160" i="6"/>
  <c r="F159" i="6"/>
  <c r="G159" i="6" s="1"/>
  <c r="E162" i="5"/>
  <c r="D162" i="5"/>
  <c r="C163" i="5" s="1"/>
  <c r="F161" i="5"/>
  <c r="G161" i="5" s="1"/>
  <c r="F162" i="5" l="1"/>
  <c r="G162" i="5" s="1"/>
  <c r="F160" i="6"/>
  <c r="G160" i="6" s="1"/>
  <c r="D161" i="6"/>
  <c r="C162" i="6" s="1"/>
  <c r="E161" i="6"/>
  <c r="E163" i="5"/>
  <c r="D163" i="5"/>
  <c r="C164" i="5" s="1"/>
  <c r="F161" i="6" l="1"/>
  <c r="G161" i="6" s="1"/>
  <c r="E162" i="6"/>
  <c r="D162" i="6"/>
  <c r="C163" i="6" s="1"/>
  <c r="E164" i="5"/>
  <c r="D164" i="5"/>
  <c r="C165" i="5" s="1"/>
  <c r="F163" i="5"/>
  <c r="G163" i="5" s="1"/>
  <c r="D163" i="6" l="1"/>
  <c r="C164" i="6" s="1"/>
  <c r="E163" i="6"/>
  <c r="F162" i="6"/>
  <c r="G162" i="6" s="1"/>
  <c r="D165" i="5"/>
  <c r="C166" i="5" s="1"/>
  <c r="E165" i="5"/>
  <c r="F164" i="5"/>
  <c r="G164" i="5" s="1"/>
  <c r="E164" i="6" l="1"/>
  <c r="D164" i="6"/>
  <c r="C165" i="6" s="1"/>
  <c r="F163" i="6"/>
  <c r="G163" i="6" s="1"/>
  <c r="D166" i="5"/>
  <c r="C167" i="5" s="1"/>
  <c r="E166" i="5"/>
  <c r="F165" i="5"/>
  <c r="G165" i="5" s="1"/>
  <c r="F164" i="6" l="1"/>
  <c r="G164" i="6" s="1"/>
  <c r="D165" i="6"/>
  <c r="C166" i="6" s="1"/>
  <c r="E165" i="6"/>
  <c r="D167" i="5"/>
  <c r="C168" i="5" s="1"/>
  <c r="E167" i="5"/>
  <c r="F166" i="5"/>
  <c r="G166" i="5" s="1"/>
  <c r="F165" i="6" l="1"/>
  <c r="G165" i="6" s="1"/>
  <c r="E166" i="6"/>
  <c r="D166" i="6"/>
  <c r="C167" i="6" s="1"/>
  <c r="F167" i="5"/>
  <c r="G167" i="5" s="1"/>
  <c r="D168" i="5"/>
  <c r="C169" i="5" s="1"/>
  <c r="E168" i="5"/>
  <c r="E167" i="6" l="1"/>
  <c r="D167" i="6"/>
  <c r="C168" i="6" s="1"/>
  <c r="F166" i="6"/>
  <c r="G166" i="6" s="1"/>
  <c r="E169" i="5"/>
  <c r="D169" i="5"/>
  <c r="C170" i="5" s="1"/>
  <c r="F168" i="5"/>
  <c r="G168" i="5" s="1"/>
  <c r="F169" i="5" l="1"/>
  <c r="G169" i="5" s="1"/>
  <c r="F167" i="6"/>
  <c r="D168" i="6"/>
  <c r="C169" i="6" s="1"/>
  <c r="E168" i="6"/>
  <c r="G167" i="6"/>
  <c r="E170" i="5"/>
  <c r="D170" i="5"/>
  <c r="C171" i="5" s="1"/>
  <c r="F168" i="6" l="1"/>
  <c r="G168" i="6" s="1"/>
  <c r="F170" i="5"/>
  <c r="G170" i="5" s="1"/>
  <c r="D169" i="6"/>
  <c r="C170" i="6" s="1"/>
  <c r="E169" i="6"/>
  <c r="E171" i="5"/>
  <c r="D171" i="5"/>
  <c r="C172" i="5" s="1"/>
  <c r="F171" i="5" l="1"/>
  <c r="G171" i="5" s="1"/>
  <c r="E170" i="6"/>
  <c r="D170" i="6"/>
  <c r="C171" i="6" s="1"/>
  <c r="F169" i="6"/>
  <c r="G169" i="6" s="1"/>
  <c r="D172" i="5"/>
  <c r="C173" i="5" s="1"/>
  <c r="E172" i="5"/>
  <c r="F172" i="5" l="1"/>
  <c r="G172" i="5" s="1"/>
  <c r="F170" i="6"/>
  <c r="G170" i="6" s="1"/>
  <c r="D171" i="6"/>
  <c r="C172" i="6" s="1"/>
  <c r="E171" i="6"/>
  <c r="E173" i="5"/>
  <c r="D173" i="5"/>
  <c r="C174" i="5" s="1"/>
  <c r="F173" i="5" l="1"/>
  <c r="G173" i="5" s="1"/>
  <c r="F171" i="6"/>
  <c r="G171" i="6" s="1"/>
  <c r="D172" i="6"/>
  <c r="C173" i="6" s="1"/>
  <c r="E172" i="6"/>
  <c r="D174" i="5"/>
  <c r="C175" i="5" s="1"/>
  <c r="E174" i="5"/>
  <c r="F174" i="5" l="1"/>
  <c r="G174" i="5" s="1"/>
  <c r="D173" i="6"/>
  <c r="C174" i="6" s="1"/>
  <c r="E173" i="6"/>
  <c r="F172" i="6"/>
  <c r="G172" i="6" s="1"/>
  <c r="E175" i="5"/>
  <c r="D175" i="5"/>
  <c r="C176" i="5" s="1"/>
  <c r="F175" i="5" l="1"/>
  <c r="F173" i="6"/>
  <c r="G173" i="6" s="1"/>
  <c r="E174" i="6"/>
  <c r="D174" i="6"/>
  <c r="C175" i="6" s="1"/>
  <c r="D176" i="5"/>
  <c r="C177" i="5" s="1"/>
  <c r="E176" i="5"/>
  <c r="G175" i="5"/>
  <c r="D175" i="6" l="1"/>
  <c r="C176" i="6" s="1"/>
  <c r="E175" i="6"/>
  <c r="F174" i="6"/>
  <c r="G174" i="6" s="1"/>
  <c r="D177" i="5"/>
  <c r="C178" i="5" s="1"/>
  <c r="E177" i="5"/>
  <c r="F176" i="5"/>
  <c r="G176" i="5" s="1"/>
  <c r="F175" i="6" l="1"/>
  <c r="G175" i="6" s="1"/>
  <c r="F177" i="5"/>
  <c r="G177" i="5" s="1"/>
  <c r="E176" i="6"/>
  <c r="D176" i="6"/>
  <c r="C177" i="6" s="1"/>
  <c r="D178" i="5"/>
  <c r="C179" i="5" s="1"/>
  <c r="E178" i="5"/>
  <c r="F178" i="5" l="1"/>
  <c r="G178" i="5" s="1"/>
  <c r="E177" i="6"/>
  <c r="D177" i="6"/>
  <c r="C178" i="6" s="1"/>
  <c r="F176" i="6"/>
  <c r="G176" i="6" s="1"/>
  <c r="E179" i="5"/>
  <c r="D179" i="5"/>
  <c r="C180" i="5" s="1"/>
  <c r="F179" i="5" l="1"/>
  <c r="G179" i="5" s="1"/>
  <c r="E178" i="6"/>
  <c r="D178" i="6"/>
  <c r="C179" i="6" s="1"/>
  <c r="F177" i="6"/>
  <c r="G177" i="6" s="1"/>
  <c r="E180" i="5"/>
  <c r="D180" i="5"/>
  <c r="C181" i="5" s="1"/>
  <c r="F180" i="5" l="1"/>
  <c r="G180" i="5" s="1"/>
  <c r="E179" i="6"/>
  <c r="D179" i="6"/>
  <c r="C180" i="6" s="1"/>
  <c r="F178" i="6"/>
  <c r="G178" i="6" s="1"/>
  <c r="E181" i="5"/>
  <c r="D181" i="5"/>
  <c r="C182" i="5" s="1"/>
  <c r="E180" i="6" l="1"/>
  <c r="D180" i="6"/>
  <c r="C181" i="6" s="1"/>
  <c r="F179" i="6"/>
  <c r="G179" i="6" s="1"/>
  <c r="D182" i="5"/>
  <c r="C183" i="5" s="1"/>
  <c r="E182" i="5"/>
  <c r="F181" i="5"/>
  <c r="G181" i="5" s="1"/>
  <c r="F182" i="5" l="1"/>
  <c r="G182" i="5" s="1"/>
  <c r="D181" i="6"/>
  <c r="C182" i="6" s="1"/>
  <c r="E181" i="6"/>
  <c r="F180" i="6"/>
  <c r="G180" i="6" s="1"/>
  <c r="D183" i="5"/>
  <c r="C184" i="5" s="1"/>
  <c r="E183" i="5"/>
  <c r="F181" i="6" l="1"/>
  <c r="G181" i="6" s="1"/>
  <c r="E182" i="6"/>
  <c r="D182" i="6"/>
  <c r="C183" i="6" s="1"/>
  <c r="E184" i="5"/>
  <c r="D184" i="5"/>
  <c r="C185" i="5" s="1"/>
  <c r="F183" i="5"/>
  <c r="G183" i="5" s="1"/>
  <c r="F184" i="5" l="1"/>
  <c r="G184" i="5" s="1"/>
  <c r="F182" i="6"/>
  <c r="G182" i="6" s="1"/>
  <c r="E183" i="6"/>
  <c r="D183" i="6"/>
  <c r="C184" i="6" s="1"/>
  <c r="E185" i="5"/>
  <c r="D185" i="5"/>
  <c r="C186" i="5" s="1"/>
  <c r="F185" i="5" l="1"/>
  <c r="G185" i="5" s="1"/>
  <c r="D184" i="6"/>
  <c r="C185" i="6" s="1"/>
  <c r="E184" i="6"/>
  <c r="F183" i="6"/>
  <c r="G183" i="6" s="1"/>
  <c r="D186" i="5"/>
  <c r="C187" i="5" s="1"/>
  <c r="E186" i="5"/>
  <c r="F184" i="6" l="1"/>
  <c r="G184" i="6" s="1"/>
  <c r="E185" i="6"/>
  <c r="D185" i="6"/>
  <c r="C186" i="6" s="1"/>
  <c r="D187" i="5"/>
  <c r="C188" i="5" s="1"/>
  <c r="E187" i="5"/>
  <c r="F186" i="5"/>
  <c r="G186" i="5" s="1"/>
  <c r="D186" i="6" l="1"/>
  <c r="C187" i="6" s="1"/>
  <c r="E186" i="6"/>
  <c r="F185" i="6"/>
  <c r="G185" i="6" s="1"/>
  <c r="E188" i="5"/>
  <c r="D188" i="5"/>
  <c r="C189" i="5" s="1"/>
  <c r="F187" i="5"/>
  <c r="G187" i="5" s="1"/>
  <c r="F186" i="6" l="1"/>
  <c r="G186" i="6" s="1"/>
  <c r="D187" i="6"/>
  <c r="C188" i="6" s="1"/>
  <c r="E187" i="6"/>
  <c r="E189" i="5"/>
  <c r="D189" i="5"/>
  <c r="C190" i="5" s="1"/>
  <c r="F188" i="5"/>
  <c r="G188" i="5" s="1"/>
  <c r="D188" i="6" l="1"/>
  <c r="C189" i="6" s="1"/>
  <c r="E188" i="6"/>
  <c r="F187" i="6"/>
  <c r="G187" i="6" s="1"/>
  <c r="E190" i="5"/>
  <c r="D190" i="5"/>
  <c r="C191" i="5" s="1"/>
  <c r="F189" i="5"/>
  <c r="G189" i="5" s="1"/>
  <c r="F188" i="6" l="1"/>
  <c r="G188" i="6" s="1"/>
  <c r="D189" i="6"/>
  <c r="C190" i="6" s="1"/>
  <c r="E189" i="6"/>
  <c r="F190" i="5"/>
  <c r="G190" i="5" s="1"/>
  <c r="D191" i="5"/>
  <c r="C192" i="5" s="1"/>
  <c r="E191" i="5"/>
  <c r="F189" i="6" l="1"/>
  <c r="G189" i="6" s="1"/>
  <c r="E190" i="6"/>
  <c r="D190" i="6"/>
  <c r="C191" i="6" s="1"/>
  <c r="F191" i="5"/>
  <c r="G191" i="5" s="1"/>
  <c r="E192" i="5"/>
  <c r="D192" i="5"/>
  <c r="C193" i="5" s="1"/>
  <c r="D191" i="6" l="1"/>
  <c r="C192" i="6" s="1"/>
  <c r="E191" i="6"/>
  <c r="F190" i="6"/>
  <c r="G190" i="6" s="1"/>
  <c r="F192" i="5"/>
  <c r="G192" i="5" s="1"/>
  <c r="D193" i="5"/>
  <c r="C194" i="5" s="1"/>
  <c r="E193" i="5"/>
  <c r="F193" i="5" l="1"/>
  <c r="G193" i="5" s="1"/>
  <c r="F191" i="6"/>
  <c r="G191" i="6" s="1"/>
  <c r="E192" i="6"/>
  <c r="D192" i="6"/>
  <c r="C193" i="6" s="1"/>
  <c r="E194" i="5"/>
  <c r="D194" i="5"/>
  <c r="C195" i="5" s="1"/>
  <c r="E193" i="6" l="1"/>
  <c r="D193" i="6"/>
  <c r="C194" i="6" s="1"/>
  <c r="F192" i="6"/>
  <c r="G192" i="6" s="1"/>
  <c r="D195" i="5"/>
  <c r="C196" i="5" s="1"/>
  <c r="E195" i="5"/>
  <c r="F194" i="5"/>
  <c r="G194" i="5" s="1"/>
  <c r="F195" i="5" l="1"/>
  <c r="G195" i="5" s="1"/>
  <c r="F193" i="6"/>
  <c r="D194" i="6"/>
  <c r="C195" i="6" s="1"/>
  <c r="E194" i="6"/>
  <c r="G193" i="6"/>
  <c r="D196" i="5"/>
  <c r="C197" i="5" s="1"/>
  <c r="E196" i="5"/>
  <c r="F196" i="5" l="1"/>
  <c r="G196" i="5" s="1"/>
  <c r="D195" i="6"/>
  <c r="C196" i="6" s="1"/>
  <c r="E195" i="6"/>
  <c r="F194" i="6"/>
  <c r="G194" i="6" s="1"/>
  <c r="D197" i="5"/>
  <c r="C198" i="5" s="1"/>
  <c r="E197" i="5"/>
  <c r="F195" i="6" l="1"/>
  <c r="G195" i="6" s="1"/>
  <c r="E196" i="6"/>
  <c r="D196" i="6"/>
  <c r="C197" i="6" s="1"/>
  <c r="E198" i="5"/>
  <c r="D198" i="5"/>
  <c r="C199" i="5" s="1"/>
  <c r="F197" i="5"/>
  <c r="G197" i="5" s="1"/>
  <c r="E197" i="6" l="1"/>
  <c r="D197" i="6"/>
  <c r="C198" i="6" s="1"/>
  <c r="F196" i="6"/>
  <c r="G196" i="6" s="1"/>
  <c r="D199" i="5"/>
  <c r="C200" i="5" s="1"/>
  <c r="E199" i="5"/>
  <c r="F198" i="5"/>
  <c r="G198" i="5" s="1"/>
  <c r="F197" i="6" l="1"/>
  <c r="G197" i="6" s="1"/>
  <c r="E198" i="6"/>
  <c r="D198" i="6"/>
  <c r="C199" i="6" s="1"/>
  <c r="D200" i="5"/>
  <c r="C201" i="5" s="1"/>
  <c r="E200" i="5"/>
  <c r="F199" i="5"/>
  <c r="G199" i="5" s="1"/>
  <c r="F200" i="5" l="1"/>
  <c r="G200" i="5" s="1"/>
  <c r="D199" i="6"/>
  <c r="C200" i="6" s="1"/>
  <c r="E199" i="6"/>
  <c r="F198" i="6"/>
  <c r="G198" i="6" s="1"/>
  <c r="E201" i="5"/>
  <c r="D201" i="5"/>
  <c r="C202" i="5" s="1"/>
  <c r="F199" i="6" l="1"/>
  <c r="G199" i="6" s="1"/>
  <c r="D200" i="6"/>
  <c r="C201" i="6" s="1"/>
  <c r="E200" i="6"/>
  <c r="D202" i="5"/>
  <c r="C203" i="5" s="1"/>
  <c r="E202" i="5"/>
  <c r="F201" i="5"/>
  <c r="G201" i="5" s="1"/>
  <c r="F202" i="5" l="1"/>
  <c r="G202" i="5" s="1"/>
  <c r="F200" i="6"/>
  <c r="G200" i="6" s="1"/>
  <c r="D201" i="6"/>
  <c r="C202" i="6" s="1"/>
  <c r="E201" i="6"/>
  <c r="D203" i="5"/>
  <c r="C204" i="5" s="1"/>
  <c r="E203" i="5"/>
  <c r="F203" i="5" l="1"/>
  <c r="G203" i="5" s="1"/>
  <c r="D202" i="6"/>
  <c r="C203" i="6" s="1"/>
  <c r="E202" i="6"/>
  <c r="F201" i="6"/>
  <c r="G201" i="6" s="1"/>
  <c r="E204" i="5"/>
  <c r="D204" i="5"/>
  <c r="C205" i="5" s="1"/>
  <c r="D203" i="6" l="1"/>
  <c r="C204" i="6" s="1"/>
  <c r="E203" i="6"/>
  <c r="F202" i="6"/>
  <c r="G202" i="6" s="1"/>
  <c r="F204" i="5"/>
  <c r="G204" i="5" s="1"/>
  <c r="D205" i="5"/>
  <c r="C206" i="5" s="1"/>
  <c r="E205" i="5"/>
  <c r="F203" i="6" l="1"/>
  <c r="G203" i="6" s="1"/>
  <c r="E204" i="6"/>
  <c r="D204" i="6"/>
  <c r="C205" i="6" s="1"/>
  <c r="D206" i="5"/>
  <c r="C207" i="5" s="1"/>
  <c r="E206" i="5"/>
  <c r="F205" i="5"/>
  <c r="G205" i="5" s="1"/>
  <c r="F206" i="5" l="1"/>
  <c r="G206" i="5" s="1"/>
  <c r="F204" i="6"/>
  <c r="G204" i="6" s="1"/>
  <c r="E205" i="6"/>
  <c r="D205" i="6"/>
  <c r="C206" i="6" s="1"/>
  <c r="D207" i="5"/>
  <c r="C208" i="5" s="1"/>
  <c r="E207" i="5"/>
  <c r="F207" i="5" l="1"/>
  <c r="G207" i="5" s="1"/>
  <c r="E206" i="6"/>
  <c r="D206" i="6"/>
  <c r="C207" i="6" s="1"/>
  <c r="F205" i="6"/>
  <c r="G205" i="6" s="1"/>
  <c r="E208" i="5"/>
  <c r="D208" i="5"/>
  <c r="C209" i="5" s="1"/>
  <c r="F208" i="5" l="1"/>
  <c r="G208" i="5" s="1"/>
  <c r="D207" i="6"/>
  <c r="C208" i="6" s="1"/>
  <c r="E207" i="6"/>
  <c r="F206" i="6"/>
  <c r="G206" i="6" s="1"/>
  <c r="E209" i="5"/>
  <c r="D209" i="5"/>
  <c r="C210" i="5" s="1"/>
  <c r="F207" i="6" l="1"/>
  <c r="G207" i="6" s="1"/>
  <c r="E208" i="6"/>
  <c r="D208" i="6"/>
  <c r="C209" i="6" s="1"/>
  <c r="E210" i="5"/>
  <c r="D210" i="5"/>
  <c r="C211" i="5" s="1"/>
  <c r="F209" i="5"/>
  <c r="G209" i="5" s="1"/>
  <c r="F210" i="5" l="1"/>
  <c r="G210" i="5" s="1"/>
  <c r="F208" i="6"/>
  <c r="G208" i="6" s="1"/>
  <c r="E209" i="6"/>
  <c r="D209" i="6"/>
  <c r="C210" i="6" s="1"/>
  <c r="D211" i="5"/>
  <c r="C212" i="5" s="1"/>
  <c r="E211" i="5"/>
  <c r="E210" i="6" l="1"/>
  <c r="D210" i="6"/>
  <c r="C211" i="6" s="1"/>
  <c r="F209" i="6"/>
  <c r="G209" i="6" s="1"/>
  <c r="D212" i="5"/>
  <c r="C213" i="5" s="1"/>
  <c r="E212" i="5"/>
  <c r="F211" i="5"/>
  <c r="G211" i="5" s="1"/>
  <c r="E211" i="6" l="1"/>
  <c r="D211" i="6"/>
  <c r="C212" i="6" s="1"/>
  <c r="F210" i="6"/>
  <c r="G210" i="6" s="1"/>
  <c r="D213" i="5"/>
  <c r="C214" i="5" s="1"/>
  <c r="E213" i="5"/>
  <c r="F212" i="5"/>
  <c r="G212" i="5" s="1"/>
  <c r="E212" i="6" l="1"/>
  <c r="D212" i="6"/>
  <c r="C213" i="6" s="1"/>
  <c r="F211" i="6"/>
  <c r="G211" i="6" s="1"/>
  <c r="F213" i="5"/>
  <c r="G213" i="5" s="1"/>
  <c r="D214" i="5"/>
  <c r="C215" i="5" s="1"/>
  <c r="E214" i="5"/>
  <c r="F214" i="5" l="1"/>
  <c r="G214" i="5" s="1"/>
  <c r="F212" i="6"/>
  <c r="D213" i="6"/>
  <c r="C214" i="6" s="1"/>
  <c r="E213" i="6"/>
  <c r="G212" i="6"/>
  <c r="D215" i="5"/>
  <c r="C216" i="5" s="1"/>
  <c r="E215" i="5"/>
  <c r="F215" i="5" l="1"/>
  <c r="G215" i="5" s="1"/>
  <c r="F213" i="6"/>
  <c r="G213" i="6" s="1"/>
  <c r="E214" i="6"/>
  <c r="D214" i="6"/>
  <c r="C215" i="6" s="1"/>
  <c r="E216" i="5"/>
  <c r="D216" i="5"/>
  <c r="C217" i="5" s="1"/>
  <c r="F214" i="6" l="1"/>
  <c r="G214" i="6" s="1"/>
  <c r="E215" i="6"/>
  <c r="D215" i="6"/>
  <c r="C216" i="6" s="1"/>
  <c r="D217" i="5"/>
  <c r="C218" i="5" s="1"/>
  <c r="E217" i="5"/>
  <c r="F216" i="5"/>
  <c r="G216" i="5" s="1"/>
  <c r="F217" i="5" l="1"/>
  <c r="G217" i="5" s="1"/>
  <c r="E216" i="6"/>
  <c r="D216" i="6"/>
  <c r="C217" i="6" s="1"/>
  <c r="F215" i="6"/>
  <c r="G215" i="6" s="1"/>
  <c r="E218" i="5"/>
  <c r="D218" i="5"/>
  <c r="C219" i="5" s="1"/>
  <c r="D217" i="6" l="1"/>
  <c r="C218" i="6" s="1"/>
  <c r="E217" i="6"/>
  <c r="F216" i="6"/>
  <c r="G216" i="6" s="1"/>
  <c r="F218" i="5"/>
  <c r="G218" i="5" s="1"/>
  <c r="D219" i="5"/>
  <c r="C220" i="5" s="1"/>
  <c r="E219" i="5"/>
  <c r="F219" i="5" l="1"/>
  <c r="G219" i="5" s="1"/>
  <c r="F217" i="6"/>
  <c r="G217" i="6" s="1"/>
  <c r="E218" i="6"/>
  <c r="D218" i="6"/>
  <c r="C219" i="6" s="1"/>
  <c r="D220" i="5"/>
  <c r="C221" i="5" s="1"/>
  <c r="E220" i="5"/>
  <c r="F218" i="6" l="1"/>
  <c r="G218" i="6" s="1"/>
  <c r="E219" i="6"/>
  <c r="D219" i="6"/>
  <c r="C220" i="6" s="1"/>
  <c r="D221" i="5"/>
  <c r="C222" i="5" s="1"/>
  <c r="E221" i="5"/>
  <c r="F220" i="5"/>
  <c r="G220" i="5" s="1"/>
  <c r="F221" i="5" l="1"/>
  <c r="G221" i="5" s="1"/>
  <c r="E220" i="6"/>
  <c r="D220" i="6"/>
  <c r="C221" i="6" s="1"/>
  <c r="F219" i="6"/>
  <c r="G219" i="6" s="1"/>
  <c r="D222" i="5"/>
  <c r="C223" i="5" s="1"/>
  <c r="E222" i="5"/>
  <c r="F222" i="5" l="1"/>
  <c r="G222" i="5" s="1"/>
  <c r="D221" i="6"/>
  <c r="C222" i="6" s="1"/>
  <c r="E221" i="6"/>
  <c r="F220" i="6"/>
  <c r="G220" i="6" s="1"/>
  <c r="E223" i="5"/>
  <c r="D223" i="5"/>
  <c r="C224" i="5" s="1"/>
  <c r="F223" i="5" l="1"/>
  <c r="F221" i="6"/>
  <c r="G221" i="6" s="1"/>
  <c r="E222" i="6"/>
  <c r="D222" i="6"/>
  <c r="C223" i="6" s="1"/>
  <c r="D224" i="5"/>
  <c r="C225" i="5" s="1"/>
  <c r="E224" i="5"/>
  <c r="G223" i="5"/>
  <c r="F224" i="5" l="1"/>
  <c r="G224" i="5" s="1"/>
  <c r="E223" i="6"/>
  <c r="D223" i="6"/>
  <c r="C224" i="6" s="1"/>
  <c r="F222" i="6"/>
  <c r="G222" i="6" s="1"/>
  <c r="D225" i="5"/>
  <c r="C226" i="5" s="1"/>
  <c r="E225" i="5"/>
  <c r="F225" i="5" l="1"/>
  <c r="G225" i="5" s="1"/>
  <c r="D224" i="6"/>
  <c r="C225" i="6" s="1"/>
  <c r="E224" i="6"/>
  <c r="F223" i="6"/>
  <c r="G223" i="6" s="1"/>
  <c r="E226" i="5"/>
  <c r="D226" i="5"/>
  <c r="C227" i="5" s="1"/>
  <c r="F224" i="6" l="1"/>
  <c r="G224" i="6" s="1"/>
  <c r="E225" i="6"/>
  <c r="D225" i="6"/>
  <c r="C226" i="6" s="1"/>
  <c r="D227" i="5"/>
  <c r="C228" i="5" s="1"/>
  <c r="E227" i="5"/>
  <c r="F226" i="5"/>
  <c r="G226" i="5" s="1"/>
  <c r="F227" i="5" l="1"/>
  <c r="G227" i="5" s="1"/>
  <c r="E226" i="6"/>
  <c r="D226" i="6"/>
  <c r="C227" i="6" s="1"/>
  <c r="F225" i="6"/>
  <c r="G225" i="6" s="1"/>
  <c r="E228" i="5"/>
  <c r="D228" i="5"/>
  <c r="C229" i="5" s="1"/>
  <c r="F228" i="5" l="1"/>
  <c r="E227" i="6"/>
  <c r="D227" i="6"/>
  <c r="C228" i="6" s="1"/>
  <c r="F226" i="6"/>
  <c r="G226" i="6" s="1"/>
  <c r="D229" i="5"/>
  <c r="C230" i="5" s="1"/>
  <c r="E229" i="5"/>
  <c r="G228" i="5"/>
  <c r="F229" i="5" l="1"/>
  <c r="G229" i="5" s="1"/>
  <c r="F227" i="6"/>
  <c r="G227" i="6" s="1"/>
  <c r="D228" i="6"/>
  <c r="C229" i="6" s="1"/>
  <c r="E228" i="6"/>
  <c r="E230" i="5"/>
  <c r="D230" i="5"/>
  <c r="C231" i="5" s="1"/>
  <c r="F228" i="6" l="1"/>
  <c r="G228" i="6" s="1"/>
  <c r="D229" i="6"/>
  <c r="C230" i="6" s="1"/>
  <c r="E229" i="6"/>
  <c r="E231" i="5"/>
  <c r="D231" i="5"/>
  <c r="C232" i="5" s="1"/>
  <c r="F230" i="5"/>
  <c r="G230" i="5" s="1"/>
  <c r="F229" i="6" l="1"/>
  <c r="G229" i="6" s="1"/>
  <c r="D230" i="6"/>
  <c r="C231" i="6" s="1"/>
  <c r="E230" i="6"/>
  <c r="D232" i="5"/>
  <c r="C233" i="5" s="1"/>
  <c r="E232" i="5"/>
  <c r="F231" i="5"/>
  <c r="G231" i="5" s="1"/>
  <c r="F232" i="5" l="1"/>
  <c r="G232" i="5" s="1"/>
  <c r="F230" i="6"/>
  <c r="G230" i="6" s="1"/>
  <c r="E231" i="6"/>
  <c r="D231" i="6"/>
  <c r="C232" i="6" s="1"/>
  <c r="D233" i="5"/>
  <c r="C234" i="5" s="1"/>
  <c r="E233" i="5"/>
  <c r="F233" i="5" l="1"/>
  <c r="G233" i="5" s="1"/>
  <c r="E232" i="6"/>
  <c r="D232" i="6"/>
  <c r="C233" i="6" s="1"/>
  <c r="F231" i="6"/>
  <c r="G231" i="6" s="1"/>
  <c r="D234" i="5"/>
  <c r="C235" i="5" s="1"/>
  <c r="E234" i="5"/>
  <c r="F234" i="5" l="1"/>
  <c r="G234" i="5" s="1"/>
  <c r="F232" i="6"/>
  <c r="G232" i="6" s="1"/>
  <c r="D233" i="6"/>
  <c r="C234" i="6" s="1"/>
  <c r="E233" i="6"/>
  <c r="E235" i="5"/>
  <c r="D235" i="5"/>
  <c r="C236" i="5" s="1"/>
  <c r="F235" i="5" l="1"/>
  <c r="E234" i="6"/>
  <c r="D234" i="6"/>
  <c r="C235" i="6" s="1"/>
  <c r="F233" i="6"/>
  <c r="G233" i="6" s="1"/>
  <c r="D236" i="5"/>
  <c r="C237" i="5" s="1"/>
  <c r="E236" i="5"/>
  <c r="G235" i="5"/>
  <c r="D235" i="6" l="1"/>
  <c r="C236" i="6" s="1"/>
  <c r="E235" i="6"/>
  <c r="F234" i="6"/>
  <c r="G234" i="6" s="1"/>
  <c r="D237" i="5"/>
  <c r="C238" i="5" s="1"/>
  <c r="E237" i="5"/>
  <c r="F236" i="5"/>
  <c r="G236" i="5" s="1"/>
  <c r="F235" i="6" l="1"/>
  <c r="G235" i="6" s="1"/>
  <c r="D236" i="6"/>
  <c r="C237" i="6" s="1"/>
  <c r="E236" i="6"/>
  <c r="E238" i="5"/>
  <c r="D238" i="5"/>
  <c r="C239" i="5" s="1"/>
  <c r="F237" i="5"/>
  <c r="G237" i="5" s="1"/>
  <c r="F236" i="6" l="1"/>
  <c r="G236" i="6" s="1"/>
  <c r="E237" i="6"/>
  <c r="D237" i="6"/>
  <c r="C238" i="6" s="1"/>
  <c r="E239" i="5"/>
  <c r="D239" i="5"/>
  <c r="C240" i="5" s="1"/>
  <c r="F238" i="5"/>
  <c r="G238" i="5" s="1"/>
  <c r="F237" i="6" l="1"/>
  <c r="G237" i="6" s="1"/>
  <c r="D238" i="6"/>
  <c r="C239" i="6" s="1"/>
  <c r="E238" i="6"/>
  <c r="F239" i="5"/>
  <c r="G239" i="5" s="1"/>
  <c r="E240" i="5"/>
  <c r="D240" i="5"/>
  <c r="C241" i="5" s="1"/>
  <c r="F240" i="5" l="1"/>
  <c r="D239" i="6"/>
  <c r="C240" i="6" s="1"/>
  <c r="E239" i="6"/>
  <c r="F238" i="6"/>
  <c r="G238" i="6" s="1"/>
  <c r="D241" i="5"/>
  <c r="C242" i="5" s="1"/>
  <c r="E241" i="5"/>
  <c r="G240" i="5"/>
  <c r="F241" i="5" l="1"/>
  <c r="G241" i="5" s="1"/>
  <c r="F239" i="6"/>
  <c r="G239" i="6" s="1"/>
  <c r="E240" i="6"/>
  <c r="D240" i="6"/>
  <c r="C241" i="6" s="1"/>
  <c r="E242" i="5"/>
  <c r="D242" i="5"/>
  <c r="C243" i="5" s="1"/>
  <c r="F240" i="6" l="1"/>
  <c r="G240" i="6" s="1"/>
  <c r="E241" i="6"/>
  <c r="D241" i="6"/>
  <c r="C242" i="6" s="1"/>
  <c r="E243" i="5"/>
  <c r="D243" i="5"/>
  <c r="C244" i="5" s="1"/>
  <c r="F242" i="5"/>
  <c r="G242" i="5" s="1"/>
  <c r="F243" i="5" l="1"/>
  <c r="E242" i="6"/>
  <c r="D242" i="6"/>
  <c r="C243" i="6" s="1"/>
  <c r="F241" i="6"/>
  <c r="G241" i="6" s="1"/>
  <c r="E244" i="5"/>
  <c r="D244" i="5"/>
  <c r="C245" i="5" s="1"/>
  <c r="G243" i="5"/>
  <c r="F244" i="5" l="1"/>
  <c r="F242" i="6"/>
  <c r="G242" i="6" s="1"/>
  <c r="E243" i="6"/>
  <c r="D243" i="6"/>
  <c r="C244" i="6" s="1"/>
  <c r="E245" i="5"/>
  <c r="D245" i="5"/>
  <c r="C246" i="5" s="1"/>
  <c r="G244" i="5"/>
  <c r="F245" i="5" l="1"/>
  <c r="E244" i="6"/>
  <c r="D244" i="6"/>
  <c r="C245" i="6" s="1"/>
  <c r="F243" i="6"/>
  <c r="G243" i="6" s="1"/>
  <c r="D246" i="5"/>
  <c r="C247" i="5" s="1"/>
  <c r="E246" i="5"/>
  <c r="G245" i="5"/>
  <c r="F246" i="5" l="1"/>
  <c r="E245" i="6"/>
  <c r="D245" i="6"/>
  <c r="C246" i="6" s="1"/>
  <c r="F244" i="6"/>
  <c r="G244" i="6" s="1"/>
  <c r="G246" i="5"/>
  <c r="E247" i="5"/>
  <c r="D247" i="5"/>
  <c r="C248" i="5" s="1"/>
  <c r="E246" i="6" l="1"/>
  <c r="D246" i="6"/>
  <c r="C247" i="6" s="1"/>
  <c r="F245" i="6"/>
  <c r="G245" i="6" s="1"/>
  <c r="E248" i="5"/>
  <c r="D248" i="5"/>
  <c r="C249" i="5" s="1"/>
  <c r="F247" i="5"/>
  <c r="G247" i="5" s="1"/>
  <c r="D247" i="6" l="1"/>
  <c r="C248" i="6" s="1"/>
  <c r="E247" i="6"/>
  <c r="F246" i="6"/>
  <c r="G246" i="6" s="1"/>
  <c r="E249" i="5"/>
  <c r="D249" i="5"/>
  <c r="C250" i="5" s="1"/>
  <c r="F248" i="5"/>
  <c r="G248" i="5" s="1"/>
  <c r="F247" i="6" l="1"/>
  <c r="G247" i="6" s="1"/>
  <c r="D248" i="6"/>
  <c r="C249" i="6" s="1"/>
  <c r="E248" i="6"/>
  <c r="E250" i="5"/>
  <c r="D250" i="5"/>
  <c r="C251" i="5" s="1"/>
  <c r="F249" i="5"/>
  <c r="G249" i="5" s="1"/>
  <c r="F248" i="6" l="1"/>
  <c r="G248" i="6"/>
  <c r="E249" i="6"/>
  <c r="D249" i="6"/>
  <c r="C250" i="6" s="1"/>
  <c r="D251" i="5"/>
  <c r="C252" i="5" s="1"/>
  <c r="E251" i="5"/>
  <c r="F250" i="5"/>
  <c r="G250" i="5" s="1"/>
  <c r="F249" i="6" l="1"/>
  <c r="G249" i="6" s="1"/>
  <c r="E250" i="6"/>
  <c r="D250" i="6"/>
  <c r="C251" i="6" s="1"/>
  <c r="E252" i="5"/>
  <c r="D252" i="5"/>
  <c r="C253" i="5" s="1"/>
  <c r="F251" i="5"/>
  <c r="G251" i="5" s="1"/>
  <c r="F252" i="5" l="1"/>
  <c r="G252" i="5" s="1"/>
  <c r="F250" i="6"/>
  <c r="E251" i="6"/>
  <c r="D251" i="6"/>
  <c r="C252" i="6" s="1"/>
  <c r="G250" i="6"/>
  <c r="E253" i="5"/>
  <c r="D253" i="5"/>
  <c r="C254" i="5" s="1"/>
  <c r="E252" i="6" l="1"/>
  <c r="D252" i="6"/>
  <c r="C253" i="6" s="1"/>
  <c r="F251" i="6"/>
  <c r="G251" i="6" s="1"/>
  <c r="E254" i="5"/>
  <c r="D254" i="5"/>
  <c r="C255" i="5" s="1"/>
  <c r="F253" i="5"/>
  <c r="G253" i="5" s="1"/>
  <c r="F254" i="5" l="1"/>
  <c r="G254" i="5" s="1"/>
  <c r="E253" i="6"/>
  <c r="D253" i="6"/>
  <c r="C254" i="6" s="1"/>
  <c r="F252" i="6"/>
  <c r="G252" i="6" s="1"/>
  <c r="E255" i="5"/>
  <c r="D255" i="5"/>
  <c r="C256" i="5" s="1"/>
  <c r="E254" i="6" l="1"/>
  <c r="D254" i="6"/>
  <c r="C255" i="6" s="1"/>
  <c r="F253" i="6"/>
  <c r="G253" i="6" s="1"/>
  <c r="E256" i="5"/>
  <c r="D256" i="5"/>
  <c r="C257" i="5" s="1"/>
  <c r="F255" i="5"/>
  <c r="G255" i="5" s="1"/>
  <c r="F254" i="6" l="1"/>
  <c r="G254" i="6" s="1"/>
  <c r="E255" i="6"/>
  <c r="D255" i="6"/>
  <c r="C256" i="6" s="1"/>
  <c r="E257" i="5"/>
  <c r="D257" i="5"/>
  <c r="C258" i="5" s="1"/>
  <c r="F256" i="5"/>
  <c r="G256" i="5" s="1"/>
  <c r="F257" i="5" l="1"/>
  <c r="G257" i="5" s="1"/>
  <c r="E256" i="6"/>
  <c r="D256" i="6"/>
  <c r="C257" i="6" s="1"/>
  <c r="F255" i="6"/>
  <c r="G255" i="6" s="1"/>
  <c r="E258" i="5"/>
  <c r="D258" i="5"/>
  <c r="C259" i="5" s="1"/>
  <c r="E257" i="6" l="1"/>
  <c r="D257" i="6"/>
  <c r="C258" i="6" s="1"/>
  <c r="F256" i="6"/>
  <c r="G256" i="6" s="1"/>
  <c r="E259" i="5"/>
  <c r="D259" i="5"/>
  <c r="C260" i="5" s="1"/>
  <c r="F258" i="5"/>
  <c r="G258" i="5" s="1"/>
  <c r="E258" i="6" l="1"/>
  <c r="D258" i="6"/>
  <c r="C259" i="6" s="1"/>
  <c r="F257" i="6"/>
  <c r="G257" i="6" s="1"/>
  <c r="E260" i="5"/>
  <c r="D260" i="5"/>
  <c r="C261" i="5" s="1"/>
  <c r="F259" i="5"/>
  <c r="G259" i="5" s="1"/>
  <c r="E259" i="6" l="1"/>
  <c r="D259" i="6"/>
  <c r="C260" i="6" s="1"/>
  <c r="F258" i="6"/>
  <c r="G258" i="6" s="1"/>
  <c r="D261" i="5"/>
  <c r="C262" i="5" s="1"/>
  <c r="E261" i="5"/>
  <c r="F260" i="5"/>
  <c r="G260" i="5" s="1"/>
  <c r="F261" i="5" l="1"/>
  <c r="G261" i="5" s="1"/>
  <c r="E260" i="6"/>
  <c r="D260" i="6"/>
  <c r="C261" i="6" s="1"/>
  <c r="F259" i="6"/>
  <c r="G259" i="6" s="1"/>
  <c r="E262" i="5"/>
  <c r="D262" i="5"/>
  <c r="C263" i="5" s="1"/>
  <c r="F262" i="5" l="1"/>
  <c r="G262" i="5" s="1"/>
  <c r="F260" i="6"/>
  <c r="G260" i="6" s="1"/>
  <c r="D261" i="6"/>
  <c r="C262" i="6" s="1"/>
  <c r="E261" i="6"/>
  <c r="E263" i="5"/>
  <c r="D263" i="5"/>
  <c r="C264" i="5" s="1"/>
  <c r="F261" i="6" l="1"/>
  <c r="G261" i="6" s="1"/>
  <c r="E262" i="6"/>
  <c r="D262" i="6"/>
  <c r="C263" i="6" s="1"/>
  <c r="E264" i="5"/>
  <c r="D264" i="5"/>
  <c r="C265" i="5" s="1"/>
  <c r="F263" i="5"/>
  <c r="G263" i="5" s="1"/>
  <c r="E263" i="6" l="1"/>
  <c r="D263" i="6"/>
  <c r="C264" i="6" s="1"/>
  <c r="F262" i="6"/>
  <c r="G262" i="6" s="1"/>
  <c r="D265" i="5"/>
  <c r="C266" i="5" s="1"/>
  <c r="E265" i="5"/>
  <c r="F264" i="5"/>
  <c r="G264" i="5" s="1"/>
  <c r="F265" i="5" l="1"/>
  <c r="G265" i="5" s="1"/>
  <c r="D264" i="6"/>
  <c r="C265" i="6" s="1"/>
  <c r="E264" i="6"/>
  <c r="F263" i="6"/>
  <c r="G263" i="6" s="1"/>
  <c r="E266" i="5"/>
  <c r="D266" i="5"/>
  <c r="C267" i="5" s="1"/>
  <c r="F264" i="6" l="1"/>
  <c r="G264" i="6"/>
  <c r="D265" i="6"/>
  <c r="C266" i="6" s="1"/>
  <c r="E265" i="6"/>
  <c r="D267" i="5"/>
  <c r="C268" i="5" s="1"/>
  <c r="E267" i="5"/>
  <c r="F266" i="5"/>
  <c r="G266" i="5" s="1"/>
  <c r="F267" i="5" l="1"/>
  <c r="F265" i="6"/>
  <c r="G265" i="6" s="1"/>
  <c r="E266" i="6"/>
  <c r="D266" i="6"/>
  <c r="C267" i="6" s="1"/>
  <c r="G267" i="5"/>
  <c r="D268" i="5"/>
  <c r="C269" i="5" s="1"/>
  <c r="E268" i="5"/>
  <c r="F268" i="5" l="1"/>
  <c r="E267" i="6"/>
  <c r="D267" i="6"/>
  <c r="C268" i="6" s="1"/>
  <c r="F266" i="6"/>
  <c r="G266" i="6" s="1"/>
  <c r="G268" i="5"/>
  <c r="E269" i="5"/>
  <c r="D269" i="5"/>
  <c r="C270" i="5" s="1"/>
  <c r="E268" i="6" l="1"/>
  <c r="D268" i="6"/>
  <c r="C269" i="6" s="1"/>
  <c r="F267" i="6"/>
  <c r="G267" i="6" s="1"/>
  <c r="E270" i="5"/>
  <c r="D270" i="5"/>
  <c r="C271" i="5" s="1"/>
  <c r="F269" i="5"/>
  <c r="G269" i="5" s="1"/>
  <c r="E269" i="6" l="1"/>
  <c r="D269" i="6"/>
  <c r="C270" i="6" s="1"/>
  <c r="F268" i="6"/>
  <c r="G268" i="6" s="1"/>
  <c r="D271" i="5"/>
  <c r="C272" i="5" s="1"/>
  <c r="E271" i="5"/>
  <c r="F270" i="5"/>
  <c r="G270" i="5" s="1"/>
  <c r="F271" i="5" l="1"/>
  <c r="G271" i="5" s="1"/>
  <c r="E270" i="6"/>
  <c r="D270" i="6"/>
  <c r="C271" i="6" s="1"/>
  <c r="F269" i="6"/>
  <c r="G269" i="6" s="1"/>
  <c r="D272" i="5"/>
  <c r="C273" i="5" s="1"/>
  <c r="E272" i="5"/>
  <c r="F272" i="5" l="1"/>
  <c r="G272" i="5" s="1"/>
  <c r="E271" i="6"/>
  <c r="D271" i="6"/>
  <c r="C272" i="6" s="1"/>
  <c r="F270" i="6"/>
  <c r="G270" i="6" s="1"/>
  <c r="E273" i="5"/>
  <c r="D273" i="5"/>
  <c r="C274" i="5" s="1"/>
  <c r="D272" i="6" l="1"/>
  <c r="C273" i="6" s="1"/>
  <c r="E272" i="6"/>
  <c r="F271" i="6"/>
  <c r="G271" i="6" s="1"/>
  <c r="E274" i="5"/>
  <c r="D274" i="5"/>
  <c r="C275" i="5" s="1"/>
  <c r="F273" i="5"/>
  <c r="G273" i="5" s="1"/>
  <c r="F272" i="6" l="1"/>
  <c r="G272" i="6" s="1"/>
  <c r="D273" i="6"/>
  <c r="C274" i="6" s="1"/>
  <c r="E273" i="6"/>
  <c r="D275" i="5"/>
  <c r="C276" i="5" s="1"/>
  <c r="E275" i="5"/>
  <c r="F274" i="5"/>
  <c r="G274" i="5" s="1"/>
  <c r="F275" i="5" l="1"/>
  <c r="G275" i="5" s="1"/>
  <c r="F273" i="6"/>
  <c r="G273" i="6" s="1"/>
  <c r="D274" i="6"/>
  <c r="C275" i="6" s="1"/>
  <c r="E274" i="6"/>
  <c r="D276" i="5"/>
  <c r="C277" i="5" s="1"/>
  <c r="E276" i="5"/>
  <c r="F276" i="5" l="1"/>
  <c r="G276" i="5" s="1"/>
  <c r="E275" i="6"/>
  <c r="D275" i="6"/>
  <c r="C276" i="6" s="1"/>
  <c r="F274" i="6"/>
  <c r="G274" i="6" s="1"/>
  <c r="D277" i="5"/>
  <c r="C278" i="5" s="1"/>
  <c r="E277" i="5"/>
  <c r="F277" i="5" l="1"/>
  <c r="G277" i="5" s="1"/>
  <c r="E276" i="6"/>
  <c r="D276" i="6"/>
  <c r="C277" i="6" s="1"/>
  <c r="F275" i="6"/>
  <c r="G275" i="6" s="1"/>
  <c r="E278" i="5"/>
  <c r="D278" i="5"/>
  <c r="C279" i="5" s="1"/>
  <c r="F278" i="5" l="1"/>
  <c r="G278" i="5" s="1"/>
  <c r="E277" i="6"/>
  <c r="D277" i="6"/>
  <c r="C278" i="6" s="1"/>
  <c r="F276" i="6"/>
  <c r="G276" i="6" s="1"/>
  <c r="D279" i="5"/>
  <c r="C280" i="5" s="1"/>
  <c r="E279" i="5"/>
  <c r="F279" i="5" l="1"/>
  <c r="G279" i="5" s="1"/>
  <c r="F277" i="6"/>
  <c r="G277" i="6" s="1"/>
  <c r="E278" i="6"/>
  <c r="D278" i="6"/>
  <c r="C279" i="6" s="1"/>
  <c r="E280" i="5"/>
  <c r="D280" i="5"/>
  <c r="C281" i="5" s="1"/>
  <c r="D279" i="6" l="1"/>
  <c r="C280" i="6" s="1"/>
  <c r="E279" i="6"/>
  <c r="F279" i="6"/>
  <c r="F278" i="6"/>
  <c r="G278" i="6" s="1"/>
  <c r="F280" i="5"/>
  <c r="G280" i="5" s="1"/>
  <c r="E281" i="5"/>
  <c r="D281" i="5"/>
  <c r="C282" i="5" s="1"/>
  <c r="G279" i="6" l="1"/>
  <c r="D280" i="6"/>
  <c r="C281" i="6" s="1"/>
  <c r="E280" i="6"/>
  <c r="E282" i="5"/>
  <c r="D282" i="5"/>
  <c r="C283" i="5" s="1"/>
  <c r="F281" i="5"/>
  <c r="G281" i="5" s="1"/>
  <c r="F280" i="6" l="1"/>
  <c r="G280" i="6" s="1"/>
  <c r="D281" i="6"/>
  <c r="C282" i="6" s="1"/>
  <c r="E281" i="6"/>
  <c r="F282" i="5"/>
  <c r="G282" i="5" s="1"/>
  <c r="E283" i="5"/>
  <c r="D283" i="5"/>
  <c r="C284" i="5" s="1"/>
  <c r="F281" i="6" l="1"/>
  <c r="G281" i="6" s="1"/>
  <c r="D282" i="6"/>
  <c r="C283" i="6" s="1"/>
  <c r="E282" i="6"/>
  <c r="D284" i="5"/>
  <c r="C285" i="5" s="1"/>
  <c r="E284" i="5"/>
  <c r="F283" i="5"/>
  <c r="G283" i="5" s="1"/>
  <c r="F284" i="5" l="1"/>
  <c r="G284" i="5"/>
  <c r="F282" i="6"/>
  <c r="G282" i="6" s="1"/>
  <c r="E283" i="6"/>
  <c r="D283" i="6"/>
  <c r="C284" i="6" s="1"/>
  <c r="D285" i="5"/>
  <c r="C286" i="5" s="1"/>
  <c r="E285" i="5"/>
  <c r="D284" i="6" l="1"/>
  <c r="C285" i="6" s="1"/>
  <c r="E284" i="6"/>
  <c r="F283" i="6"/>
  <c r="G283" i="6" s="1"/>
  <c r="D286" i="5"/>
  <c r="C287" i="5" s="1"/>
  <c r="E286" i="5"/>
  <c r="F285" i="5"/>
  <c r="G285" i="5" s="1"/>
  <c r="F284" i="6" l="1"/>
  <c r="G284" i="6"/>
  <c r="E285" i="6"/>
  <c r="D285" i="6"/>
  <c r="C286" i="6" s="1"/>
  <c r="E287" i="5"/>
  <c r="D287" i="5"/>
  <c r="C288" i="5" s="1"/>
  <c r="F286" i="5"/>
  <c r="G286" i="5" s="1"/>
  <c r="F285" i="6" l="1"/>
  <c r="D286" i="6"/>
  <c r="C287" i="6" s="1"/>
  <c r="E286" i="6"/>
  <c r="G285" i="6"/>
  <c r="D288" i="5"/>
  <c r="C289" i="5" s="1"/>
  <c r="E288" i="5"/>
  <c r="F287" i="5"/>
  <c r="G287" i="5" s="1"/>
  <c r="F286" i="6" l="1"/>
  <c r="G286" i="6" s="1"/>
  <c r="D287" i="6"/>
  <c r="C288" i="6" s="1"/>
  <c r="E287" i="6"/>
  <c r="E289" i="5"/>
  <c r="D289" i="5"/>
  <c r="C290" i="5" s="1"/>
  <c r="F288" i="5"/>
  <c r="G288" i="5" s="1"/>
  <c r="F287" i="6" l="1"/>
  <c r="G287" i="6" s="1"/>
  <c r="E288" i="6"/>
  <c r="D288" i="6"/>
  <c r="C289" i="6" s="1"/>
  <c r="E290" i="5"/>
  <c r="D290" i="5"/>
  <c r="C291" i="5" s="1"/>
  <c r="F289" i="5"/>
  <c r="G289" i="5" s="1"/>
  <c r="E289" i="6" l="1"/>
  <c r="D289" i="6"/>
  <c r="C290" i="6" s="1"/>
  <c r="F288" i="6"/>
  <c r="G288" i="6" s="1"/>
  <c r="F290" i="5"/>
  <c r="G290" i="5" s="1"/>
  <c r="D291" i="5"/>
  <c r="C292" i="5" s="1"/>
  <c r="E291" i="5"/>
  <c r="F291" i="5" l="1"/>
  <c r="G291" i="5" s="1"/>
  <c r="E290" i="6"/>
  <c r="D290" i="6"/>
  <c r="C291" i="6" s="1"/>
  <c r="F289" i="6"/>
  <c r="G289" i="6" s="1"/>
  <c r="E292" i="5"/>
  <c r="D292" i="5"/>
  <c r="C293" i="5" s="1"/>
  <c r="F290" i="6" l="1"/>
  <c r="G290" i="6" s="1"/>
  <c r="E291" i="6"/>
  <c r="D291" i="6"/>
  <c r="C292" i="6" s="1"/>
  <c r="E293" i="5"/>
  <c r="D293" i="5"/>
  <c r="C294" i="5" s="1"/>
  <c r="F292" i="5"/>
  <c r="G292" i="5" s="1"/>
  <c r="F293" i="5" l="1"/>
  <c r="E292" i="6"/>
  <c r="D292" i="6"/>
  <c r="C293" i="6" s="1"/>
  <c r="F291" i="6"/>
  <c r="G291" i="6" s="1"/>
  <c r="D294" i="5"/>
  <c r="C295" i="5" s="1"/>
  <c r="E294" i="5"/>
  <c r="G293" i="5"/>
  <c r="F292" i="6" l="1"/>
  <c r="G292" i="6" s="1"/>
  <c r="E293" i="6"/>
  <c r="D293" i="6"/>
  <c r="C294" i="6" s="1"/>
  <c r="E295" i="5"/>
  <c r="D295" i="5"/>
  <c r="C296" i="5" s="1"/>
  <c r="F294" i="5"/>
  <c r="G294" i="5" s="1"/>
  <c r="F293" i="6" l="1"/>
  <c r="G293" i="6" s="1"/>
  <c r="D294" i="6"/>
  <c r="C295" i="6" s="1"/>
  <c r="E294" i="6"/>
  <c r="D296" i="5"/>
  <c r="C297" i="5" s="1"/>
  <c r="E296" i="5"/>
  <c r="F295" i="5"/>
  <c r="G295" i="5" s="1"/>
  <c r="F294" i="6" l="1"/>
  <c r="G294" i="6" s="1"/>
  <c r="F296" i="5"/>
  <c r="G296" i="5" s="1"/>
  <c r="D295" i="6"/>
  <c r="C296" i="6" s="1"/>
  <c r="E295" i="6"/>
  <c r="D297" i="5"/>
  <c r="C298" i="5" s="1"/>
  <c r="E297" i="5"/>
  <c r="E296" i="6" l="1"/>
  <c r="D296" i="6"/>
  <c r="C297" i="6" s="1"/>
  <c r="F295" i="6"/>
  <c r="G295" i="6" s="1"/>
  <c r="E298" i="5"/>
  <c r="D298" i="5"/>
  <c r="C299" i="5" s="1"/>
  <c r="F297" i="5"/>
  <c r="G297" i="5" s="1"/>
  <c r="F298" i="5" l="1"/>
  <c r="G298" i="5" s="1"/>
  <c r="D297" i="6"/>
  <c r="C298" i="6" s="1"/>
  <c r="E297" i="6"/>
  <c r="F296" i="6"/>
  <c r="G296" i="6" s="1"/>
  <c r="D299" i="5"/>
  <c r="C300" i="5" s="1"/>
  <c r="E299" i="5"/>
  <c r="F297" i="6" l="1"/>
  <c r="G297" i="6" s="1"/>
  <c r="E298" i="6"/>
  <c r="D298" i="6"/>
  <c r="C299" i="6" s="1"/>
  <c r="D300" i="5"/>
  <c r="C301" i="5" s="1"/>
  <c r="E300" i="5"/>
  <c r="F299" i="5"/>
  <c r="G299" i="5" s="1"/>
  <c r="F298" i="6" l="1"/>
  <c r="G298" i="6" s="1"/>
  <c r="E299" i="6"/>
  <c r="D299" i="6"/>
  <c r="C300" i="6" s="1"/>
  <c r="F300" i="5"/>
  <c r="G300" i="5" s="1"/>
  <c r="E301" i="5"/>
  <c r="D301" i="5"/>
  <c r="C302" i="5" s="1"/>
  <c r="E300" i="6" l="1"/>
  <c r="D300" i="6"/>
  <c r="C301" i="6" s="1"/>
  <c r="F299" i="6"/>
  <c r="G299" i="6" s="1"/>
  <c r="D302" i="5"/>
  <c r="C303" i="5" s="1"/>
  <c r="E302" i="5"/>
  <c r="F301" i="5"/>
  <c r="G301" i="5" s="1"/>
  <c r="F302" i="5" l="1"/>
  <c r="G302" i="5"/>
  <c r="E301" i="6"/>
  <c r="D301" i="6"/>
  <c r="C302" i="6" s="1"/>
  <c r="F300" i="6"/>
  <c r="G300" i="6" s="1"/>
  <c r="E303" i="5"/>
  <c r="D303" i="5"/>
  <c r="C304" i="5" s="1"/>
  <c r="E302" i="6" l="1"/>
  <c r="D302" i="6"/>
  <c r="C303" i="6" s="1"/>
  <c r="F301" i="6"/>
  <c r="G301" i="6" s="1"/>
  <c r="F303" i="5"/>
  <c r="G303" i="5" s="1"/>
  <c r="D304" i="5"/>
  <c r="C305" i="5" s="1"/>
  <c r="E304" i="5"/>
  <c r="F304" i="5" l="1"/>
  <c r="G304" i="5" s="1"/>
  <c r="D303" i="6"/>
  <c r="C304" i="6" s="1"/>
  <c r="E303" i="6"/>
  <c r="F302" i="6"/>
  <c r="G302" i="6" s="1"/>
  <c r="D305" i="5"/>
  <c r="C306" i="5" s="1"/>
  <c r="E305" i="5"/>
  <c r="F303" i="6" l="1"/>
  <c r="G303" i="6" s="1"/>
  <c r="D304" i="6"/>
  <c r="C305" i="6" s="1"/>
  <c r="E304" i="6"/>
  <c r="D306" i="5"/>
  <c r="C307" i="5" s="1"/>
  <c r="E306" i="5"/>
  <c r="F305" i="5"/>
  <c r="G305" i="5" s="1"/>
  <c r="D305" i="6" l="1"/>
  <c r="C306" i="6" s="1"/>
  <c r="E305" i="6"/>
  <c r="F305" i="6"/>
  <c r="F304" i="6"/>
  <c r="G304" i="6" s="1"/>
  <c r="F306" i="5"/>
  <c r="G306" i="5" s="1"/>
  <c r="E307" i="5"/>
  <c r="D307" i="5"/>
  <c r="C308" i="5" s="1"/>
  <c r="G305" i="6" l="1"/>
  <c r="E306" i="6"/>
  <c r="D306" i="6"/>
  <c r="C307" i="6" s="1"/>
  <c r="E308" i="5"/>
  <c r="D308" i="5"/>
  <c r="C309" i="5" s="1"/>
  <c r="F307" i="5"/>
  <c r="G307" i="5" s="1"/>
  <c r="F306" i="6" l="1"/>
  <c r="G306" i="6" s="1"/>
  <c r="E307" i="6"/>
  <c r="D307" i="6"/>
  <c r="C308" i="6" s="1"/>
  <c r="D309" i="5"/>
  <c r="C310" i="5" s="1"/>
  <c r="E309" i="5"/>
  <c r="F308" i="5"/>
  <c r="G308" i="5" s="1"/>
  <c r="F307" i="6" l="1"/>
  <c r="G307" i="6" s="1"/>
  <c r="D308" i="6"/>
  <c r="C309" i="6" s="1"/>
  <c r="E308" i="6"/>
  <c r="F309" i="5"/>
  <c r="G309" i="5" s="1"/>
  <c r="D310" i="5"/>
  <c r="C311" i="5" s="1"/>
  <c r="E310" i="5"/>
  <c r="F310" i="5" l="1"/>
  <c r="G310" i="5"/>
  <c r="F308" i="6"/>
  <c r="G308" i="6" s="1"/>
  <c r="D309" i="6"/>
  <c r="C310" i="6" s="1"/>
  <c r="E309" i="6"/>
  <c r="D311" i="5"/>
  <c r="C312" i="5" s="1"/>
  <c r="E311" i="5"/>
  <c r="F309" i="6" l="1"/>
  <c r="G309" i="6" s="1"/>
  <c r="D310" i="6"/>
  <c r="C311" i="6" s="1"/>
  <c r="E310" i="6"/>
  <c r="F311" i="5"/>
  <c r="G311" i="5" s="1"/>
  <c r="E312" i="5"/>
  <c r="D312" i="5"/>
  <c r="C313" i="5" s="1"/>
  <c r="F310" i="6" l="1"/>
  <c r="G310" i="6" s="1"/>
  <c r="E311" i="6"/>
  <c r="D311" i="6"/>
  <c r="C312" i="6" s="1"/>
  <c r="E313" i="5"/>
  <c r="D313" i="5"/>
  <c r="C314" i="5" s="1"/>
  <c r="F312" i="5"/>
  <c r="G312" i="5" s="1"/>
  <c r="F311" i="6" l="1"/>
  <c r="G311" i="6" s="1"/>
  <c r="D312" i="6"/>
  <c r="C313" i="6" s="1"/>
  <c r="E312" i="6"/>
  <c r="E314" i="5"/>
  <c r="D314" i="5"/>
  <c r="C315" i="5" s="1"/>
  <c r="F313" i="5"/>
  <c r="G313" i="5" s="1"/>
  <c r="F314" i="5" l="1"/>
  <c r="E313" i="6"/>
  <c r="D313" i="6"/>
  <c r="C314" i="6" s="1"/>
  <c r="F312" i="6"/>
  <c r="G312" i="6" s="1"/>
  <c r="D315" i="5"/>
  <c r="C316" i="5" s="1"/>
  <c r="E315" i="5"/>
  <c r="G314" i="5"/>
  <c r="F315" i="5" l="1"/>
  <c r="G315" i="5" s="1"/>
  <c r="D314" i="6"/>
  <c r="C315" i="6" s="1"/>
  <c r="E314" i="6"/>
  <c r="F313" i="6"/>
  <c r="G313" i="6" s="1"/>
  <c r="D316" i="5"/>
  <c r="C317" i="5" s="1"/>
  <c r="E316" i="5"/>
  <c r="F316" i="5" l="1"/>
  <c r="F314" i="6"/>
  <c r="G314" i="6" s="1"/>
  <c r="D315" i="6"/>
  <c r="C316" i="6" s="1"/>
  <c r="E315" i="6"/>
  <c r="G316" i="5"/>
  <c r="E317" i="5"/>
  <c r="D317" i="5"/>
  <c r="C318" i="5" s="1"/>
  <c r="F317" i="5" l="1"/>
  <c r="G317" i="5" s="1"/>
  <c r="D316" i="6"/>
  <c r="C317" i="6" s="1"/>
  <c r="E316" i="6"/>
  <c r="F315" i="6"/>
  <c r="G315" i="6" s="1"/>
  <c r="D318" i="5"/>
  <c r="C319" i="5" s="1"/>
  <c r="E318" i="5"/>
  <c r="F318" i="5" l="1"/>
  <c r="G318" i="5" s="1"/>
  <c r="F316" i="6"/>
  <c r="G316" i="6" s="1"/>
  <c r="E317" i="6"/>
  <c r="D317" i="6"/>
  <c r="C318" i="6" s="1"/>
  <c r="D319" i="5"/>
  <c r="C320" i="5" s="1"/>
  <c r="E319" i="5"/>
  <c r="E318" i="6" l="1"/>
  <c r="D318" i="6"/>
  <c r="C319" i="6" s="1"/>
  <c r="F317" i="6"/>
  <c r="G317" i="6" s="1"/>
  <c r="D320" i="5"/>
  <c r="C321" i="5" s="1"/>
  <c r="E320" i="5"/>
  <c r="F319" i="5"/>
  <c r="G319" i="5" s="1"/>
  <c r="F318" i="6" l="1"/>
  <c r="G318" i="6" s="1"/>
  <c r="E319" i="6"/>
  <c r="D319" i="6"/>
  <c r="C320" i="6" s="1"/>
  <c r="D321" i="5"/>
  <c r="C322" i="5" s="1"/>
  <c r="E321" i="5"/>
  <c r="F320" i="5"/>
  <c r="G320" i="5" s="1"/>
  <c r="F321" i="5" l="1"/>
  <c r="G321" i="5" s="1"/>
  <c r="F319" i="6"/>
  <c r="G319" i="6" s="1"/>
  <c r="E320" i="6"/>
  <c r="D320" i="6"/>
  <c r="C321" i="6" s="1"/>
  <c r="E322" i="5"/>
  <c r="D322" i="5"/>
  <c r="C323" i="5" s="1"/>
  <c r="F322" i="5" l="1"/>
  <c r="G322" i="5" s="1"/>
  <c r="E321" i="6"/>
  <c r="D321" i="6"/>
  <c r="C322" i="6" s="1"/>
  <c r="F320" i="6"/>
  <c r="G320" i="6" s="1"/>
  <c r="D323" i="5"/>
  <c r="C324" i="5" s="1"/>
  <c r="E323" i="5"/>
  <c r="F321" i="6" l="1"/>
  <c r="G321" i="6" s="1"/>
  <c r="D322" i="6"/>
  <c r="C323" i="6" s="1"/>
  <c r="E322" i="6"/>
  <c r="D324" i="5"/>
  <c r="C325" i="5" s="1"/>
  <c r="E324" i="5"/>
  <c r="F323" i="5"/>
  <c r="G323" i="5" s="1"/>
  <c r="F324" i="5" l="1"/>
  <c r="F322" i="6"/>
  <c r="G322" i="6" s="1"/>
  <c r="E323" i="6"/>
  <c r="D323" i="6"/>
  <c r="C324" i="6" s="1"/>
  <c r="G324" i="5"/>
  <c r="D325" i="5"/>
  <c r="C326" i="5" s="1"/>
  <c r="E325" i="5"/>
  <c r="F325" i="5" l="1"/>
  <c r="G325" i="5" s="1"/>
  <c r="E324" i="6"/>
  <c r="D324" i="6"/>
  <c r="C325" i="6" s="1"/>
  <c r="F323" i="6"/>
  <c r="G323" i="6" s="1"/>
  <c r="D326" i="5"/>
  <c r="C327" i="5" s="1"/>
  <c r="E326" i="5"/>
  <c r="E325" i="6" l="1"/>
  <c r="D325" i="6"/>
  <c r="C326" i="6" s="1"/>
  <c r="F324" i="6"/>
  <c r="G324" i="6" s="1"/>
  <c r="E327" i="5"/>
  <c r="D327" i="5"/>
  <c r="C328" i="5" s="1"/>
  <c r="F326" i="5"/>
  <c r="G326" i="5" s="1"/>
  <c r="F325" i="6" l="1"/>
  <c r="G325" i="6" s="1"/>
  <c r="D326" i="6"/>
  <c r="C327" i="6" s="1"/>
  <c r="E326" i="6"/>
  <c r="E328" i="5"/>
  <c r="D328" i="5"/>
  <c r="C329" i="5" s="1"/>
  <c r="F327" i="5"/>
  <c r="G327" i="5" s="1"/>
  <c r="E327" i="6" l="1"/>
  <c r="D327" i="6"/>
  <c r="C328" i="6" s="1"/>
  <c r="F326" i="6"/>
  <c r="G326" i="6" s="1"/>
  <c r="D329" i="5"/>
  <c r="C330" i="5" s="1"/>
  <c r="E329" i="5"/>
  <c r="F328" i="5"/>
  <c r="G328" i="5" s="1"/>
  <c r="D328" i="6" l="1"/>
  <c r="C329" i="6" s="1"/>
  <c r="E328" i="6"/>
  <c r="F327" i="6"/>
  <c r="G327" i="6" s="1"/>
  <c r="D330" i="5"/>
  <c r="C331" i="5" s="1"/>
  <c r="E330" i="5"/>
  <c r="F329" i="5"/>
  <c r="G329" i="5" s="1"/>
  <c r="F330" i="5" l="1"/>
  <c r="G330" i="5" s="1"/>
  <c r="F328" i="6"/>
  <c r="G328" i="6" s="1"/>
  <c r="E329" i="6"/>
  <c r="D329" i="6"/>
  <c r="C330" i="6" s="1"/>
  <c r="E331" i="5"/>
  <c r="D331" i="5"/>
  <c r="C332" i="5" s="1"/>
  <c r="F331" i="5" l="1"/>
  <c r="G331" i="5" s="1"/>
  <c r="E330" i="6"/>
  <c r="D330" i="6"/>
  <c r="C331" i="6" s="1"/>
  <c r="F329" i="6"/>
  <c r="G329" i="6" s="1"/>
  <c r="D332" i="5"/>
  <c r="C333" i="5" s="1"/>
  <c r="E332" i="5"/>
  <c r="F332" i="5" l="1"/>
  <c r="G332" i="5" s="1"/>
  <c r="F330" i="6"/>
  <c r="G330" i="6" s="1"/>
  <c r="E331" i="6"/>
  <c r="D331" i="6"/>
  <c r="C332" i="6" s="1"/>
  <c r="E333" i="5"/>
  <c r="D333" i="5"/>
  <c r="C334" i="5" s="1"/>
  <c r="F333" i="5" l="1"/>
  <c r="G333" i="5" s="1"/>
  <c r="E332" i="6"/>
  <c r="D332" i="6"/>
  <c r="C333" i="6" s="1"/>
  <c r="F331" i="6"/>
  <c r="G331" i="6" s="1"/>
  <c r="E334" i="5"/>
  <c r="D334" i="5"/>
  <c r="C335" i="5" s="1"/>
  <c r="E333" i="6" l="1"/>
  <c r="D333" i="6"/>
  <c r="C334" i="6" s="1"/>
  <c r="F332" i="6"/>
  <c r="G332" i="6" s="1"/>
  <c r="F334" i="5"/>
  <c r="G334" i="5" s="1"/>
  <c r="D335" i="5"/>
  <c r="C336" i="5" s="1"/>
  <c r="E335" i="5"/>
  <c r="E334" i="6" l="1"/>
  <c r="D334" i="6"/>
  <c r="C335" i="6" s="1"/>
  <c r="F333" i="6"/>
  <c r="G333" i="6" s="1"/>
  <c r="D336" i="5"/>
  <c r="C337" i="5" s="1"/>
  <c r="E336" i="5"/>
  <c r="F335" i="5"/>
  <c r="G335" i="5" s="1"/>
  <c r="F334" i="6" l="1"/>
  <c r="G334" i="6" s="1"/>
  <c r="E335" i="6"/>
  <c r="D335" i="6"/>
  <c r="C336" i="6" s="1"/>
  <c r="D337" i="5"/>
  <c r="C338" i="5" s="1"/>
  <c r="E337" i="5"/>
  <c r="F336" i="5"/>
  <c r="G336" i="5" s="1"/>
  <c r="E336" i="6" l="1"/>
  <c r="D336" i="6"/>
  <c r="C337" i="6" s="1"/>
  <c r="F335" i="6"/>
  <c r="G335" i="6" s="1"/>
  <c r="E338" i="5"/>
  <c r="D338" i="5"/>
  <c r="C339" i="5" s="1"/>
  <c r="F337" i="5"/>
  <c r="G337" i="5" s="1"/>
  <c r="F338" i="5" l="1"/>
  <c r="G338" i="5" s="1"/>
  <c r="E337" i="6"/>
  <c r="D337" i="6"/>
  <c r="C338" i="6" s="1"/>
  <c r="F336" i="6"/>
  <c r="G336" i="6" s="1"/>
  <c r="D339" i="5"/>
  <c r="C340" i="5" s="1"/>
  <c r="E339" i="5"/>
  <c r="E338" i="6" l="1"/>
  <c r="D338" i="6"/>
  <c r="C339" i="6" s="1"/>
  <c r="F337" i="6"/>
  <c r="G337" i="6" s="1"/>
  <c r="E340" i="5"/>
  <c r="D340" i="5"/>
  <c r="C341" i="5" s="1"/>
  <c r="F339" i="5"/>
  <c r="G339" i="5" s="1"/>
  <c r="F340" i="5" l="1"/>
  <c r="G340" i="5" s="1"/>
  <c r="D339" i="6"/>
  <c r="C340" i="6" s="1"/>
  <c r="E339" i="6"/>
  <c r="F338" i="6"/>
  <c r="G338" i="6" s="1"/>
  <c r="D341" i="5"/>
  <c r="C342" i="5" s="1"/>
  <c r="E341" i="5"/>
  <c r="F341" i="5" l="1"/>
  <c r="G341" i="5" s="1"/>
  <c r="D340" i="6"/>
  <c r="C341" i="6" s="1"/>
  <c r="E340" i="6"/>
  <c r="F339" i="6"/>
  <c r="G339" i="6" s="1"/>
  <c r="D342" i="5"/>
  <c r="C343" i="5" s="1"/>
  <c r="E342" i="5"/>
  <c r="F340" i="6" l="1"/>
  <c r="G340" i="6" s="1"/>
  <c r="E341" i="6"/>
  <c r="D341" i="6"/>
  <c r="C342" i="6" s="1"/>
  <c r="D343" i="5"/>
  <c r="C344" i="5" s="1"/>
  <c r="E343" i="5"/>
  <c r="F342" i="5"/>
  <c r="G342" i="5" s="1"/>
  <c r="F343" i="5" l="1"/>
  <c r="G343" i="5" s="1"/>
  <c r="D342" i="6"/>
  <c r="C343" i="6" s="1"/>
  <c r="E342" i="6"/>
  <c r="F341" i="6"/>
  <c r="G341" i="6" s="1"/>
  <c r="E344" i="5"/>
  <c r="D344" i="5"/>
  <c r="C345" i="5" s="1"/>
  <c r="F344" i="5" l="1"/>
  <c r="G344" i="5" s="1"/>
  <c r="F342" i="6"/>
  <c r="G342" i="6" s="1"/>
  <c r="D343" i="6"/>
  <c r="C344" i="6" s="1"/>
  <c r="E343" i="6"/>
  <c r="E345" i="5"/>
  <c r="D345" i="5"/>
  <c r="C346" i="5" s="1"/>
  <c r="F345" i="5" l="1"/>
  <c r="G345" i="5" s="1"/>
  <c r="F343" i="6"/>
  <c r="G343" i="6" s="1"/>
  <c r="D344" i="6"/>
  <c r="C345" i="6" s="1"/>
  <c r="E344" i="6"/>
  <c r="D346" i="5"/>
  <c r="C347" i="5" s="1"/>
  <c r="E346" i="5"/>
  <c r="E345" i="6" l="1"/>
  <c r="D345" i="6"/>
  <c r="C346" i="6" s="1"/>
  <c r="F344" i="6"/>
  <c r="G344" i="6" s="1"/>
  <c r="D347" i="5"/>
  <c r="C348" i="5" s="1"/>
  <c r="E347" i="5"/>
  <c r="F346" i="5"/>
  <c r="G346" i="5" s="1"/>
  <c r="F345" i="6" l="1"/>
  <c r="G345" i="6" s="1"/>
  <c r="D346" i="6"/>
  <c r="C347" i="6" s="1"/>
  <c r="E346" i="6"/>
  <c r="D348" i="5"/>
  <c r="C349" i="5" s="1"/>
  <c r="E348" i="5"/>
  <c r="F347" i="5"/>
  <c r="G347" i="5" s="1"/>
  <c r="F348" i="5" l="1"/>
  <c r="G348" i="5" s="1"/>
  <c r="F346" i="6"/>
  <c r="G346" i="6" s="1"/>
  <c r="E347" i="6"/>
  <c r="D347" i="6"/>
  <c r="C348" i="6" s="1"/>
  <c r="E349" i="5"/>
  <c r="D349" i="5"/>
  <c r="C350" i="5" s="1"/>
  <c r="E348" i="6" l="1"/>
  <c r="D348" i="6"/>
  <c r="C349" i="6" s="1"/>
  <c r="F347" i="6"/>
  <c r="G347" i="6" s="1"/>
  <c r="E350" i="5"/>
  <c r="D350" i="5"/>
  <c r="C351" i="5" s="1"/>
  <c r="F349" i="5"/>
  <c r="G349" i="5" s="1"/>
  <c r="F348" i="6" l="1"/>
  <c r="G348" i="6" s="1"/>
  <c r="D349" i="6"/>
  <c r="C350" i="6" s="1"/>
  <c r="E349" i="6"/>
  <c r="E351" i="5"/>
  <c r="D351" i="5"/>
  <c r="C352" i="5" s="1"/>
  <c r="F350" i="5"/>
  <c r="G350" i="5" s="1"/>
  <c r="F349" i="6" l="1"/>
  <c r="G349" i="6" s="1"/>
  <c r="D350" i="6"/>
  <c r="C351" i="6" s="1"/>
  <c r="E350" i="6"/>
  <c r="F351" i="5"/>
  <c r="G351" i="5" s="1"/>
  <c r="D352" i="5"/>
  <c r="C353" i="5" s="1"/>
  <c r="E352" i="5"/>
  <c r="F352" i="5" l="1"/>
  <c r="G352" i="5" s="1"/>
  <c r="F350" i="6"/>
  <c r="G350" i="6" s="1"/>
  <c r="E351" i="6"/>
  <c r="D351" i="6"/>
  <c r="C352" i="6" s="1"/>
  <c r="E353" i="5"/>
  <c r="D353" i="5"/>
  <c r="C354" i="5" s="1"/>
  <c r="D352" i="6" l="1"/>
  <c r="C353" i="6" s="1"/>
  <c r="E352" i="6"/>
  <c r="F351" i="6"/>
  <c r="G351" i="6" s="1"/>
  <c r="D354" i="5"/>
  <c r="C355" i="5" s="1"/>
  <c r="E354" i="5"/>
  <c r="F353" i="5"/>
  <c r="G353" i="5" s="1"/>
  <c r="F354" i="5" l="1"/>
  <c r="G354" i="5" s="1"/>
  <c r="F352" i="6"/>
  <c r="G352" i="6" s="1"/>
  <c r="D353" i="6"/>
  <c r="C354" i="6" s="1"/>
  <c r="E353" i="6"/>
  <c r="E355" i="5"/>
  <c r="D355" i="5"/>
  <c r="C356" i="5" s="1"/>
  <c r="F353" i="6" l="1"/>
  <c r="G353" i="6" s="1"/>
  <c r="D354" i="6"/>
  <c r="C355" i="6" s="1"/>
  <c r="E354" i="6"/>
  <c r="F355" i="5"/>
  <c r="G355" i="5" s="1"/>
  <c r="E356" i="5"/>
  <c r="D356" i="5"/>
  <c r="C357" i="5" s="1"/>
  <c r="E355" i="6" l="1"/>
  <c r="D355" i="6"/>
  <c r="C356" i="6" s="1"/>
  <c r="F354" i="6"/>
  <c r="G354" i="6" s="1"/>
  <c r="E357" i="5"/>
  <c r="D357" i="5"/>
  <c r="C358" i="5" s="1"/>
  <c r="F356" i="5"/>
  <c r="G356" i="5" s="1"/>
  <c r="F355" i="6" l="1"/>
  <c r="G355" i="6" s="1"/>
  <c r="D356" i="6"/>
  <c r="C357" i="6" s="1"/>
  <c r="E356" i="6"/>
  <c r="D358" i="5"/>
  <c r="C359" i="5" s="1"/>
  <c r="E358" i="5"/>
  <c r="F357" i="5"/>
  <c r="G357" i="5" s="1"/>
  <c r="F358" i="5" l="1"/>
  <c r="G358" i="5" s="1"/>
  <c r="D357" i="6"/>
  <c r="C358" i="6" s="1"/>
  <c r="E357" i="6"/>
  <c r="F356" i="6"/>
  <c r="G356" i="6" s="1"/>
  <c r="E359" i="5"/>
  <c r="D359" i="5"/>
  <c r="C360" i="5" s="1"/>
  <c r="F357" i="6" l="1"/>
  <c r="G357" i="6" s="1"/>
  <c r="E358" i="6"/>
  <c r="D358" i="6"/>
  <c r="C359" i="6" s="1"/>
  <c r="D360" i="5"/>
  <c r="C361" i="5" s="1"/>
  <c r="E360" i="5"/>
  <c r="F359" i="5"/>
  <c r="G359" i="5" s="1"/>
  <c r="F360" i="5" l="1"/>
  <c r="G360" i="5" s="1"/>
  <c r="E359" i="6"/>
  <c r="D359" i="6"/>
  <c r="C360" i="6" s="1"/>
  <c r="F358" i="6"/>
  <c r="G358" i="6" s="1"/>
  <c r="E361" i="5"/>
  <c r="D361" i="5"/>
  <c r="C362" i="5" s="1"/>
  <c r="F359" i="6" l="1"/>
  <c r="G359" i="6" s="1"/>
  <c r="D360" i="6"/>
  <c r="C361" i="6" s="1"/>
  <c r="E360" i="6"/>
  <c r="D362" i="5"/>
  <c r="C363" i="5" s="1"/>
  <c r="E362" i="5"/>
  <c r="F361" i="5"/>
  <c r="G361" i="5" s="1"/>
  <c r="F362" i="5" l="1"/>
  <c r="E361" i="6"/>
  <c r="D361" i="6"/>
  <c r="C362" i="6" s="1"/>
  <c r="F360" i="6"/>
  <c r="G360" i="6" s="1"/>
  <c r="G362" i="5"/>
  <c r="D363" i="5"/>
  <c r="C364" i="5" s="1"/>
  <c r="E363" i="5"/>
  <c r="F363" i="5" l="1"/>
  <c r="G363" i="5" s="1"/>
  <c r="E362" i="6"/>
  <c r="D362" i="6"/>
  <c r="C363" i="6" s="1"/>
  <c r="F361" i="6"/>
  <c r="G361" i="6" s="1"/>
  <c r="D364" i="5"/>
  <c r="C365" i="5" s="1"/>
  <c r="E364" i="5"/>
  <c r="F362" i="6" l="1"/>
  <c r="G362" i="6" s="1"/>
  <c r="D363" i="6"/>
  <c r="C364" i="6" s="1"/>
  <c r="E363" i="6"/>
  <c r="D365" i="5"/>
  <c r="C366" i="5" s="1"/>
  <c r="E365" i="5"/>
  <c r="F364" i="5"/>
  <c r="G364" i="5" s="1"/>
  <c r="E364" i="6" l="1"/>
  <c r="D364" i="6"/>
  <c r="C365" i="6" s="1"/>
  <c r="F363" i="6"/>
  <c r="G363" i="6" s="1"/>
  <c r="F365" i="5"/>
  <c r="G365" i="5" s="1"/>
  <c r="E366" i="5"/>
  <c r="D366" i="5"/>
  <c r="C367" i="5" s="1"/>
  <c r="E365" i="6" l="1"/>
  <c r="D365" i="6"/>
  <c r="C366" i="6" s="1"/>
  <c r="F364" i="6"/>
  <c r="G364" i="6" s="1"/>
  <c r="D367" i="5"/>
  <c r="C368" i="5" s="1"/>
  <c r="E367" i="5"/>
  <c r="F366" i="5"/>
  <c r="G366" i="5" s="1"/>
  <c r="F367" i="5" l="1"/>
  <c r="G367" i="5" s="1"/>
  <c r="F365" i="6"/>
  <c r="G365" i="6" s="1"/>
  <c r="E366" i="6"/>
  <c r="D366" i="6"/>
  <c r="C367" i="6" s="1"/>
  <c r="D368" i="5"/>
  <c r="C369" i="5" s="1"/>
  <c r="E368" i="5"/>
  <c r="F366" i="6" l="1"/>
  <c r="G366" i="6" s="1"/>
  <c r="E367" i="6"/>
  <c r="D367" i="6"/>
  <c r="C368" i="6" s="1"/>
  <c r="D369" i="5"/>
  <c r="C370" i="5" s="1"/>
  <c r="E369" i="5"/>
  <c r="F368" i="5"/>
  <c r="G368" i="5" s="1"/>
  <c r="F367" i="6" l="1"/>
  <c r="G367" i="6" s="1"/>
  <c r="E368" i="6"/>
  <c r="D368" i="6"/>
  <c r="C369" i="6" s="1"/>
  <c r="E370" i="5"/>
  <c r="D370" i="5"/>
  <c r="C371" i="5" s="1"/>
  <c r="F369" i="5"/>
  <c r="G369" i="5" s="1"/>
  <c r="E369" i="6" l="1"/>
  <c r="D369" i="6"/>
  <c r="C370" i="6" s="1"/>
  <c r="F368" i="6"/>
  <c r="G368" i="6" s="1"/>
  <c r="F370" i="5"/>
  <c r="G370" i="5" s="1"/>
  <c r="D371" i="5"/>
  <c r="C372" i="5" s="1"/>
  <c r="E371" i="5"/>
  <c r="F371" i="5" l="1"/>
  <c r="G371" i="5" s="1"/>
  <c r="D370" i="6"/>
  <c r="C371" i="6" s="1"/>
  <c r="E370" i="6"/>
  <c r="F369" i="6"/>
  <c r="G369" i="6" s="1"/>
  <c r="D372" i="5"/>
  <c r="C373" i="5" s="1"/>
  <c r="E372" i="5"/>
  <c r="F372" i="5" l="1"/>
  <c r="G372" i="5" s="1"/>
  <c r="E371" i="6"/>
  <c r="D371" i="6"/>
  <c r="C372" i="6" s="1"/>
  <c r="F370" i="6"/>
  <c r="G370" i="6" s="1"/>
  <c r="D373" i="5"/>
  <c r="C374" i="5" s="1"/>
  <c r="E373" i="5"/>
  <c r="E372" i="6" l="1"/>
  <c r="D372" i="6"/>
  <c r="C373" i="6" s="1"/>
  <c r="F371" i="6"/>
  <c r="G371" i="6" s="1"/>
  <c r="D374" i="5"/>
  <c r="F374" i="5" s="1"/>
  <c r="E374" i="5"/>
  <c r="F373" i="5"/>
  <c r="G373" i="5" s="1"/>
  <c r="G374" i="5" l="1"/>
  <c r="E373" i="6"/>
  <c r="D373" i="6"/>
  <c r="C374" i="6" s="1"/>
  <c r="F372" i="6"/>
  <c r="G372" i="6" s="1"/>
  <c r="F373" i="6" l="1"/>
  <c r="G373" i="6" s="1"/>
  <c r="E374" i="6"/>
  <c r="D374" i="6"/>
  <c r="F374" i="6" s="1"/>
  <c r="G374" i="6" l="1"/>
  <c r="D117" i="1"/>
  <c r="E117" i="1"/>
  <c r="F117" i="1"/>
  <c r="G117" i="1"/>
  <c r="H117" i="1"/>
  <c r="I117" i="1"/>
  <c r="J117" i="1"/>
  <c r="K117" i="1"/>
  <c r="L117" i="1"/>
  <c r="M117" i="1"/>
  <c r="N117" i="1"/>
  <c r="O117" i="1"/>
  <c r="P117" i="1"/>
  <c r="Q117" i="1"/>
  <c r="R117" i="1"/>
  <c r="S117" i="1"/>
  <c r="T117" i="1"/>
  <c r="U117" i="1"/>
  <c r="V117" i="1"/>
  <c r="W117" i="1"/>
  <c r="X117" i="1"/>
  <c r="Y117" i="1"/>
  <c r="Z117" i="1"/>
  <c r="AA117" i="1"/>
  <c r="AB117" i="1"/>
  <c r="AC117" i="1"/>
  <c r="AD117" i="1"/>
  <c r="AE117" i="1"/>
  <c r="AF117" i="1"/>
  <c r="R151" i="1" l="1"/>
  <c r="R171" i="1"/>
  <c r="Q224" i="8" s="1"/>
  <c r="R118" i="1"/>
  <c r="R122" i="1" s="1"/>
  <c r="Y151" i="1"/>
  <c r="Y171" i="1"/>
  <c r="Y118" i="1"/>
  <c r="Y122" i="1" s="1"/>
  <c r="H151" i="1"/>
  <c r="H118" i="1"/>
  <c r="I151" i="1"/>
  <c r="I118" i="1"/>
  <c r="AE151" i="1"/>
  <c r="AE171" i="1"/>
  <c r="AE118" i="1"/>
  <c r="AE122" i="1" s="1"/>
  <c r="O151" i="1"/>
  <c r="O171" i="1"/>
  <c r="N224" i="8" s="1"/>
  <c r="O118" i="1"/>
  <c r="O122" i="1" s="1"/>
  <c r="G151" i="1"/>
  <c r="G118" i="1"/>
  <c r="AF151" i="1"/>
  <c r="AF171" i="1"/>
  <c r="AF118" i="1"/>
  <c r="AF122" i="1" s="1"/>
  <c r="F151" i="1"/>
  <c r="F118" i="1"/>
  <c r="V151" i="1"/>
  <c r="V171" i="1"/>
  <c r="U224" i="8" s="1"/>
  <c r="V118" i="1"/>
  <c r="V122" i="1" s="1"/>
  <c r="N151" i="1"/>
  <c r="N171" i="1"/>
  <c r="M224" i="8" s="1"/>
  <c r="N118" i="1"/>
  <c r="N122" i="1" s="1"/>
  <c r="AC151" i="1"/>
  <c r="AC171" i="1"/>
  <c r="AC118" i="1"/>
  <c r="AC122" i="1" s="1"/>
  <c r="U151" i="1"/>
  <c r="U171" i="1"/>
  <c r="T224" i="8" s="1"/>
  <c r="U118" i="1"/>
  <c r="U122" i="1" s="1"/>
  <c r="M151" i="1"/>
  <c r="M171" i="1"/>
  <c r="L224" i="8" s="1"/>
  <c r="M118" i="1"/>
  <c r="M122" i="1" s="1"/>
  <c r="E151" i="1"/>
  <c r="E118" i="1"/>
  <c r="J151" i="1"/>
  <c r="J118" i="1"/>
  <c r="J122" i="1" s="1"/>
  <c r="J171" i="1"/>
  <c r="I224" i="8" s="1"/>
  <c r="P151" i="1"/>
  <c r="P171" i="1"/>
  <c r="O224" i="8" s="1"/>
  <c r="P118" i="1"/>
  <c r="P122" i="1" s="1"/>
  <c r="AD151" i="1"/>
  <c r="AD171" i="1"/>
  <c r="AD118" i="1"/>
  <c r="AD122" i="1" s="1"/>
  <c r="T151" i="1"/>
  <c r="T171" i="1"/>
  <c r="S224" i="8" s="1"/>
  <c r="T118" i="1"/>
  <c r="T122" i="1" s="1"/>
  <c r="L151" i="1"/>
  <c r="L118" i="1"/>
  <c r="L122" i="1" s="1"/>
  <c r="L171" i="1"/>
  <c r="K224" i="8" s="1"/>
  <c r="D151" i="1"/>
  <c r="D118" i="1"/>
  <c r="D122" i="1" s="1"/>
  <c r="D171" i="1"/>
  <c r="C224" i="8" s="1"/>
  <c r="Z151" i="1"/>
  <c r="Z171" i="1"/>
  <c r="Z118" i="1"/>
  <c r="Z122" i="1" s="1"/>
  <c r="Q151" i="1"/>
  <c r="Q171" i="1"/>
  <c r="P224" i="8" s="1"/>
  <c r="Q118" i="1"/>
  <c r="Q122" i="1" s="1"/>
  <c r="X151" i="1"/>
  <c r="X171" i="1"/>
  <c r="X118" i="1"/>
  <c r="X122" i="1" s="1"/>
  <c r="W151" i="1"/>
  <c r="W171" i="1"/>
  <c r="W118" i="1"/>
  <c r="W122" i="1" s="1"/>
  <c r="AB151" i="1"/>
  <c r="AB171" i="1"/>
  <c r="AB118" i="1"/>
  <c r="AB122" i="1" s="1"/>
  <c r="AA151" i="1"/>
  <c r="AA171" i="1"/>
  <c r="AA118" i="1"/>
  <c r="AA122" i="1" s="1"/>
  <c r="S151" i="1"/>
  <c r="S171" i="1"/>
  <c r="R224" i="8" s="1"/>
  <c r="S118" i="1"/>
  <c r="S122" i="1" s="1"/>
  <c r="K151" i="1"/>
  <c r="K118" i="1"/>
  <c r="K122" i="1" s="1"/>
  <c r="K171" i="1"/>
  <c r="J224" i="8" s="1"/>
  <c r="D174" i="1" l="1"/>
  <c r="D172" i="1"/>
  <c r="C225" i="8" s="1"/>
  <c r="Q161" i="1"/>
  <c r="Q153" i="1"/>
  <c r="Q154" i="1" s="1"/>
  <c r="E161" i="1"/>
  <c r="E153" i="1"/>
  <c r="E154" i="1" s="1"/>
  <c r="AA172" i="1"/>
  <c r="AA174" i="1"/>
  <c r="AA175" i="1" s="1"/>
  <c r="X150" i="1"/>
  <c r="X126" i="1"/>
  <c r="Z161" i="1"/>
  <c r="Z153" i="1"/>
  <c r="Z154" i="1" s="1"/>
  <c r="T174" i="1"/>
  <c r="T172" i="1"/>
  <c r="S225" i="8" s="1"/>
  <c r="J174" i="1"/>
  <c r="J172" i="1"/>
  <c r="I225" i="8" s="1"/>
  <c r="M153" i="1"/>
  <c r="M154" i="1" s="1"/>
  <c r="M161" i="1"/>
  <c r="N172" i="1"/>
  <c r="M225" i="8" s="1"/>
  <c r="N174" i="1"/>
  <c r="AF126" i="1"/>
  <c r="AF150" i="1"/>
  <c r="O161" i="1"/>
  <c r="O153" i="1"/>
  <c r="O154" i="1" s="1"/>
  <c r="AA161" i="1"/>
  <c r="AA153" i="1"/>
  <c r="AA154" i="1" s="1"/>
  <c r="U126" i="1"/>
  <c r="U150" i="1"/>
  <c r="N153" i="1"/>
  <c r="N154" i="1" s="1"/>
  <c r="N161" i="1"/>
  <c r="H153" i="1"/>
  <c r="H154" i="1" s="1"/>
  <c r="H161" i="1"/>
  <c r="AB150" i="1"/>
  <c r="AB126" i="1"/>
  <c r="X153" i="1"/>
  <c r="X154" i="1" s="1"/>
  <c r="X161" i="1"/>
  <c r="AD150" i="1"/>
  <c r="AD126" i="1"/>
  <c r="J161" i="1"/>
  <c r="J153" i="1"/>
  <c r="J154" i="1" s="1"/>
  <c r="U174" i="1"/>
  <c r="U172" i="1"/>
  <c r="T225" i="8" s="1"/>
  <c r="V150" i="1"/>
  <c r="V126" i="1"/>
  <c r="AF161" i="1"/>
  <c r="AF153" i="1"/>
  <c r="AF154" i="1" s="1"/>
  <c r="AE174" i="1"/>
  <c r="AE175" i="1" s="1"/>
  <c r="AE172" i="1"/>
  <c r="Y150" i="1"/>
  <c r="Y126" i="1"/>
  <c r="J150" i="1"/>
  <c r="J126" i="1"/>
  <c r="AE150" i="1"/>
  <c r="AE126" i="1"/>
  <c r="K150" i="1"/>
  <c r="K126" i="1"/>
  <c r="D150" i="1"/>
  <c r="D126" i="1"/>
  <c r="K153" i="1"/>
  <c r="K154" i="1" s="1"/>
  <c r="K161" i="1"/>
  <c r="AB172" i="1"/>
  <c r="AB174" i="1"/>
  <c r="AB175" i="1" s="1"/>
  <c r="Q150" i="1"/>
  <c r="Q126" i="1"/>
  <c r="D153" i="1"/>
  <c r="D154" i="1" s="1"/>
  <c r="D161" i="1"/>
  <c r="AD174" i="1"/>
  <c r="AD175" i="1" s="1"/>
  <c r="AD172" i="1"/>
  <c r="U161" i="1"/>
  <c r="U153" i="1"/>
  <c r="U154" i="1" s="1"/>
  <c r="V172" i="1"/>
  <c r="U225" i="8" s="1"/>
  <c r="V174" i="1"/>
  <c r="AE153" i="1"/>
  <c r="AE154" i="1" s="1"/>
  <c r="AE161" i="1"/>
  <c r="Y172" i="1"/>
  <c r="Y174" i="1"/>
  <c r="Y175" i="1" s="1"/>
  <c r="X172" i="1"/>
  <c r="X174" i="1"/>
  <c r="X175" i="1" s="1"/>
  <c r="T153" i="1"/>
  <c r="T154" i="1" s="1"/>
  <c r="T161" i="1"/>
  <c r="AF174" i="1"/>
  <c r="AF175" i="1" s="1"/>
  <c r="AF172" i="1"/>
  <c r="S150" i="1"/>
  <c r="S126" i="1"/>
  <c r="AB153" i="1"/>
  <c r="AB154" i="1" s="1"/>
  <c r="AB161" i="1"/>
  <c r="Q174" i="1"/>
  <c r="Q172" i="1"/>
  <c r="P225" i="8" s="1"/>
  <c r="L174" i="1"/>
  <c r="L172" i="1"/>
  <c r="K225" i="8" s="1"/>
  <c r="AD161" i="1"/>
  <c r="AD153" i="1"/>
  <c r="AD154" i="1" s="1"/>
  <c r="AC150" i="1"/>
  <c r="AC126" i="1"/>
  <c r="V153" i="1"/>
  <c r="V154" i="1" s="1"/>
  <c r="V161" i="1"/>
  <c r="Y161" i="1"/>
  <c r="Y153" i="1"/>
  <c r="Y154" i="1" s="1"/>
  <c r="W126" i="1"/>
  <c r="W150" i="1"/>
  <c r="P150" i="1"/>
  <c r="P126" i="1"/>
  <c r="S153" i="1"/>
  <c r="S154" i="1" s="1"/>
  <c r="S161" i="1"/>
  <c r="Z150" i="1"/>
  <c r="Z126" i="1"/>
  <c r="L153" i="1"/>
  <c r="L154" i="1" s="1"/>
  <c r="L161" i="1"/>
  <c r="P172" i="1"/>
  <c r="O225" i="8" s="1"/>
  <c r="P174" i="1"/>
  <c r="M126" i="1"/>
  <c r="M150" i="1"/>
  <c r="M155" i="1" s="1"/>
  <c r="M156" i="1" s="1"/>
  <c r="M127" i="1" s="1"/>
  <c r="AC153" i="1"/>
  <c r="AC154" i="1" s="1"/>
  <c r="AC161" i="1"/>
  <c r="O150" i="1"/>
  <c r="O126" i="1"/>
  <c r="I153" i="1"/>
  <c r="I154" i="1" s="1"/>
  <c r="I161" i="1"/>
  <c r="R174" i="1"/>
  <c r="R172" i="1"/>
  <c r="Q225" i="8" s="1"/>
  <c r="K174" i="1"/>
  <c r="K172" i="1"/>
  <c r="J225" i="8" s="1"/>
  <c r="S172" i="1"/>
  <c r="R225" i="8" s="1"/>
  <c r="S174" i="1"/>
  <c r="L150" i="1"/>
  <c r="L126" i="1"/>
  <c r="AC174" i="1"/>
  <c r="AC175" i="1" s="1"/>
  <c r="AC172" i="1"/>
  <c r="G161" i="1"/>
  <c r="G153" i="1"/>
  <c r="G154" i="1" s="1"/>
  <c r="R126" i="1"/>
  <c r="R150" i="1"/>
  <c r="W172" i="1"/>
  <c r="W174" i="1"/>
  <c r="W175" i="1" s="1"/>
  <c r="AA150" i="1"/>
  <c r="AA126" i="1"/>
  <c r="W153" i="1"/>
  <c r="W154" i="1" s="1"/>
  <c r="W161" i="1"/>
  <c r="Z172" i="1"/>
  <c r="Z174" i="1"/>
  <c r="Z175" i="1" s="1"/>
  <c r="T150" i="1"/>
  <c r="T155" i="1" s="1"/>
  <c r="T156" i="1" s="1"/>
  <c r="T127" i="1" s="1"/>
  <c r="T126" i="1"/>
  <c r="P161" i="1"/>
  <c r="P153" i="1"/>
  <c r="P154" i="1" s="1"/>
  <c r="M172" i="1"/>
  <c r="L225" i="8" s="1"/>
  <c r="M174" i="1"/>
  <c r="N150" i="1"/>
  <c r="N126" i="1"/>
  <c r="F153" i="1"/>
  <c r="F154" i="1" s="1"/>
  <c r="F161" i="1"/>
  <c r="O172" i="1"/>
  <c r="N225" i="8" s="1"/>
  <c r="O174" i="1"/>
  <c r="R153" i="1"/>
  <c r="R154" i="1" s="1"/>
  <c r="R161" i="1"/>
  <c r="P175" i="1" l="1"/>
  <c r="O228" i="8" s="1"/>
  <c r="O227" i="8"/>
  <c r="T175" i="1"/>
  <c r="S228" i="8" s="1"/>
  <c r="S227" i="8"/>
  <c r="J175" i="1"/>
  <c r="I228" i="8" s="1"/>
  <c r="I227" i="8"/>
  <c r="Q175" i="1"/>
  <c r="P228" i="8" s="1"/>
  <c r="P227" i="8"/>
  <c r="V175" i="1"/>
  <c r="U228" i="8" s="1"/>
  <c r="U227" i="8"/>
  <c r="N175" i="1"/>
  <c r="M228" i="8" s="1"/>
  <c r="M227" i="8"/>
  <c r="L175" i="1"/>
  <c r="K228" i="8" s="1"/>
  <c r="K227" i="8"/>
  <c r="S175" i="1"/>
  <c r="R228" i="8" s="1"/>
  <c r="R227" i="8"/>
  <c r="M175" i="1"/>
  <c r="L228" i="8" s="1"/>
  <c r="L227" i="8"/>
  <c r="K175" i="1"/>
  <c r="J228" i="8" s="1"/>
  <c r="J227" i="8"/>
  <c r="U175" i="1"/>
  <c r="T228" i="8" s="1"/>
  <c r="T227" i="8"/>
  <c r="O175" i="1"/>
  <c r="N228" i="8" s="1"/>
  <c r="N227" i="8"/>
  <c r="R175" i="1"/>
  <c r="Q228" i="8" s="1"/>
  <c r="Q227" i="8"/>
  <c r="D175" i="1"/>
  <c r="C228" i="8" s="1"/>
  <c r="C227" i="8"/>
  <c r="AA155" i="1"/>
  <c r="AA156" i="1" s="1"/>
  <c r="AA127" i="1" s="1"/>
  <c r="Z155" i="1"/>
  <c r="Z156" i="1" s="1"/>
  <c r="Z127" i="1" s="1"/>
  <c r="Q155" i="1"/>
  <c r="Q156" i="1" s="1"/>
  <c r="Q127" i="1" s="1"/>
  <c r="L155" i="1"/>
  <c r="L156" i="1" s="1"/>
  <c r="L127" i="1" s="1"/>
  <c r="O155" i="1"/>
  <c r="O156" i="1" s="1"/>
  <c r="O127" i="1" s="1"/>
  <c r="N155" i="1"/>
  <c r="N156" i="1" s="1"/>
  <c r="N127" i="1" s="1"/>
  <c r="AE155" i="1"/>
  <c r="AE156" i="1" s="1"/>
  <c r="AE127" i="1" s="1"/>
  <c r="R155" i="1"/>
  <c r="R156" i="1" s="1"/>
  <c r="R127" i="1" s="1"/>
  <c r="J155" i="1"/>
  <c r="J156" i="1" s="1"/>
  <c r="J127" i="1" s="1"/>
  <c r="L157" i="1"/>
  <c r="L128" i="1" s="1"/>
  <c r="AC163" i="1"/>
  <c r="AD20" i="4" s="1"/>
  <c r="Y163" i="1"/>
  <c r="AC157" i="1"/>
  <c r="AC128" i="1" s="1"/>
  <c r="D163" i="1"/>
  <c r="E20" i="4" s="1"/>
  <c r="V157" i="1"/>
  <c r="V128" i="1" s="1"/>
  <c r="AD155" i="1"/>
  <c r="AD156" i="1" s="1"/>
  <c r="AD127" i="1" s="1"/>
  <c r="AA163" i="1"/>
  <c r="Z157" i="1"/>
  <c r="Z128" i="1" s="1"/>
  <c r="Z129" i="1" s="1"/>
  <c r="AA27" i="4" s="1"/>
  <c r="AB47" i="4" s="1"/>
  <c r="AC155" i="1"/>
  <c r="AC156" i="1" s="1"/>
  <c r="AC127" i="1" s="1"/>
  <c r="D157" i="1"/>
  <c r="D128" i="1" s="1"/>
  <c r="Y157" i="1"/>
  <c r="Y128" i="1" s="1"/>
  <c r="V155" i="1"/>
  <c r="V156" i="1" s="1"/>
  <c r="V127" i="1" s="1"/>
  <c r="R163" i="1"/>
  <c r="S20" i="4" s="1"/>
  <c r="P157" i="1"/>
  <c r="P128" i="1" s="1"/>
  <c r="AE163" i="1"/>
  <c r="U163" i="1"/>
  <c r="Q157" i="1"/>
  <c r="Q128" i="1" s="1"/>
  <c r="D155" i="1"/>
  <c r="D156" i="1" s="1"/>
  <c r="D127" i="1" s="1"/>
  <c r="Y155" i="1"/>
  <c r="Y156" i="1" s="1"/>
  <c r="Y127" i="1" s="1"/>
  <c r="X163" i="1"/>
  <c r="N163" i="1"/>
  <c r="E163" i="1"/>
  <c r="T157" i="1"/>
  <c r="T128" i="1" s="1"/>
  <c r="T129" i="1" s="1"/>
  <c r="U27" i="4" s="1"/>
  <c r="V47" i="4" s="1"/>
  <c r="I163" i="1"/>
  <c r="J20" i="4" s="1"/>
  <c r="R157" i="1"/>
  <c r="R128" i="1" s="1"/>
  <c r="W163" i="1"/>
  <c r="O157" i="1"/>
  <c r="O128" i="1" s="1"/>
  <c r="M157" i="1"/>
  <c r="M128" i="1" s="1"/>
  <c r="M130" i="1" s="1"/>
  <c r="P155" i="1"/>
  <c r="P156" i="1" s="1"/>
  <c r="P127" i="1" s="1"/>
  <c r="T163" i="1"/>
  <c r="U20" i="4" s="1"/>
  <c r="K157" i="1"/>
  <c r="K128" i="1" s="1"/>
  <c r="M163" i="1"/>
  <c r="Z163" i="1"/>
  <c r="S163" i="1"/>
  <c r="T20" i="4" s="1"/>
  <c r="W155" i="1"/>
  <c r="W156" i="1" s="1"/>
  <c r="W127" i="1" s="1"/>
  <c r="AB163" i="1"/>
  <c r="AC20" i="4" s="1"/>
  <c r="K155" i="1"/>
  <c r="K156" i="1" s="1"/>
  <c r="K127" i="1" s="1"/>
  <c r="AB157" i="1"/>
  <c r="AB128" i="1" s="1"/>
  <c r="U155" i="1"/>
  <c r="U156" i="1" s="1"/>
  <c r="U127" i="1" s="1"/>
  <c r="X157" i="1"/>
  <c r="X128" i="1" s="1"/>
  <c r="F163" i="1"/>
  <c r="G20" i="4" s="1"/>
  <c r="P163" i="1"/>
  <c r="Q20" i="4" s="1"/>
  <c r="AA157" i="1"/>
  <c r="AA128" i="1" s="1"/>
  <c r="G163" i="1"/>
  <c r="H20" i="4" s="1"/>
  <c r="W157" i="1"/>
  <c r="W128" i="1" s="1"/>
  <c r="AE157" i="1"/>
  <c r="AE128" i="1" s="1"/>
  <c r="AE129" i="1" s="1"/>
  <c r="AF27" i="4" s="1"/>
  <c r="AG47" i="4" s="1"/>
  <c r="AB155" i="1"/>
  <c r="AB156" i="1" s="1"/>
  <c r="AB127" i="1" s="1"/>
  <c r="U157" i="1"/>
  <c r="U128" i="1" s="1"/>
  <c r="O163" i="1"/>
  <c r="P20" i="4" s="1"/>
  <c r="X155" i="1"/>
  <c r="X156" i="1" s="1"/>
  <c r="X127" i="1" s="1"/>
  <c r="Q163" i="1"/>
  <c r="R20" i="4" s="1"/>
  <c r="S157" i="1"/>
  <c r="S128" i="1" s="1"/>
  <c r="J163" i="1"/>
  <c r="K20" i="4" s="1"/>
  <c r="AF155" i="1"/>
  <c r="AF156" i="1" s="1"/>
  <c r="AF127" i="1" s="1"/>
  <c r="V163" i="1"/>
  <c r="W20" i="4" s="1"/>
  <c r="AD163" i="1"/>
  <c r="AE20" i="4" s="1"/>
  <c r="N157" i="1"/>
  <c r="N128" i="1" s="1"/>
  <c r="AC162" i="1"/>
  <c r="L163" i="1"/>
  <c r="S155" i="1"/>
  <c r="S156" i="1" s="1"/>
  <c r="S127" i="1" s="1"/>
  <c r="K163" i="1"/>
  <c r="J157" i="1"/>
  <c r="J128" i="1" s="1"/>
  <c r="AF163" i="1"/>
  <c r="AD157" i="1"/>
  <c r="AD128" i="1" s="1"/>
  <c r="H163" i="1"/>
  <c r="AF157" i="1"/>
  <c r="AF128" i="1" s="1"/>
  <c r="AA129" i="1" l="1"/>
  <c r="AB27" i="4" s="1"/>
  <c r="AC47" i="4" s="1"/>
  <c r="J129" i="1"/>
  <c r="K27" i="4" s="1"/>
  <c r="L47" i="4" s="1"/>
  <c r="K130" i="1"/>
  <c r="L129" i="1"/>
  <c r="M27" i="4" s="1"/>
  <c r="N47" i="4" s="1"/>
  <c r="D162" i="1"/>
  <c r="E19" i="4" s="1"/>
  <c r="S130" i="1"/>
  <c r="N129" i="1"/>
  <c r="O27" i="4" s="1"/>
  <c r="P47" i="4" s="1"/>
  <c r="AB130" i="1"/>
  <c r="AD129" i="1"/>
  <c r="AE27" i="4" s="1"/>
  <c r="AF47" i="4" s="1"/>
  <c r="X130" i="1"/>
  <c r="R130" i="1"/>
  <c r="Q129" i="1"/>
  <c r="R27" i="4" s="1"/>
  <c r="S47" i="4" s="1"/>
  <c r="P130" i="1"/>
  <c r="O129" i="1"/>
  <c r="P27" i="4" s="1"/>
  <c r="Q47" i="4" s="1"/>
  <c r="V130" i="1"/>
  <c r="AF130" i="1"/>
  <c r="AC130" i="1"/>
  <c r="AF129" i="1"/>
  <c r="AG27" i="4" s="1"/>
  <c r="AH47" i="4" s="1"/>
  <c r="U130" i="1"/>
  <c r="Y130" i="1"/>
  <c r="AE130" i="1"/>
  <c r="W130" i="1"/>
  <c r="J130" i="1"/>
  <c r="N130" i="1"/>
  <c r="P129" i="1"/>
  <c r="Q27" i="4" s="1"/>
  <c r="R47" i="4" s="1"/>
  <c r="Z130" i="1"/>
  <c r="K129" i="1"/>
  <c r="L27" i="4" s="1"/>
  <c r="M47" i="4" s="1"/>
  <c r="D130" i="1"/>
  <c r="S129" i="1"/>
  <c r="T27" i="4" s="1"/>
  <c r="U47" i="4" s="1"/>
  <c r="W129" i="1"/>
  <c r="X27" i="4" s="1"/>
  <c r="Y47" i="4" s="1"/>
  <c r="X129" i="1"/>
  <c r="Y27" i="4" s="1"/>
  <c r="Z47" i="4" s="1"/>
  <c r="AA20" i="4"/>
  <c r="Z162" i="1"/>
  <c r="T130" i="1"/>
  <c r="O20" i="4"/>
  <c r="N162" i="1"/>
  <c r="R129" i="1"/>
  <c r="S27" i="4" s="1"/>
  <c r="T47" i="4" s="1"/>
  <c r="AC164" i="1"/>
  <c r="AC165" i="1" s="1"/>
  <c r="Q162" i="1"/>
  <c r="G162" i="1"/>
  <c r="AD130" i="1"/>
  <c r="X20" i="4"/>
  <c r="W162" i="1"/>
  <c r="V20" i="4"/>
  <c r="U162" i="1"/>
  <c r="M129" i="1"/>
  <c r="N27" i="4" s="1"/>
  <c r="O47" i="4" s="1"/>
  <c r="Y129" i="1"/>
  <c r="Z27" i="4" s="1"/>
  <c r="AA47" i="4" s="1"/>
  <c r="L130" i="1"/>
  <c r="AB162" i="1"/>
  <c r="I20" i="4"/>
  <c r="H162" i="1"/>
  <c r="L20" i="4"/>
  <c r="K162" i="1"/>
  <c r="U129" i="1"/>
  <c r="V27" i="4" s="1"/>
  <c r="W47" i="4" s="1"/>
  <c r="AB129" i="1"/>
  <c r="AC27" i="4" s="1"/>
  <c r="AD47" i="4" s="1"/>
  <c r="N20" i="4"/>
  <c r="M162" i="1"/>
  <c r="Y20" i="4"/>
  <c r="X162" i="1"/>
  <c r="AB20" i="4"/>
  <c r="AA162" i="1"/>
  <c r="AC129" i="1"/>
  <c r="AD27" i="4" s="1"/>
  <c r="AE47" i="4" s="1"/>
  <c r="S162" i="1"/>
  <c r="M20" i="4"/>
  <c r="L162" i="1"/>
  <c r="F20" i="4"/>
  <c r="E162" i="1"/>
  <c r="D129" i="1"/>
  <c r="E27" i="4" s="1"/>
  <c r="J162" i="1"/>
  <c r="T162" i="1"/>
  <c r="AF20" i="4"/>
  <c r="AE162" i="1"/>
  <c r="AD162" i="1"/>
  <c r="I162" i="1"/>
  <c r="AG20" i="4"/>
  <c r="AF162" i="1"/>
  <c r="AA130" i="1"/>
  <c r="R162" i="1"/>
  <c r="O130" i="1"/>
  <c r="Q130" i="1"/>
  <c r="V129" i="1"/>
  <c r="W27" i="4" s="1"/>
  <c r="X47" i="4" s="1"/>
  <c r="Z20" i="4"/>
  <c r="Y162" i="1"/>
  <c r="P162" i="1"/>
  <c r="O162" i="1"/>
  <c r="D164" i="1"/>
  <c r="D165" i="1" s="1"/>
  <c r="AD19" i="4"/>
  <c r="F162" i="1"/>
  <c r="V162" i="1"/>
  <c r="C20" i="4" l="1"/>
  <c r="I164" i="1"/>
  <c r="I165" i="1" s="1"/>
  <c r="J19" i="4"/>
  <c r="T19" i="4"/>
  <c r="S164" i="1"/>
  <c r="S165" i="1" s="1"/>
  <c r="N164" i="1"/>
  <c r="N165" i="1" s="1"/>
  <c r="O19" i="4"/>
  <c r="T164" i="1"/>
  <c r="T165" i="1" s="1"/>
  <c r="U19" i="4"/>
  <c r="Q19" i="4"/>
  <c r="P164" i="1"/>
  <c r="P165" i="1" s="1"/>
  <c r="J164" i="1"/>
  <c r="J165" i="1" s="1"/>
  <c r="K19" i="4"/>
  <c r="AA164" i="1"/>
  <c r="AA165" i="1" s="1"/>
  <c r="AB19" i="4"/>
  <c r="K164" i="1"/>
  <c r="K165" i="1" s="1"/>
  <c r="L19" i="4"/>
  <c r="U164" i="1"/>
  <c r="U165" i="1" s="1"/>
  <c r="V19" i="4"/>
  <c r="H19" i="4"/>
  <c r="G164" i="1"/>
  <c r="G165" i="1" s="1"/>
  <c r="P19" i="4"/>
  <c r="O164" i="1"/>
  <c r="O165" i="1" s="1"/>
  <c r="AG19" i="4"/>
  <c r="AF164" i="1"/>
  <c r="AF165" i="1" s="1"/>
  <c r="F47" i="4"/>
  <c r="AA19" i="4"/>
  <c r="Z164" i="1"/>
  <c r="Z165" i="1" s="1"/>
  <c r="S19" i="4"/>
  <c r="R164" i="1"/>
  <c r="R165" i="1" s="1"/>
  <c r="Z19" i="4"/>
  <c r="Y164" i="1"/>
  <c r="Y165" i="1" s="1"/>
  <c r="W19" i="4"/>
  <c r="V164" i="1"/>
  <c r="V165" i="1" s="1"/>
  <c r="E164" i="1"/>
  <c r="E165" i="1" s="1"/>
  <c r="F19" i="4"/>
  <c r="X164" i="1"/>
  <c r="X165" i="1" s="1"/>
  <c r="Y19" i="4"/>
  <c r="I19" i="4"/>
  <c r="H164" i="1"/>
  <c r="H165" i="1" s="1"/>
  <c r="X19" i="4"/>
  <c r="W164" i="1"/>
  <c r="W165" i="1" s="1"/>
  <c r="Q164" i="1"/>
  <c r="Q165" i="1" s="1"/>
  <c r="R19" i="4"/>
  <c r="AD45" i="4"/>
  <c r="AD65" i="4"/>
  <c r="AD66" i="4" s="1"/>
  <c r="AD26" i="4"/>
  <c r="AD28" i="4" s="1"/>
  <c r="AC131" i="1" s="1"/>
  <c r="AC132" i="1" s="1"/>
  <c r="AD164" i="1"/>
  <c r="AD165" i="1" s="1"/>
  <c r="AE19" i="4"/>
  <c r="L164" i="1"/>
  <c r="L165" i="1" s="1"/>
  <c r="M19" i="4"/>
  <c r="M164" i="1"/>
  <c r="M165" i="1" s="1"/>
  <c r="N19" i="4"/>
  <c r="AC19" i="4"/>
  <c r="AB164" i="1"/>
  <c r="AB165" i="1" s="1"/>
  <c r="E26" i="4"/>
  <c r="E28" i="4" s="1"/>
  <c r="D131" i="1" s="1"/>
  <c r="D132" i="1" s="1"/>
  <c r="E45" i="4"/>
  <c r="E65" i="4"/>
  <c r="E66" i="4" s="1"/>
  <c r="G19" i="4"/>
  <c r="F164" i="1"/>
  <c r="F165" i="1" s="1"/>
  <c r="AE164" i="1"/>
  <c r="AE165" i="1" s="1"/>
  <c r="AF19" i="4"/>
  <c r="C19" i="4" l="1"/>
  <c r="AC65" i="4"/>
  <c r="AC66" i="4" s="1"/>
  <c r="AC45" i="4"/>
  <c r="AC26" i="4"/>
  <c r="AC28" i="4" s="1"/>
  <c r="AB131" i="1" s="1"/>
  <c r="AB132" i="1" s="1"/>
  <c r="AE45" i="4"/>
  <c r="AE65" i="4"/>
  <c r="AE66" i="4" s="1"/>
  <c r="AE26" i="4"/>
  <c r="AE28" i="4" s="1"/>
  <c r="AD131" i="1" s="1"/>
  <c r="AD132" i="1" s="1"/>
  <c r="Z26" i="4"/>
  <c r="Z28" i="4" s="1"/>
  <c r="Y131" i="1" s="1"/>
  <c r="Y132" i="1" s="1"/>
  <c r="Z45" i="4"/>
  <c r="Z65" i="4"/>
  <c r="Z66" i="4" s="1"/>
  <c r="Q26" i="4"/>
  <c r="Q28" i="4" s="1"/>
  <c r="P131" i="1" s="1"/>
  <c r="P132" i="1" s="1"/>
  <c r="Q45" i="4"/>
  <c r="Q65" i="4"/>
  <c r="Q66" i="4" s="1"/>
  <c r="E67" i="4"/>
  <c r="E68" i="4"/>
  <c r="N26" i="4"/>
  <c r="N28" i="4" s="1"/>
  <c r="M131" i="1" s="1"/>
  <c r="M132" i="1" s="1"/>
  <c r="N45" i="4"/>
  <c r="N65" i="4"/>
  <c r="N66" i="4" s="1"/>
  <c r="X45" i="4"/>
  <c r="X65" i="4"/>
  <c r="X66" i="4" s="1"/>
  <c r="X26" i="4"/>
  <c r="X28" i="4" s="1"/>
  <c r="W131" i="1" s="1"/>
  <c r="W132" i="1" s="1"/>
  <c r="F65" i="4"/>
  <c r="F66" i="4" s="1"/>
  <c r="F45" i="4"/>
  <c r="H65" i="4"/>
  <c r="H66" i="4" s="1"/>
  <c r="H45" i="4"/>
  <c r="AB45" i="4"/>
  <c r="AB65" i="4"/>
  <c r="AB66" i="4" s="1"/>
  <c r="AB26" i="4"/>
  <c r="AB28" i="4" s="1"/>
  <c r="AA131" i="1" s="1"/>
  <c r="AA132" i="1" s="1"/>
  <c r="AF45" i="4"/>
  <c r="AF26" i="4"/>
  <c r="AF28" i="4" s="1"/>
  <c r="AE131" i="1" s="1"/>
  <c r="AE132" i="1" s="1"/>
  <c r="AF65" i="4"/>
  <c r="AF66" i="4" s="1"/>
  <c r="E51" i="4"/>
  <c r="E52" i="4" s="1"/>
  <c r="AD83" i="4"/>
  <c r="AE50" i="4"/>
  <c r="U26" i="4"/>
  <c r="U28" i="4" s="1"/>
  <c r="T131" i="1" s="1"/>
  <c r="T132" i="1" s="1"/>
  <c r="U45" i="4"/>
  <c r="U65" i="4"/>
  <c r="U66" i="4" s="1"/>
  <c r="T45" i="4"/>
  <c r="T65" i="4"/>
  <c r="T66" i="4" s="1"/>
  <c r="T26" i="4"/>
  <c r="T28" i="4" s="1"/>
  <c r="S131" i="1" s="1"/>
  <c r="S132" i="1" s="1"/>
  <c r="E83" i="4"/>
  <c r="E57" i="4"/>
  <c r="AD67" i="4"/>
  <c r="AD68" i="4"/>
  <c r="S45" i="4"/>
  <c r="S26" i="4"/>
  <c r="S28" i="4" s="1"/>
  <c r="R131" i="1" s="1"/>
  <c r="R132" i="1" s="1"/>
  <c r="S65" i="4"/>
  <c r="S66" i="4" s="1"/>
  <c r="AG45" i="4"/>
  <c r="AG65" i="4"/>
  <c r="AG66" i="4" s="1"/>
  <c r="AG26" i="4"/>
  <c r="AG28" i="4" s="1"/>
  <c r="V65" i="4"/>
  <c r="V66" i="4" s="1"/>
  <c r="V45" i="4"/>
  <c r="V26" i="4"/>
  <c r="V28" i="4" s="1"/>
  <c r="U131" i="1" s="1"/>
  <c r="U132" i="1" s="1"/>
  <c r="I45" i="4"/>
  <c r="I65" i="4"/>
  <c r="I66" i="4" s="1"/>
  <c r="K65" i="4"/>
  <c r="K66" i="4" s="1"/>
  <c r="K26" i="4"/>
  <c r="K28" i="4" s="1"/>
  <c r="J131" i="1" s="1"/>
  <c r="J132" i="1" s="1"/>
  <c r="K45" i="4"/>
  <c r="J45" i="4"/>
  <c r="J65" i="4"/>
  <c r="J66" i="4" s="1"/>
  <c r="R65" i="4"/>
  <c r="R66" i="4" s="1"/>
  <c r="R26" i="4"/>
  <c r="R28" i="4" s="1"/>
  <c r="Q131" i="1" s="1"/>
  <c r="Q132" i="1" s="1"/>
  <c r="R45" i="4"/>
  <c r="W26" i="4"/>
  <c r="W28" i="4" s="1"/>
  <c r="V131" i="1" s="1"/>
  <c r="V132" i="1" s="1"/>
  <c r="W65" i="4"/>
  <c r="W66" i="4" s="1"/>
  <c r="W45" i="4"/>
  <c r="M26" i="4"/>
  <c r="M28" i="4" s="1"/>
  <c r="L131" i="1" s="1"/>
  <c r="L132" i="1" s="1"/>
  <c r="M65" i="4"/>
  <c r="M66" i="4" s="1"/>
  <c r="M45" i="4"/>
  <c r="G45" i="4"/>
  <c r="G65" i="4"/>
  <c r="G66" i="4" s="1"/>
  <c r="Y45" i="4"/>
  <c r="Y26" i="4"/>
  <c r="Y28" i="4" s="1"/>
  <c r="X131" i="1" s="1"/>
  <c r="X132" i="1" s="1"/>
  <c r="Y65" i="4"/>
  <c r="Y66" i="4" s="1"/>
  <c r="AA26" i="4"/>
  <c r="AA28" i="4" s="1"/>
  <c r="Z131" i="1" s="1"/>
  <c r="Z132" i="1" s="1"/>
  <c r="AA65" i="4"/>
  <c r="AA66" i="4" s="1"/>
  <c r="AA45" i="4"/>
  <c r="P65" i="4"/>
  <c r="P66" i="4" s="1"/>
  <c r="P45" i="4"/>
  <c r="P26" i="4"/>
  <c r="P28" i="4" s="1"/>
  <c r="O131" i="1" s="1"/>
  <c r="O132" i="1" s="1"/>
  <c r="L26" i="4"/>
  <c r="L28" i="4" s="1"/>
  <c r="K131" i="1" s="1"/>
  <c r="K132" i="1" s="1"/>
  <c r="L45" i="4"/>
  <c r="L65" i="4"/>
  <c r="L66" i="4" s="1"/>
  <c r="O45" i="4"/>
  <c r="O26" i="4"/>
  <c r="O28" i="4" s="1"/>
  <c r="N131" i="1" s="1"/>
  <c r="N132" i="1" s="1"/>
  <c r="O65" i="4"/>
  <c r="O66" i="4" s="1"/>
  <c r="E58" i="4" l="1"/>
  <c r="AG83" i="4"/>
  <c r="AF131" i="1"/>
  <c r="AF132" i="1" s="1"/>
  <c r="W50" i="4"/>
  <c r="V83" i="4"/>
  <c r="U67" i="4"/>
  <c r="U68" i="4"/>
  <c r="AG50" i="4"/>
  <c r="AG51" i="4" s="1"/>
  <c r="AG52" i="4" s="1"/>
  <c r="AF83" i="4"/>
  <c r="O50" i="4"/>
  <c r="O51" i="4" s="1"/>
  <c r="O52" i="4" s="1"/>
  <c r="N83" i="4"/>
  <c r="W67" i="4"/>
  <c r="W68" i="4"/>
  <c r="AA50" i="4"/>
  <c r="AA51" i="4" s="1"/>
  <c r="AA52" i="4" s="1"/>
  <c r="Z83" i="4"/>
  <c r="G68" i="4"/>
  <c r="G67" i="4"/>
  <c r="W83" i="4"/>
  <c r="X50" i="4"/>
  <c r="X51" i="4" s="1"/>
  <c r="X52" i="4" s="1"/>
  <c r="V67" i="4"/>
  <c r="V68" i="4"/>
  <c r="AD69" i="4"/>
  <c r="AD70" i="4" s="1"/>
  <c r="V50" i="4"/>
  <c r="V51" i="4" s="1"/>
  <c r="V52" i="4" s="1"/>
  <c r="U83" i="4"/>
  <c r="AB83" i="4"/>
  <c r="AC50" i="4"/>
  <c r="F68" i="4"/>
  <c r="F67" i="4"/>
  <c r="E69" i="4"/>
  <c r="E70" i="4" s="1"/>
  <c r="AF50" i="4"/>
  <c r="AF51" i="4" s="1"/>
  <c r="AF52" i="4" s="1"/>
  <c r="AE83" i="4"/>
  <c r="Z50" i="4"/>
  <c r="Z51" i="4" s="1"/>
  <c r="Z52" i="4" s="1"/>
  <c r="Y83" i="4"/>
  <c r="K83" i="4"/>
  <c r="L50" i="4"/>
  <c r="L51" i="4" s="1"/>
  <c r="L52" i="4" s="1"/>
  <c r="AB68" i="4"/>
  <c r="AB67" i="4"/>
  <c r="X83" i="4"/>
  <c r="Y50" i="4"/>
  <c r="Y51" i="4" s="1"/>
  <c r="Y52" i="4" s="1"/>
  <c r="AE68" i="4"/>
  <c r="AE67" i="4"/>
  <c r="P50" i="4"/>
  <c r="P51" i="4" s="1"/>
  <c r="P52" i="4" s="1"/>
  <c r="O83" i="4"/>
  <c r="S50" i="4"/>
  <c r="S51" i="4" s="1"/>
  <c r="S52" i="4" s="1"/>
  <c r="R83" i="4"/>
  <c r="K67" i="4"/>
  <c r="K68" i="4"/>
  <c r="AG67" i="4"/>
  <c r="AG68" i="4"/>
  <c r="X67" i="4"/>
  <c r="X68" i="4"/>
  <c r="Q68" i="4"/>
  <c r="Q67" i="4"/>
  <c r="AE51" i="4"/>
  <c r="AE52" i="4" s="1"/>
  <c r="L83" i="4"/>
  <c r="M50" i="4"/>
  <c r="M51" i="4" s="1"/>
  <c r="M52" i="4" s="1"/>
  <c r="O67" i="4"/>
  <c r="O68" i="4"/>
  <c r="AA68" i="4"/>
  <c r="AA67" i="4"/>
  <c r="R68" i="4"/>
  <c r="R67" i="4"/>
  <c r="I68" i="4"/>
  <c r="I67" i="4"/>
  <c r="U50" i="4"/>
  <c r="U51" i="4" s="1"/>
  <c r="U52" i="4" s="1"/>
  <c r="T83" i="4"/>
  <c r="C45" i="4"/>
  <c r="AC83" i="4"/>
  <c r="AD50" i="4"/>
  <c r="AD51" i="4" s="1"/>
  <c r="AD52" i="4" s="1"/>
  <c r="Q50" i="4"/>
  <c r="Q51" i="4" s="1"/>
  <c r="Q52" i="4" s="1"/>
  <c r="P83" i="4"/>
  <c r="P68" i="4"/>
  <c r="P67" i="4"/>
  <c r="AA83" i="4"/>
  <c r="AB50" i="4"/>
  <c r="AB51" i="4" s="1"/>
  <c r="AB52" i="4" s="1"/>
  <c r="M68" i="4"/>
  <c r="M67" i="4"/>
  <c r="S67" i="4"/>
  <c r="S68" i="4"/>
  <c r="T68" i="4"/>
  <c r="T67" i="4"/>
  <c r="N68" i="4"/>
  <c r="N67" i="4"/>
  <c r="R50" i="4"/>
  <c r="R51" i="4" s="1"/>
  <c r="R52" i="4" s="1"/>
  <c r="Q83" i="4"/>
  <c r="AC51" i="4"/>
  <c r="AC52" i="4" s="1"/>
  <c r="L67" i="4"/>
  <c r="L68" i="4"/>
  <c r="Y67" i="4"/>
  <c r="Y68" i="4"/>
  <c r="M83" i="4"/>
  <c r="N50" i="4"/>
  <c r="N51" i="4" s="1"/>
  <c r="N52" i="4" s="1"/>
  <c r="J67" i="4"/>
  <c r="J68" i="4"/>
  <c r="S83" i="4"/>
  <c r="T50" i="4"/>
  <c r="T51" i="4" s="1"/>
  <c r="T52" i="4" s="1"/>
  <c r="AF67" i="4"/>
  <c r="AF68" i="4"/>
  <c r="H67" i="4"/>
  <c r="H68" i="4"/>
  <c r="Z67" i="4"/>
  <c r="Z68" i="4"/>
  <c r="AC68" i="4"/>
  <c r="AC67" i="4"/>
  <c r="C26" i="9" l="1"/>
  <c r="C152" i="9" s="1"/>
  <c r="C154" i="9" s="1"/>
  <c r="C13" i="9"/>
  <c r="C10" i="9" s="1"/>
  <c r="H13" i="9"/>
  <c r="O69" i="4"/>
  <c r="O70" i="4" s="1"/>
  <c r="AF69" i="4"/>
  <c r="AF70" i="4" s="1"/>
  <c r="AF73" i="4" s="1"/>
  <c r="AF76" i="4" s="1"/>
  <c r="AF79" i="4" s="1"/>
  <c r="AF82" i="4" s="1"/>
  <c r="AF84" i="4" s="1"/>
  <c r="I69" i="4"/>
  <c r="I70" i="4" s="1"/>
  <c r="Z69" i="4"/>
  <c r="Z70" i="4" s="1"/>
  <c r="Z92" i="4" s="1"/>
  <c r="Y69" i="4"/>
  <c r="Y70" i="4" s="1"/>
  <c r="Y73" i="4" s="1"/>
  <c r="Y76" i="4" s="1"/>
  <c r="Y79" i="4" s="1"/>
  <c r="Y82" i="4" s="1"/>
  <c r="Y84" i="4" s="1"/>
  <c r="V69" i="4"/>
  <c r="V70" i="4" s="1"/>
  <c r="V73" i="4" s="1"/>
  <c r="V76" i="4" s="1"/>
  <c r="V79" i="4" s="1"/>
  <c r="V82" i="4" s="1"/>
  <c r="V84" i="4" s="1"/>
  <c r="W69" i="4"/>
  <c r="W70" i="4" s="1"/>
  <c r="W73" i="4" s="1"/>
  <c r="W76" i="4" s="1"/>
  <c r="W79" i="4" s="1"/>
  <c r="W82" i="4" s="1"/>
  <c r="W84" i="4" s="1"/>
  <c r="K69" i="4"/>
  <c r="K70" i="4" s="1"/>
  <c r="K73" i="4" s="1"/>
  <c r="K76" i="4" s="1"/>
  <c r="K79" i="4" s="1"/>
  <c r="K82" i="4" s="1"/>
  <c r="K84" i="4" s="1"/>
  <c r="N69" i="4"/>
  <c r="N70" i="4" s="1"/>
  <c r="M69" i="4"/>
  <c r="M70" i="4" s="1"/>
  <c r="Q69" i="4"/>
  <c r="Q70" i="4" s="1"/>
  <c r="F69" i="4"/>
  <c r="F70" i="4" s="1"/>
  <c r="L69" i="4"/>
  <c r="L70" i="4" s="1"/>
  <c r="U69" i="4"/>
  <c r="U70" i="4" s="1"/>
  <c r="O92" i="4"/>
  <c r="O73" i="4"/>
  <c r="O76" i="4" s="1"/>
  <c r="O79" i="4" s="1"/>
  <c r="O82" i="4" s="1"/>
  <c r="O84" i="4" s="1"/>
  <c r="H69" i="4"/>
  <c r="H70" i="4" s="1"/>
  <c r="J69" i="4"/>
  <c r="J70" i="4" s="1"/>
  <c r="T69" i="4"/>
  <c r="T70" i="4" s="1"/>
  <c r="X69" i="4"/>
  <c r="X70" i="4" s="1"/>
  <c r="AB69" i="4"/>
  <c r="AB70" i="4" s="1"/>
  <c r="G69" i="4"/>
  <c r="G70" i="4" s="1"/>
  <c r="AC69" i="4"/>
  <c r="AC70" i="4" s="1"/>
  <c r="AF92" i="4"/>
  <c r="P69" i="4"/>
  <c r="P70" i="4" s="1"/>
  <c r="R69" i="4"/>
  <c r="R70" i="4" s="1"/>
  <c r="S69" i="4"/>
  <c r="S70" i="4" s="1"/>
  <c r="AA69" i="4"/>
  <c r="AA70" i="4" s="1"/>
  <c r="AG69" i="4"/>
  <c r="AG70" i="4" s="1"/>
  <c r="AD92" i="4"/>
  <c r="AD73" i="4"/>
  <c r="AD76" i="4" s="1"/>
  <c r="AD79" i="4" s="1"/>
  <c r="AD82" i="4" s="1"/>
  <c r="AD84" i="4" s="1"/>
  <c r="AE69" i="4"/>
  <c r="AE70" i="4" s="1"/>
  <c r="E92" i="4"/>
  <c r="E73" i="4"/>
  <c r="E76" i="4" s="1"/>
  <c r="E79" i="4" s="1"/>
  <c r="E82" i="4" s="1"/>
  <c r="E84" i="4" s="1"/>
  <c r="E95" i="4"/>
  <c r="W51" i="4"/>
  <c r="W52" i="4" s="1"/>
  <c r="C117" i="9" l="1"/>
  <c r="C118" i="9"/>
  <c r="C121" i="9"/>
  <c r="C100" i="9"/>
  <c r="C28" i="9"/>
  <c r="F21" i="9" s="1"/>
  <c r="C123" i="9"/>
  <c r="C139" i="9"/>
  <c r="C165" i="9"/>
  <c r="C15" i="9"/>
  <c r="H10" i="9"/>
  <c r="F19" i="9"/>
  <c r="F24" i="9"/>
  <c r="F95" i="4"/>
  <c r="G95" i="4" s="1"/>
  <c r="H95" i="4" s="1"/>
  <c r="I95" i="4" s="1"/>
  <c r="J95" i="4" s="1"/>
  <c r="K95" i="4" s="1"/>
  <c r="L95" i="4" s="1"/>
  <c r="M95" i="4" s="1"/>
  <c r="N95" i="4" s="1"/>
  <c r="O95" i="4" s="1"/>
  <c r="P95" i="4" s="1"/>
  <c r="Q95" i="4" s="1"/>
  <c r="R95" i="4" s="1"/>
  <c r="S95" i="4" s="1"/>
  <c r="T95" i="4" s="1"/>
  <c r="U95" i="4" s="1"/>
  <c r="V95" i="4" s="1"/>
  <c r="W95" i="4" s="1"/>
  <c r="X95" i="4" s="1"/>
  <c r="Y95" i="4" s="1"/>
  <c r="Z95" i="4" s="1"/>
  <c r="AA95" i="4" s="1"/>
  <c r="AB95" i="4" s="1"/>
  <c r="AC95" i="4" s="1"/>
  <c r="AD95" i="4" s="1"/>
  <c r="AE95" i="4" s="1"/>
  <c r="AF95" i="4" s="1"/>
  <c r="AG95" i="4" s="1"/>
  <c r="Z73" i="4"/>
  <c r="Z76" i="4" s="1"/>
  <c r="Z79" i="4" s="1"/>
  <c r="Z82" i="4" s="1"/>
  <c r="Z84" i="4" s="1"/>
  <c r="Y92" i="4"/>
  <c r="I92" i="4"/>
  <c r="W92" i="4"/>
  <c r="V92" i="4"/>
  <c r="K92" i="4"/>
  <c r="G92" i="4"/>
  <c r="E94" i="4"/>
  <c r="R73" i="4"/>
  <c r="R76" i="4" s="1"/>
  <c r="R79" i="4" s="1"/>
  <c r="R82" i="4" s="1"/>
  <c r="R84" i="4" s="1"/>
  <c r="R92" i="4"/>
  <c r="T92" i="4"/>
  <c r="T73" i="4"/>
  <c r="T76" i="4" s="1"/>
  <c r="T79" i="4" s="1"/>
  <c r="T82" i="4" s="1"/>
  <c r="T84" i="4" s="1"/>
  <c r="L92" i="4"/>
  <c r="L73" i="4"/>
  <c r="L76" i="4" s="1"/>
  <c r="L79" i="4" s="1"/>
  <c r="L82" i="4" s="1"/>
  <c r="L84" i="4" s="1"/>
  <c r="P73" i="4"/>
  <c r="P76" i="4" s="1"/>
  <c r="P79" i="4" s="1"/>
  <c r="P82" i="4" s="1"/>
  <c r="P84" i="4" s="1"/>
  <c r="P92" i="4"/>
  <c r="J92" i="4"/>
  <c r="H92" i="4"/>
  <c r="Q92" i="4"/>
  <c r="Q73" i="4"/>
  <c r="Q76" i="4" s="1"/>
  <c r="Q79" i="4" s="1"/>
  <c r="Q82" i="4" s="1"/>
  <c r="Q84" i="4" s="1"/>
  <c r="AG73" i="4"/>
  <c r="AG76" i="4" s="1"/>
  <c r="AG79" i="4" s="1"/>
  <c r="AG82" i="4" s="1"/>
  <c r="AG84" i="4" s="1"/>
  <c r="AG92" i="4"/>
  <c r="AA92" i="4"/>
  <c r="AA73" i="4"/>
  <c r="AA76" i="4" s="1"/>
  <c r="AA79" i="4" s="1"/>
  <c r="AA82" i="4" s="1"/>
  <c r="AA84" i="4" s="1"/>
  <c r="AC92" i="4"/>
  <c r="AC73" i="4"/>
  <c r="AC76" i="4" s="1"/>
  <c r="AC79" i="4" s="1"/>
  <c r="AC82" i="4" s="1"/>
  <c r="AC84" i="4" s="1"/>
  <c r="M92" i="4"/>
  <c r="M73" i="4"/>
  <c r="M76" i="4" s="1"/>
  <c r="M79" i="4" s="1"/>
  <c r="M82" i="4" s="1"/>
  <c r="M84" i="4" s="1"/>
  <c r="U73" i="4"/>
  <c r="U76" i="4" s="1"/>
  <c r="U79" i="4" s="1"/>
  <c r="U82" i="4" s="1"/>
  <c r="U84" i="4" s="1"/>
  <c r="U92" i="4"/>
  <c r="N73" i="4"/>
  <c r="N76" i="4" s="1"/>
  <c r="N79" i="4" s="1"/>
  <c r="N82" i="4" s="1"/>
  <c r="N84" i="4" s="1"/>
  <c r="N92" i="4"/>
  <c r="AE92" i="4"/>
  <c r="AE73" i="4"/>
  <c r="AE76" i="4" s="1"/>
  <c r="AE79" i="4" s="1"/>
  <c r="AE82" i="4" s="1"/>
  <c r="AE84" i="4" s="1"/>
  <c r="S92" i="4"/>
  <c r="S73" i="4"/>
  <c r="S76" i="4" s="1"/>
  <c r="S79" i="4" s="1"/>
  <c r="S82" i="4" s="1"/>
  <c r="S84" i="4" s="1"/>
  <c r="AB92" i="4"/>
  <c r="AB73" i="4"/>
  <c r="AB76" i="4" s="1"/>
  <c r="AB79" i="4" s="1"/>
  <c r="AB82" i="4" s="1"/>
  <c r="AB84" i="4" s="1"/>
  <c r="X92" i="4"/>
  <c r="X73" i="4"/>
  <c r="X76" i="4" s="1"/>
  <c r="X79" i="4" s="1"/>
  <c r="X82" i="4" s="1"/>
  <c r="X84" i="4" s="1"/>
  <c r="F92" i="4"/>
  <c r="F23" i="9" l="1"/>
  <c r="C29" i="9"/>
  <c r="F20" i="9"/>
  <c r="F25" i="9"/>
  <c r="F18" i="9"/>
  <c r="F28" i="9"/>
  <c r="F10" i="9"/>
  <c r="C96" i="9"/>
  <c r="C168" i="9"/>
  <c r="C170" i="9" s="1"/>
  <c r="F4" i="9"/>
  <c r="C128" i="9"/>
  <c r="F7" i="9"/>
  <c r="F12" i="9"/>
  <c r="F15" i="9"/>
  <c r="F11" i="9"/>
  <c r="C104" i="9"/>
  <c r="C106" i="9"/>
  <c r="C99" i="9"/>
  <c r="C36" i="9"/>
  <c r="C131" i="9"/>
  <c r="F6" i="9"/>
  <c r="C95" i="9"/>
  <c r="F8" i="9"/>
  <c r="F5" i="9"/>
  <c r="C157" i="9"/>
  <c r="C160" i="9" s="1"/>
  <c r="H15" i="9"/>
  <c r="C101" i="9"/>
  <c r="F13" i="9"/>
  <c r="C92" i="4"/>
  <c r="C93" i="4" s="1"/>
  <c r="F94" i="4"/>
  <c r="G94" i="4" s="1"/>
  <c r="H94" i="4" s="1"/>
  <c r="I94" i="4" s="1"/>
  <c r="J94" i="4" s="1"/>
  <c r="K94" i="4" s="1"/>
  <c r="L94" i="4" s="1"/>
  <c r="M94" i="4" s="1"/>
  <c r="N94" i="4" s="1"/>
  <c r="O94" i="4" s="1"/>
  <c r="P94" i="4" s="1"/>
  <c r="Q94" i="4" s="1"/>
  <c r="R94" i="4" s="1"/>
  <c r="S94" i="4" s="1"/>
  <c r="T94" i="4" s="1"/>
  <c r="U94" i="4" s="1"/>
  <c r="V94" i="4" s="1"/>
  <c r="W94" i="4" s="1"/>
  <c r="X94" i="4" s="1"/>
  <c r="Y94" i="4" s="1"/>
  <c r="Z94" i="4" s="1"/>
  <c r="AA94" i="4" s="1"/>
  <c r="AB94" i="4" s="1"/>
  <c r="AC94" i="4" s="1"/>
  <c r="AD94" i="4" s="1"/>
  <c r="AE94" i="4" s="1"/>
  <c r="AF94" i="4" s="1"/>
  <c r="AG94" i="4" s="1"/>
  <c r="F39" i="4"/>
  <c r="E56" i="1"/>
  <c r="F56" i="1"/>
  <c r="F62" i="1" s="1"/>
  <c r="G56" i="1"/>
  <c r="G62" i="1" s="1"/>
  <c r="G63" i="1" s="1"/>
  <c r="G120" i="1" s="1"/>
  <c r="H56" i="1"/>
  <c r="I56" i="1"/>
  <c r="I62" i="1" s="1"/>
  <c r="H62" i="1"/>
  <c r="I13" i="4" s="1"/>
  <c r="G13" i="4" l="1"/>
  <c r="G71" i="4" s="1"/>
  <c r="F63" i="1"/>
  <c r="F120" i="1" s="1"/>
  <c r="F122" i="1" s="1"/>
  <c r="H63" i="1"/>
  <c r="H120" i="1" s="1"/>
  <c r="E62" i="1"/>
  <c r="B56" i="1"/>
  <c r="B62" i="1" s="1"/>
  <c r="B63" i="1" s="1"/>
  <c r="F171" i="1"/>
  <c r="F13" i="4"/>
  <c r="E63" i="1"/>
  <c r="E120" i="1" s="1"/>
  <c r="I26" i="4"/>
  <c r="I71" i="4"/>
  <c r="C39" i="4"/>
  <c r="F48" i="4"/>
  <c r="F90" i="4"/>
  <c r="C90" i="4" s="1"/>
  <c r="C91" i="4" s="1"/>
  <c r="G122" i="1"/>
  <c r="G171" i="1"/>
  <c r="I63" i="1"/>
  <c r="I120" i="1" s="1"/>
  <c r="J13" i="4"/>
  <c r="H13" i="4"/>
  <c r="G26" i="4" l="1"/>
  <c r="H122" i="1"/>
  <c r="H171" i="1"/>
  <c r="G174" i="1"/>
  <c r="F224" i="8"/>
  <c r="G172" i="1"/>
  <c r="F225" i="8" s="1"/>
  <c r="I72" i="4"/>
  <c r="I73" i="4" s="1"/>
  <c r="I76" i="4" s="1"/>
  <c r="I79" i="4" s="1"/>
  <c r="I82" i="4" s="1"/>
  <c r="G150" i="1"/>
  <c r="G155" i="1" s="1"/>
  <c r="G156" i="1" s="1"/>
  <c r="G127" i="1" s="1"/>
  <c r="G126" i="1"/>
  <c r="G72" i="4"/>
  <c r="G73" i="4"/>
  <c r="G76" i="4" s="1"/>
  <c r="G79" i="4" s="1"/>
  <c r="G82" i="4" s="1"/>
  <c r="E122" i="1"/>
  <c r="E171" i="1"/>
  <c r="F26" i="4"/>
  <c r="C13" i="4"/>
  <c r="C26" i="4" s="1"/>
  <c r="F71" i="4"/>
  <c r="H26" i="4"/>
  <c r="H71" i="4"/>
  <c r="J26" i="4"/>
  <c r="J71" i="4"/>
  <c r="C48" i="4"/>
  <c r="F54" i="4"/>
  <c r="F172" i="1"/>
  <c r="E225" i="8" s="1"/>
  <c r="E224" i="8"/>
  <c r="F174" i="1"/>
  <c r="I171" i="1"/>
  <c r="I122" i="1"/>
  <c r="F150" i="1"/>
  <c r="F155" i="1" s="1"/>
  <c r="F156" i="1" s="1"/>
  <c r="F127" i="1" s="1"/>
  <c r="F126" i="1"/>
  <c r="F49" i="4" l="1"/>
  <c r="D12" i="9"/>
  <c r="H174" i="1"/>
  <c r="G224" i="8"/>
  <c r="H172" i="1"/>
  <c r="G225" i="8" s="1"/>
  <c r="H150" i="1"/>
  <c r="H155" i="1" s="1"/>
  <c r="H156" i="1" s="1"/>
  <c r="H127" i="1" s="1"/>
  <c r="H126" i="1"/>
  <c r="H157" i="1" s="1"/>
  <c r="H128" i="1" s="1"/>
  <c r="H129" i="1" s="1"/>
  <c r="I27" i="4" s="1"/>
  <c r="J47" i="4" s="1"/>
  <c r="F72" i="4"/>
  <c r="F73" i="4" s="1"/>
  <c r="F76" i="4" s="1"/>
  <c r="F79" i="4" s="1"/>
  <c r="F82" i="4" s="1"/>
  <c r="G157" i="1"/>
  <c r="G128" i="1" s="1"/>
  <c r="G130" i="1" s="1"/>
  <c r="J72" i="4"/>
  <c r="J73" i="4" s="1"/>
  <c r="J76" i="4" s="1"/>
  <c r="J79" i="4" s="1"/>
  <c r="J82" i="4" s="1"/>
  <c r="I174" i="1"/>
  <c r="H224" i="8"/>
  <c r="I172" i="1"/>
  <c r="H225" i="8" s="1"/>
  <c r="D224" i="8"/>
  <c r="E172" i="1"/>
  <c r="D225" i="8" s="1"/>
  <c r="E174" i="1"/>
  <c r="I126" i="1"/>
  <c r="I150" i="1"/>
  <c r="I155" i="1" s="1"/>
  <c r="I156" i="1" s="1"/>
  <c r="I127" i="1" s="1"/>
  <c r="E227" i="8"/>
  <c r="F175" i="1"/>
  <c r="E228" i="8" s="1"/>
  <c r="E150" i="1"/>
  <c r="E155" i="1" s="1"/>
  <c r="E156" i="1" s="1"/>
  <c r="E127" i="1" s="1"/>
  <c r="E126" i="1"/>
  <c r="H72" i="4"/>
  <c r="H73" i="4" s="1"/>
  <c r="H76" i="4" s="1"/>
  <c r="H79" i="4" s="1"/>
  <c r="H82" i="4" s="1"/>
  <c r="F157" i="1"/>
  <c r="F128" i="1" s="1"/>
  <c r="F129" i="1" s="1"/>
  <c r="G27" i="4" s="1"/>
  <c r="C49" i="4"/>
  <c r="F51" i="4"/>
  <c r="F52" i="4" s="1"/>
  <c r="F227" i="8"/>
  <c r="G175" i="1"/>
  <c r="F228" i="8" s="1"/>
  <c r="I12" i="9" l="1"/>
  <c r="G12" i="9"/>
  <c r="F58" i="4"/>
  <c r="H130" i="1"/>
  <c r="I28" i="4"/>
  <c r="I83" i="4" s="1"/>
  <c r="I84" i="4" s="1"/>
  <c r="G227" i="8"/>
  <c r="H175" i="1"/>
  <c r="G228" i="8" s="1"/>
  <c r="H47" i="4"/>
  <c r="G28" i="4"/>
  <c r="F130" i="1"/>
  <c r="H227" i="8"/>
  <c r="I175" i="1"/>
  <c r="H228" i="8" s="1"/>
  <c r="D227" i="8"/>
  <c r="E175" i="1"/>
  <c r="D228" i="8" s="1"/>
  <c r="G129" i="1"/>
  <c r="H27" i="4" s="1"/>
  <c r="I157" i="1"/>
  <c r="I128" i="1" s="1"/>
  <c r="I129" i="1" s="1"/>
  <c r="J27" i="4" s="1"/>
  <c r="E157" i="1"/>
  <c r="E128" i="1" s="1"/>
  <c r="E129" i="1" s="1"/>
  <c r="F27" i="4" s="1"/>
  <c r="H131" i="1"/>
  <c r="H132" i="1" s="1"/>
  <c r="J50" i="4"/>
  <c r="J51" i="4" s="1"/>
  <c r="J52" i="4" s="1"/>
  <c r="D26" i="9" l="1"/>
  <c r="D13" i="9"/>
  <c r="I13" i="9" s="1"/>
  <c r="I23" i="9"/>
  <c r="D28" i="9"/>
  <c r="D100" i="9"/>
  <c r="D152" i="9"/>
  <c r="D154" i="9" s="1"/>
  <c r="G23" i="9"/>
  <c r="D121" i="9"/>
  <c r="I130" i="1"/>
  <c r="G47" i="4"/>
  <c r="C27" i="4"/>
  <c r="C28" i="4" s="1"/>
  <c r="F28" i="4"/>
  <c r="K47" i="4"/>
  <c r="J28" i="4"/>
  <c r="E130" i="1"/>
  <c r="I47" i="4"/>
  <c r="H28" i="4"/>
  <c r="H50" i="4"/>
  <c r="H51" i="4" s="1"/>
  <c r="H52" i="4" s="1"/>
  <c r="G83" i="4"/>
  <c r="G84" i="4" s="1"/>
  <c r="F131" i="1"/>
  <c r="F132" i="1" s="1"/>
  <c r="G13" i="9" l="1"/>
  <c r="D123" i="9"/>
  <c r="D10" i="9"/>
  <c r="D165" i="9" s="1"/>
  <c r="G18" i="9"/>
  <c r="G28" i="9"/>
  <c r="G24" i="9"/>
  <c r="G20" i="9"/>
  <c r="G21" i="9"/>
  <c r="G19" i="9"/>
  <c r="G25" i="9"/>
  <c r="I28" i="9"/>
  <c r="I131" i="1"/>
  <c r="I132" i="1" s="1"/>
  <c r="K50" i="4"/>
  <c r="K51" i="4" s="1"/>
  <c r="K52" i="4" s="1"/>
  <c r="J83" i="4"/>
  <c r="J84" i="4" s="1"/>
  <c r="F83" i="4"/>
  <c r="F84" i="4" s="1"/>
  <c r="F57" i="4"/>
  <c r="G57" i="4" s="1"/>
  <c r="H57" i="4" s="1"/>
  <c r="I57" i="4" s="1"/>
  <c r="J57" i="4" s="1"/>
  <c r="K57" i="4" s="1"/>
  <c r="L57" i="4" s="1"/>
  <c r="M57" i="4" s="1"/>
  <c r="N57" i="4" s="1"/>
  <c r="O57" i="4" s="1"/>
  <c r="P57" i="4" s="1"/>
  <c r="Q57" i="4" s="1"/>
  <c r="R57" i="4" s="1"/>
  <c r="S57" i="4" s="1"/>
  <c r="T57" i="4" s="1"/>
  <c r="U57" i="4" s="1"/>
  <c r="V57" i="4" s="1"/>
  <c r="W57" i="4" s="1"/>
  <c r="X57" i="4" s="1"/>
  <c r="Y57" i="4" s="1"/>
  <c r="Z57" i="4" s="1"/>
  <c r="AA57" i="4" s="1"/>
  <c r="AB57" i="4" s="1"/>
  <c r="AC57" i="4" s="1"/>
  <c r="AD57" i="4" s="1"/>
  <c r="AE57" i="4" s="1"/>
  <c r="AF57" i="4" s="1"/>
  <c r="AG57" i="4" s="1"/>
  <c r="E131" i="1"/>
  <c r="E132" i="1" s="1"/>
  <c r="G50" i="4"/>
  <c r="G51" i="4" s="1"/>
  <c r="G52" i="4" s="1"/>
  <c r="G58" i="4" s="1"/>
  <c r="H58" i="4" s="1"/>
  <c r="G131" i="1"/>
  <c r="G132" i="1" s="1"/>
  <c r="I50" i="4"/>
  <c r="I51" i="4" s="1"/>
  <c r="I52" i="4" s="1"/>
  <c r="H83" i="4"/>
  <c r="H84" i="4" s="1"/>
  <c r="C47" i="4"/>
  <c r="I10" i="9" l="1"/>
  <c r="D117" i="9"/>
  <c r="D118" i="9"/>
  <c r="D15" i="9"/>
  <c r="D29" i="9" s="1"/>
  <c r="G10" i="9"/>
  <c r="D139" i="9"/>
  <c r="D96" i="9"/>
  <c r="G15" i="9"/>
  <c r="D168" i="9"/>
  <c r="D170" i="9" s="1"/>
  <c r="D95" i="9"/>
  <c r="D106" i="9"/>
  <c r="D104" i="9"/>
  <c r="I58" i="4"/>
  <c r="J58" i="4" s="1"/>
  <c r="K58" i="4" s="1"/>
  <c r="L58" i="4" s="1"/>
  <c r="M58" i="4" s="1"/>
  <c r="N58" i="4" s="1"/>
  <c r="O58" i="4" s="1"/>
  <c r="P58" i="4" s="1"/>
  <c r="Q58" i="4" s="1"/>
  <c r="R58" i="4" s="1"/>
  <c r="S58" i="4" s="1"/>
  <c r="T58" i="4" s="1"/>
  <c r="U58" i="4" s="1"/>
  <c r="V58" i="4" s="1"/>
  <c r="W58" i="4" s="1"/>
  <c r="X58" i="4" s="1"/>
  <c r="Y58" i="4" s="1"/>
  <c r="Z58" i="4" s="1"/>
  <c r="AA58" i="4" s="1"/>
  <c r="AB58" i="4" s="1"/>
  <c r="AC58" i="4" s="1"/>
  <c r="AD58" i="4" s="1"/>
  <c r="AE58" i="4" s="1"/>
  <c r="AF58" i="4" s="1"/>
  <c r="AG58" i="4" s="1"/>
  <c r="C50" i="4"/>
  <c r="C51" i="4" s="1"/>
  <c r="C52" i="4" s="1"/>
  <c r="F49" i="1"/>
  <c r="B23" i="9"/>
  <c r="B28" i="9" s="1"/>
  <c r="D101" i="9" l="1"/>
  <c r="I15" i="9"/>
  <c r="D36" i="9"/>
  <c r="D99" i="9"/>
  <c r="D157" i="9"/>
  <c r="D160" i="9" s="1"/>
  <c r="D128" i="9"/>
  <c r="D131" i="9"/>
  <c r="E21" i="9"/>
  <c r="B29" i="9"/>
  <c r="E23" i="9"/>
  <c r="B101" i="9"/>
  <c r="B152" i="9"/>
  <c r="B154" i="9" s="1"/>
  <c r="E28" i="9"/>
  <c r="E20" i="9"/>
  <c r="E24" i="9"/>
  <c r="B100" i="9"/>
  <c r="H23" i="9"/>
  <c r="E19" i="9"/>
  <c r="E25" i="9"/>
  <c r="B36" i="9"/>
  <c r="E18" i="9"/>
  <c r="H28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Home</author>
  </authors>
  <commentList>
    <comment ref="G16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Home:</t>
        </r>
        <r>
          <rPr>
            <sz val="9"/>
            <color indexed="81"/>
            <rFont val="Tahoma"/>
            <family val="2"/>
          </rPr>
          <t xml:space="preserve">
COMPRESE SPESE ISTR. FIDO
</t>
        </r>
      </text>
    </comment>
  </commentList>
</comments>
</file>

<file path=xl/sharedStrings.xml><?xml version="1.0" encoding="utf-8"?>
<sst xmlns="http://schemas.openxmlformats.org/spreadsheetml/2006/main" count="787" uniqueCount="490">
  <si>
    <t>kwh</t>
  </si>
  <si>
    <t>kwp</t>
  </si>
  <si>
    <t>potenza</t>
  </si>
  <si>
    <t>superficie</t>
  </si>
  <si>
    <t>mq</t>
  </si>
  <si>
    <t>costo imp.</t>
  </si>
  <si>
    <t>€</t>
  </si>
  <si>
    <t>Consumo annuo En. Elettrica a regime:</t>
  </si>
  <si>
    <t>Superficie disponibile</t>
  </si>
  <si>
    <t>% copertura del fabb. anno</t>
  </si>
  <si>
    <t>IMPIANTO IDEALE DIMENSIONATO
PER LA
COPERTURA INTEGRALE</t>
  </si>
  <si>
    <t>anni</t>
  </si>
  <si>
    <t xml:space="preserve">DATI DELL'AZIENDA: </t>
  </si>
  <si>
    <t>durata</t>
  </si>
  <si>
    <t>importo</t>
  </si>
  <si>
    <t>euro</t>
  </si>
  <si>
    <t>spese istr.</t>
  </si>
  <si>
    <t>tasso passivo</t>
  </si>
  <si>
    <t>RATA</t>
  </si>
  <si>
    <t>ANNO</t>
  </si>
  <si>
    <t>Pagamento rate finanziamento</t>
  </si>
  <si>
    <t>EFFETTO TOT. SU CASH FLOW</t>
  </si>
  <si>
    <t>TOTALE COSTI</t>
  </si>
  <si>
    <t>RISULTATO ECONOMICO</t>
  </si>
  <si>
    <t>CONTO ECONOMICO \ ANNO</t>
  </si>
  <si>
    <t>TOTALE
20 ANNI</t>
  </si>
  <si>
    <t>% investimento</t>
  </si>
  <si>
    <t xml:space="preserve">PIANO DI AMMORTAMENTO DEL MUTUO </t>
  </si>
  <si>
    <t>inserire dati</t>
  </si>
  <si>
    <t>CAPITALE</t>
  </si>
  <si>
    <t xml:space="preserve"> </t>
  </si>
  <si>
    <t>TOT. INTERESSI</t>
  </si>
  <si>
    <t>Costo Operazione (capitale + interessi)</t>
  </si>
  <si>
    <t>DEBITO INIZ.</t>
  </si>
  <si>
    <t>DEBITO RESIDUO</t>
  </si>
  <si>
    <t>Q.CAPITALE</t>
  </si>
  <si>
    <t>Q.INTERESSI</t>
  </si>
  <si>
    <t>N°RATE</t>
  </si>
  <si>
    <t>ANNI</t>
  </si>
  <si>
    <t>PERIODICITA' RATA</t>
  </si>
  <si>
    <t>TASSO DI INTERESSE ANNUO</t>
  </si>
  <si>
    <t>% / anni ammortamento</t>
  </si>
  <si>
    <t>Ricavi per contributi</t>
  </si>
  <si>
    <t>INVESTIMENTO</t>
  </si>
  <si>
    <t xml:space="preserve">Costo totale </t>
  </si>
  <si>
    <t xml:space="preserve">Finanziamento </t>
  </si>
  <si>
    <t>Ricavi per contributi Regione fvg</t>
  </si>
  <si>
    <t>Ricavi per contributi diversi</t>
  </si>
  <si>
    <t>Diversi</t>
  </si>
  <si>
    <t>Finanziamento con mutuo bancario</t>
  </si>
  <si>
    <t>IVA c/acquisti</t>
  </si>
  <si>
    <t>TOTALE RICAVI</t>
  </si>
  <si>
    <t>CASH FLOW</t>
  </si>
  <si>
    <t>Entrata per finanziamento bancario</t>
  </si>
  <si>
    <t>Ammortamento opere nuove</t>
  </si>
  <si>
    <t>1° anno</t>
  </si>
  <si>
    <t>2° anno</t>
  </si>
  <si>
    <t>3° anno</t>
  </si>
  <si>
    <t>4° anno</t>
  </si>
  <si>
    <t>5° anno</t>
  </si>
  <si>
    <t>INTERESSI PREAMMORTAMENTO</t>
  </si>
  <si>
    <t>CALCOLO DEL PREAMMORTAMENTO DA CAPITALIZZARE</t>
  </si>
  <si>
    <t>1 anno</t>
  </si>
  <si>
    <t>2 anno</t>
  </si>
  <si>
    <t>3 anno</t>
  </si>
  <si>
    <t>stati avanzamento opere</t>
  </si>
  <si>
    <t>fabbisogno finanziario</t>
  </si>
  <si>
    <t>iva  a credito</t>
  </si>
  <si>
    <t>sbilancio finanziario</t>
  </si>
  <si>
    <t>4 anno</t>
  </si>
  <si>
    <t>5 anno</t>
  </si>
  <si>
    <t>6 anno</t>
  </si>
  <si>
    <t>7 anno</t>
  </si>
  <si>
    <t>8 anno</t>
  </si>
  <si>
    <t>9 anno</t>
  </si>
  <si>
    <t>10 anno</t>
  </si>
  <si>
    <t>11 anno</t>
  </si>
  <si>
    <t>12 anno</t>
  </si>
  <si>
    <t>13 anno</t>
  </si>
  <si>
    <t>14 anno</t>
  </si>
  <si>
    <t>15 anno</t>
  </si>
  <si>
    <t>16 anno</t>
  </si>
  <si>
    <t>17 anno</t>
  </si>
  <si>
    <t>18 anno</t>
  </si>
  <si>
    <t>19 anno</t>
  </si>
  <si>
    <t>TASSO DI OCCUPAZIONE</t>
  </si>
  <si>
    <t>20 anno</t>
  </si>
  <si>
    <t>21 anno</t>
  </si>
  <si>
    <t>22 anno</t>
  </si>
  <si>
    <t>23 anno</t>
  </si>
  <si>
    <t>COSTI STIMATI GESTIONE</t>
  </si>
  <si>
    <t>PERSONALE</t>
  </si>
  <si>
    <t>TASSO REMUNERAZIONE SOCI PRESTATORI/ FINANZIAT.</t>
  </si>
  <si>
    <t>TASSO PREMI ASSICURATIVI</t>
  </si>
  <si>
    <t>Spese di costituzione</t>
  </si>
  <si>
    <t>altri beni immateriali</t>
  </si>
  <si>
    <t>finanziamento bancario</t>
  </si>
  <si>
    <t>versamento cap sociale soci</t>
  </si>
  <si>
    <t>finanziamento fruttifero  - debiti v/soci</t>
  </si>
  <si>
    <t>Ammortamenti altri beni immat/mat.</t>
  </si>
  <si>
    <t>Ricavi per altri servizi e altri ricavi</t>
  </si>
  <si>
    <t>ALIQUOTA IVA</t>
  </si>
  <si>
    <t>ANNO 1</t>
  </si>
  <si>
    <t>ANNO 2</t>
  </si>
  <si>
    <t>RISULTATO ECONOMICO CUMULATO</t>
  </si>
  <si>
    <t>CASH FLOW CUMULATO</t>
  </si>
  <si>
    <t>ANNO 3</t>
  </si>
  <si>
    <t>24 anno</t>
  </si>
  <si>
    <t>25 anno</t>
  </si>
  <si>
    <t>26 anno</t>
  </si>
  <si>
    <t>27 anno</t>
  </si>
  <si>
    <t>28 anno</t>
  </si>
  <si>
    <t>29 anno</t>
  </si>
  <si>
    <t>30 anno</t>
  </si>
  <si>
    <t>INTERESSI PASSIVI SU FINANZIAMENTO SOCI</t>
  </si>
  <si>
    <t xml:space="preserve">ONERI DI MANUTENZIONE ORDINARIA OPERE </t>
  </si>
  <si>
    <t>NUMERO DIPENDENTI</t>
  </si>
  <si>
    <t>ALIQUOTA IRAP</t>
  </si>
  <si>
    <t>CALCOLO IRAP</t>
  </si>
  <si>
    <t>COSTO DEL PERSONALE</t>
  </si>
  <si>
    <t>DETRAZIONE FISSA CUNEO FISCALE</t>
  </si>
  <si>
    <t>DETRAZIONE CONTRIBUTI LAV TEMPO INDETERMINATO</t>
  </si>
  <si>
    <t>MENSILITA'</t>
  </si>
  <si>
    <t>RETR LORDA ANNUA</t>
  </si>
  <si>
    <t>CONTRIBUTI CARICO AZIENDA</t>
  </si>
  <si>
    <t>TOTALE COSTO DEL PERSONALE ( 1 DIP A T.I)</t>
  </si>
  <si>
    <t>TFR DI COMPETENZA</t>
  </si>
  <si>
    <t>BASE IMPONIBILE IRAP</t>
  </si>
  <si>
    <t>IRAP</t>
  </si>
  <si>
    <t>ALIQUOTA IMPOSTE SU REDDITI IRES</t>
  </si>
  <si>
    <t>INTERESSI PASSIVI BANCARI SU MUTUO</t>
  </si>
  <si>
    <t>Intervento soci - CAPITALE - FINANZIAMENTO FRUTTIFERO.</t>
  </si>
  <si>
    <t>TOTALE FINANZIAMENTI</t>
  </si>
  <si>
    <t>Capitale sociale</t>
  </si>
  <si>
    <t>finanziamenti infruttiferi da rimborsare</t>
  </si>
  <si>
    <t>finanziamento infruttifero - debito per copertura sbilancio IVA</t>
  </si>
  <si>
    <t>finaziamento infruttifero  - debiti v/soci ( per copertura investimento)</t>
  </si>
  <si>
    <t>Finanziamenti</t>
  </si>
  <si>
    <t>entrate per finanziamento progetto ( compresa iva)</t>
  </si>
  <si>
    <t>controllo</t>
  </si>
  <si>
    <t>DURATA PRESTITO FRUTTIFERO</t>
  </si>
  <si>
    <t xml:space="preserve">TOTALE ONERI FINAZIARI </t>
  </si>
  <si>
    <t>AMMORTAMENTI SPESE COST/ ONERI PLUR.</t>
  </si>
  <si>
    <t xml:space="preserve">MARGINE OPERATIVO NETTO </t>
  </si>
  <si>
    <t>RISULTATO PRIMA DELLE IMPOSTE</t>
  </si>
  <si>
    <t>IRES</t>
  </si>
  <si>
    <t>UTILE NETTO DELL'ESERCIZIO</t>
  </si>
  <si>
    <t>TOTALE IMPOSTE DELL'ESERCIZIO</t>
  </si>
  <si>
    <t>MARGINE OPERATIVO LORDO</t>
  </si>
  <si>
    <t>VALORE AGGIUNTO</t>
  </si>
  <si>
    <t>DIFFERENZA TRA VALORE E COSTI PRODUZIONE ( M.O.N.)</t>
  </si>
  <si>
    <t>imposte dirette ( IRES+IRAP) -ANT.</t>
  </si>
  <si>
    <t>tasso interesse</t>
  </si>
  <si>
    <t>interesse di preammortamento/ interess su finanziamenti</t>
  </si>
  <si>
    <t>tasso restituzione fin infruttiferi</t>
  </si>
  <si>
    <t>CALCOLO DEL V.A.N. DELL'INVESTIMENTO</t>
  </si>
  <si>
    <t>RICAVI</t>
  </si>
  <si>
    <t>COSTI OPERATIVI ESTERNI</t>
  </si>
  <si>
    <t>MARG. OP. LORDO ( MOL - EBITDA)</t>
  </si>
  <si>
    <t>IRES SU EBITDA</t>
  </si>
  <si>
    <t>IRAP SU EBITDA</t>
  </si>
  <si>
    <t>TOTALE IMPOSTE SU EBITDA</t>
  </si>
  <si>
    <t>AMMORTAMENTI</t>
  </si>
  <si>
    <t>IMPOSTE SU AMMORTAMENTI</t>
  </si>
  <si>
    <t>EBI</t>
  </si>
  <si>
    <t>EBIDA ( CASH FLOW GES. COR.)</t>
  </si>
  <si>
    <t>ONERI FINANZ. MUTUI</t>
  </si>
  <si>
    <t>IMPOSTE SU INTERESSI</t>
  </si>
  <si>
    <t>EBI AL NETTO INT BANCARI</t>
  </si>
  <si>
    <t>ON FINANZ. SU FIN SOCI FRUTT.</t>
  </si>
  <si>
    <t>IMPOSTE SU INT. FIN SOCI</t>
  </si>
  <si>
    <t>EBI AL NETTO ON. FIN SOCI</t>
  </si>
  <si>
    <t>SDO GEST. STRORD</t>
  </si>
  <si>
    <t>ONERI FISC. SU GEST. STR.</t>
  </si>
  <si>
    <t>EARNING ( E.A.T)</t>
  </si>
  <si>
    <t>COSTO PERSONALE AL NETTO DETRAZIONI</t>
  </si>
  <si>
    <t>TASSO DI ATTUALIZZAZIONE</t>
  </si>
  <si>
    <t>TOTALE INVESTIMENTI SOCI</t>
  </si>
  <si>
    <t>TOTALE INVESTIMETO SOCI</t>
  </si>
  <si>
    <t>INVESTIMENTO ( Co)</t>
  </si>
  <si>
    <t>CASH FLOW ATTUALIZZATO</t>
  </si>
  <si>
    <t>SALDO OPERAZIONE</t>
  </si>
  <si>
    <t>TOTALE</t>
  </si>
  <si>
    <t>CAP. PROD MAX</t>
  </si>
  <si>
    <t>GIORNI/ANNO APERTURA</t>
  </si>
  <si>
    <t>INCIDENZA</t>
  </si>
  <si>
    <t>COSTO STIMATO A PASTO</t>
  </si>
  <si>
    <t>COSTO STIMATO A CONSUMAZIONE BAR</t>
  </si>
  <si>
    <t>COSTO MATERIALI DI CONSUMO</t>
  </si>
  <si>
    <t>TOTALE COSTI MATERIE E MATERIALI DI CONSUMO</t>
  </si>
  <si>
    <t xml:space="preserve">MARGINE LORDO </t>
  </si>
  <si>
    <t>SPESE PER SERVIZI (B7)</t>
  </si>
  <si>
    <t>GODIMENTO BENI DI TERZI ( NOLEGGI E LEASING)</t>
  </si>
  <si>
    <t>ONERI DIVERSI DI GESTIONE ( B14)</t>
  </si>
  <si>
    <t>TOTALE COSTI (B7+B8+B14)</t>
  </si>
  <si>
    <t>ACCANTONAMENTI (B2/B13)</t>
  </si>
  <si>
    <t>IVA SU INVEST.</t>
  </si>
  <si>
    <t>FABBISOGNO FINANZIARIO INIZIALE SU INVESTIMENTO</t>
  </si>
  <si>
    <t>6° anno</t>
  </si>
  <si>
    <t>7° anno</t>
  </si>
  <si>
    <t>8° anno</t>
  </si>
  <si>
    <t>9° anno</t>
  </si>
  <si>
    <t>10° anno</t>
  </si>
  <si>
    <t>11° anno</t>
  </si>
  <si>
    <t>12° anno</t>
  </si>
  <si>
    <t>13° anno</t>
  </si>
  <si>
    <t>14° anno</t>
  </si>
  <si>
    <t>15° anno</t>
  </si>
  <si>
    <t>16° anno</t>
  </si>
  <si>
    <t>17° anno</t>
  </si>
  <si>
    <t>18° anno</t>
  </si>
  <si>
    <t>19° anno</t>
  </si>
  <si>
    <t>20° anno</t>
  </si>
  <si>
    <t>21° anno</t>
  </si>
  <si>
    <t>22° anno</t>
  </si>
  <si>
    <t>23° anno</t>
  </si>
  <si>
    <t>24° anno</t>
  </si>
  <si>
    <t>25° anno</t>
  </si>
  <si>
    <t>26° anno</t>
  </si>
  <si>
    <t>27° anno</t>
  </si>
  <si>
    <t>28° anno</t>
  </si>
  <si>
    <t>29° anno</t>
  </si>
  <si>
    <t>30° anno</t>
  </si>
  <si>
    <t>TOTALE AMMORTAMENTO CUMULATO</t>
  </si>
  <si>
    <t>SVILUPPO AMMORTAMENTI INVESTIMENTO INIZIALE</t>
  </si>
  <si>
    <t>Totale investimenti diversi dall'investimento iniziale</t>
  </si>
  <si>
    <t>Investimenti diversi dall' investimento iniziale</t>
  </si>
  <si>
    <t>AMMORTAMENTO CUMULATO ALTRI INVESTIMENTI</t>
  </si>
  <si>
    <t>AMMORTAMENTO ALTRI INVESTIMENTI DA EFFETTUARE 02</t>
  </si>
  <si>
    <t>AMMORTAMENTO ALTRI INVESTIMENTI DA EFFETTUARE 03</t>
  </si>
  <si>
    <t>INV. GLOBALE</t>
  </si>
  <si>
    <t>AMMORTAMENTI INVESTIMENTI</t>
  </si>
  <si>
    <t>IMPOSTE SUL REDDITO ALIQUOTA MEDIA</t>
  </si>
  <si>
    <t>CALCOLO COSTO DEL LAVORO X LIVELLO  CCNL TURISMO</t>
  </si>
  <si>
    <t>RETRIBUZIONE LORDA MENSILE MEDIA</t>
  </si>
  <si>
    <t>DIVISORE</t>
  </si>
  <si>
    <t>VERIFICA</t>
  </si>
  <si>
    <t>COSTO MEDIO PERSONALE A DIPENDENTE</t>
  </si>
  <si>
    <t xml:space="preserve">RICAVI </t>
  </si>
  <si>
    <t>Costo materie prime e di consumo</t>
  </si>
  <si>
    <t>Spese per servizi</t>
  </si>
  <si>
    <t>Oneri divesri di gestione</t>
  </si>
  <si>
    <t>Personale al netto TFR</t>
  </si>
  <si>
    <t>TFR</t>
  </si>
  <si>
    <t>Interessi bancari su mutuo</t>
  </si>
  <si>
    <t>Altri interessi passivi</t>
  </si>
  <si>
    <t>Entrate per versamento capitale</t>
  </si>
  <si>
    <t>Entrate per fin frutt soci</t>
  </si>
  <si>
    <t>iva sugli ivestimenti</t>
  </si>
  <si>
    <t>iva su investimento iniziale</t>
  </si>
  <si>
    <t>iva</t>
  </si>
  <si>
    <t>Uscite per costi materie prime e di consumo</t>
  </si>
  <si>
    <t>% iva</t>
  </si>
  <si>
    <t>Uscite per spese per servizi</t>
  </si>
  <si>
    <t>IVA c/vendite ( entrate)</t>
  </si>
  <si>
    <t>Uscite per godimento beni tezi noleggi e leasing</t>
  </si>
  <si>
    <t>Uscite per oneri diveris di gestione</t>
  </si>
  <si>
    <t>Uscite personale al netto TFR</t>
  </si>
  <si>
    <t>uscite per pagamento imposte</t>
  </si>
  <si>
    <t>Godimento beni di terzi- noleggi leasing)</t>
  </si>
  <si>
    <t>Uscite per lavori, progett. Direz.lavori - investimenti - iva esclusa</t>
  </si>
  <si>
    <t>Uscite per altri investimenti</t>
  </si>
  <si>
    <t>uscite per versamento iva</t>
  </si>
  <si>
    <t>TOTALE DELLE ENTRATE</t>
  </si>
  <si>
    <t>LIQUIDAZIONE DELL''IVA</t>
  </si>
  <si>
    <t>TOTALE DELLE USCITE</t>
  </si>
  <si>
    <t>USCITE PER PRELIEVO UTILI DAI SOCI</t>
  </si>
  <si>
    <t>PERCEBTUARE RIPARTIZONE UTILE SOCI</t>
  </si>
  <si>
    <t>Oneri su finanziamenti infruttiferi soci</t>
  </si>
  <si>
    <t>risultato economico di controllo</t>
  </si>
  <si>
    <t>differenza</t>
  </si>
  <si>
    <t>CALCOLO DEL VAN 20 anni</t>
  </si>
  <si>
    <t>INVSTIMENTI SUCCESSIVI</t>
  </si>
  <si>
    <t>TOTALE INVESTIMENTI</t>
  </si>
  <si>
    <t>VALORI ATUALI</t>
  </si>
  <si>
    <t>DISCONUTED CASH FLOW CUMULATO  ATTUALIZZATO</t>
  </si>
  <si>
    <t>DISCOUNTED CAS FLOW A VALORE NOMINALE</t>
  </si>
  <si>
    <t>CALCOLO DEL TASSO DI ATTUALIZZAZIONE</t>
  </si>
  <si>
    <t>INFLAZIONE</t>
  </si>
  <si>
    <t>TASSO INVESTIMENTI PRIVI DI RISCHIO</t>
  </si>
  <si>
    <t>RISCHIO DI IMPRESA</t>
  </si>
  <si>
    <t>BUSINESS PLAN: DURATA 20 ANNI con FINANZIAMENTO A 10 ANNI</t>
  </si>
  <si>
    <t>MARGINE OPERATIVO LORDO CUMULATO</t>
  </si>
  <si>
    <t>EBIDA ( CASH FLOW GES. COR.) cumulato</t>
  </si>
  <si>
    <t>INVESTIMENTI</t>
  </si>
  <si>
    <t>INVESTIMENTI CUMULATI</t>
  </si>
  <si>
    <t>INVESTIMENTO INIZIALE</t>
  </si>
  <si>
    <t>COSTI VARIABILI</t>
  </si>
  <si>
    <t>COSTI FISSI</t>
  </si>
  <si>
    <t>RISULTATO ORDINARIO AL LORDO IMPOSTE</t>
  </si>
  <si>
    <t>INCIDENZA DEI SOSTI VARIABILI SUI RICAVI</t>
  </si>
  <si>
    <t>FATTURATO DI EQUILIBRIO</t>
  </si>
  <si>
    <t>MARGINE DI SICUREZZA</t>
  </si>
  <si>
    <t>N° ALUNNI MAX/GG</t>
  </si>
  <si>
    <t>N° inizativ a pagamento</t>
  </si>
  <si>
    <t>CAP PROD. MAX INIZIATIVE</t>
  </si>
  <si>
    <t xml:space="preserve">VARIAZ PREZZI </t>
  </si>
  <si>
    <t>ALUNNI ISCRITI EFFETTIVAMENTE</t>
  </si>
  <si>
    <t>PREZZO MEDIO AD ALUNNO /GIORNO</t>
  </si>
  <si>
    <t>RICAVI ATTIVITA' GESTIONE ORDINARIA CENTRO</t>
  </si>
  <si>
    <t>ALTRE ATTIVITA'</t>
  </si>
  <si>
    <t>ALUNNI COINVOLTI</t>
  </si>
  <si>
    <t>PREZZO MEDIO PER INIZIATIVA</t>
  </si>
  <si>
    <t>RICAVI ALTRE ATTIVITA'</t>
  </si>
  <si>
    <t>RICAVI PER SERVIZI VARI (CONSLENZE ECC.)</t>
  </si>
  <si>
    <t>COSTI DIrETTI PER ALUNNI ( Materiali, pasto….)</t>
  </si>
  <si>
    <t>COSTI DDIRETTI X ALUNNO X INIZIATIVE</t>
  </si>
  <si>
    <t>GODIMENTO BENI DI TERZI AFFITTI B8</t>
  </si>
  <si>
    <t>STIPENDIO LORDO MENSILE</t>
  </si>
  <si>
    <t>TOTALE LORDO ANNUO</t>
  </si>
  <si>
    <t>INAIL</t>
  </si>
  <si>
    <t>QUOTA ANNUA</t>
  </si>
  <si>
    <t>FONDO PRESESENTE</t>
  </si>
  <si>
    <t>RIVALUTAZIONE</t>
  </si>
  <si>
    <t>TOTALE TFR</t>
  </si>
  <si>
    <t>TOTALE COSTO A CARICO AZIENDA</t>
  </si>
  <si>
    <t>COSTO MEDIO MESE</t>
  </si>
  <si>
    <t>VARIAZIONE DEL COSTO DEL PERSONALE</t>
  </si>
  <si>
    <t>D2 - EDUCATORE LAUREATO</t>
  </si>
  <si>
    <t>ANALISI DEL BEP IN TERMINI DI RICAVI</t>
  </si>
  <si>
    <t>RICAVI CENTRO</t>
  </si>
  <si>
    <t>Ricavi ALTRE INIZIATIVE</t>
  </si>
  <si>
    <t>Regione / COMUNE /Stato</t>
  </si>
  <si>
    <t>CONTROLLO CON BUSINESS PLAN</t>
  </si>
  <si>
    <t>IMPORTO</t>
  </si>
  <si>
    <t>Godimento beni di terzi (LOCAZIONE)</t>
  </si>
  <si>
    <t>ENTRATE PER RICAVI CENTRO</t>
  </si>
  <si>
    <t>ENTRATE ATTIVITA' DIVERSE</t>
  </si>
  <si>
    <t>EL PICOLO NIO</t>
  </si>
  <si>
    <t>INTERESSI</t>
  </si>
  <si>
    <t>CHECK</t>
  </si>
  <si>
    <t>BUSINESS PLAN EL PICOLO NIO</t>
  </si>
  <si>
    <t>Oneri progettazione direz. Lav. (</t>
  </si>
  <si>
    <t>AMMORTAMENTO ALTRI INVESTIMENTI DA EFFETTUARE  04</t>
  </si>
  <si>
    <t>ATTREZZATURE  02</t>
  </si>
  <si>
    <t>ATTREZZATURE 03</t>
  </si>
  <si>
    <t>ALTRI INVESTIMENTI 04</t>
  </si>
  <si>
    <t>ALTRI INVESTIMENTI 05</t>
  </si>
  <si>
    <t>ALTRI INVESTIMENTI 06</t>
  </si>
  <si>
    <t>ALTRI INVESTIMENTI 07</t>
  </si>
  <si>
    <t>ALTRI INVESTIMENTI 08</t>
  </si>
  <si>
    <t>AMMORTAMENTO ALTRI INVESTIMENTI DA EFFETTUARE 05</t>
  </si>
  <si>
    <t>AMMORTAMENTO ALTRI INVESTIMENTI DA EFFETTUARE  06</t>
  </si>
  <si>
    <t>AMMORTAMENTO ALTRI INVESTIMENTI DA EFFETTUARE  07</t>
  </si>
  <si>
    <t>AMMORTAMENTO ALTRI INVESTIMENTI DA EFFETTUARE  08</t>
  </si>
  <si>
    <t>aliquota ammort. MEDIA</t>
  </si>
  <si>
    <t>,</t>
  </si>
  <si>
    <t>ANALISI DI BILANCIO</t>
  </si>
  <si>
    <t>DATI IN PERCENTUALE</t>
  </si>
  <si>
    <t>VARIAZIONI</t>
  </si>
  <si>
    <t>IMPIEGHI = INVESTIMENTI = ATTIVITA'</t>
  </si>
  <si>
    <t>n</t>
  </si>
  <si>
    <t>n+1</t>
  </si>
  <si>
    <t>n+2</t>
  </si>
  <si>
    <t>ANNO N</t>
  </si>
  <si>
    <t>ANNO N+1</t>
  </si>
  <si>
    <t>ANNO N+2</t>
  </si>
  <si>
    <t>VAR N/N+1</t>
  </si>
  <si>
    <t>VAR N+1/N+2</t>
  </si>
  <si>
    <t xml:space="preserve">ATTIVO IMMOBILIZZATO </t>
  </si>
  <si>
    <t>Immobilizzazioni immateriali</t>
  </si>
  <si>
    <t>Immobilizzazioni materiali</t>
  </si>
  <si>
    <t>Immobilizzazioni finanziarie</t>
  </si>
  <si>
    <t>Crediti ed altre disponibilità esigibili oltre i12 mesi</t>
  </si>
  <si>
    <t>Risconti passivi plur- quote ctrb c/to impianti</t>
  </si>
  <si>
    <t xml:space="preserve">ATTIVO CORRENTE </t>
  </si>
  <si>
    <t>Rimanenze ( Ri)</t>
  </si>
  <si>
    <t>Disponibilita' finanziarie ( Df)</t>
  </si>
  <si>
    <t>Disponibità liquide (Dl)</t>
  </si>
  <si>
    <t xml:space="preserve">TOTALE IMPIEGHI </t>
  </si>
  <si>
    <t>FONTI DI FINANZIAMENTO</t>
  </si>
  <si>
    <t xml:space="preserve">PATRIMONIO NETTO </t>
  </si>
  <si>
    <t>Utile/perdite a nuovo+ riserve</t>
  </si>
  <si>
    <t>Utile d'esercizio/ perdita d'esercizio</t>
  </si>
  <si>
    <t>PASSIVITA' (P)</t>
  </si>
  <si>
    <t xml:space="preserve">Debiti a lungo termine </t>
  </si>
  <si>
    <t>TOTALE FONTI DI FINANZIAMENTO</t>
  </si>
  <si>
    <t>DATI AGGIUNTIVI</t>
  </si>
  <si>
    <t>INDEBITAMENTO TRIBUTARIO</t>
  </si>
  <si>
    <t xml:space="preserve">INDEBITAMENTO PREVIDENZIALE </t>
  </si>
  <si>
    <t>TOTALE IND TRIB+ PREVIDENZIALE</t>
  </si>
  <si>
    <t>Controllo Stato patrimoniale</t>
  </si>
  <si>
    <t>CONTO ECONOMICO A VALORE AGGIUNTO</t>
  </si>
  <si>
    <t>Ricavi netti di vendita (A1)</t>
  </si>
  <si>
    <t>=+ Costi patrimonializzati per lavori interni - (A4)</t>
  </si>
  <si>
    <t>+/-Var. Rim. Prod. Fin., semil, prod. In corso (A2)</t>
  </si>
  <si>
    <t>+Altri ricavi e proventi di gestione (A5)</t>
  </si>
  <si>
    <t>VALORE DELLA PRODUZIONE</t>
  </si>
  <si>
    <t>- Costi materie prime, consumo, merci B6</t>
  </si>
  <si>
    <t>-Costi per servizi e godimento beni di terzi (B7+B8)</t>
  </si>
  <si>
    <t>+/- Var. Rim. Mat. Prime, consumo, merci (B11)</t>
  </si>
  <si>
    <t>-Altri costi diversi di gestione B14</t>
  </si>
  <si>
    <t>COSTI DELLA PRODUZIONE</t>
  </si>
  <si>
    <t>-Costi del personale</t>
  </si>
  <si>
    <t>MAGINE OPERATIVO LORDO (EBITDA)</t>
  </si>
  <si>
    <t>-Amortamenti (B10)</t>
  </si>
  <si>
    <t>-Accantonamento a fondi rischi e oneri (B12+B13)</t>
  </si>
  <si>
    <t>-Svalutazione crediti</t>
  </si>
  <si>
    <t>REDDITO OPERATIVO (EBIT)</t>
  </si>
  <si>
    <t>+ Proventi finanziari</t>
  </si>
  <si>
    <t>-Oneri finanziari</t>
  </si>
  <si>
    <t>+/- RISULTATO GESTIONE FINANZIARIA</t>
  </si>
  <si>
    <t>+ Proventi Patrimoniali</t>
  </si>
  <si>
    <t>.- Oneri patrimoniali</t>
  </si>
  <si>
    <t>RISULTATO GESTIONE PATRIMONIALE</t>
  </si>
  <si>
    <t>+ Proventi accessori (atipici)</t>
  </si>
  <si>
    <t>-Oneri Acessori</t>
  </si>
  <si>
    <t>+/- RISULTATO GESTIONE ACCESSORIA</t>
  </si>
  <si>
    <t>RISULTATO DELLA GESTIONE ORDINARIA</t>
  </si>
  <si>
    <t>+Proventi straordinari</t>
  </si>
  <si>
    <t>-Oneri straordinari</t>
  </si>
  <si>
    <t>+/-RISULTATO GESTIONE STRAORDINARIA</t>
  </si>
  <si>
    <t>RISULTATO ECONOMICO AL LORDO IMP.</t>
  </si>
  <si>
    <t>-Imposte dell'esercizio</t>
  </si>
  <si>
    <t>UTILE/PERDITA DELL'ESERCIZIO</t>
  </si>
  <si>
    <t>aliquota media iva vendite</t>
  </si>
  <si>
    <t>Aliquita media iva acquisti</t>
  </si>
  <si>
    <t xml:space="preserve">ANNI </t>
  </si>
  <si>
    <t>dati integratrivi per analisi bilancio</t>
  </si>
  <si>
    <t>Passività immediate ( Pi&lt;=Pb)-(scadenti &lt;=60gg)</t>
  </si>
  <si>
    <t>Numero dei dipendenti</t>
  </si>
  <si>
    <t>crediti commerciali</t>
  </si>
  <si>
    <t>debiti commerciali</t>
  </si>
  <si>
    <t>fatture di vendita iva compresa</t>
  </si>
  <si>
    <t>fatture di acquisto</t>
  </si>
  <si>
    <t>Crediti finanziari a breve</t>
  </si>
  <si>
    <t>Debiti finanziari a breve</t>
  </si>
  <si>
    <t>Debiti finanziari a lungo termine</t>
  </si>
  <si>
    <t>Totale debiti finanziari per calcolo ROD (deb fin breve/deb fin M/L)</t>
  </si>
  <si>
    <t>INDICI STRUTTURALI</t>
  </si>
  <si>
    <t>Analisi degli impieghi</t>
  </si>
  <si>
    <t>Rigidità degli impieghi (Ai/TI)</t>
  </si>
  <si>
    <t>Elasticità degli impieghi ( Ac/TI)</t>
  </si>
  <si>
    <t>Analisi delle fonti</t>
  </si>
  <si>
    <t>Indice di indipendenza finanziaria (Cp/TI)</t>
  </si>
  <si>
    <t>Grado di capitalizzazione (Cp/(Pc+Pb))</t>
  </si>
  <si>
    <t>Indice di dipendenza finanziaria ((Pc+Pb)/TI)</t>
  </si>
  <si>
    <t>Correlazione tra impieghi e fonti</t>
  </si>
  <si>
    <t>Indice di indebitamento (TI/Cp) LEVERAGE</t>
  </si>
  <si>
    <t>Quoziente di indebitamento ( Pc+Pb)/Cp</t>
  </si>
  <si>
    <t>Indice di rigidità delle fonti ( Cp+Pc)/Ci</t>
  </si>
  <si>
    <t>ANALISI DELLA SOLIDITA' AZIENDALE</t>
  </si>
  <si>
    <t>Margine di struttura/ autocoperutra (Cp-Ai)</t>
  </si>
  <si>
    <t>Margine di copertura delle immobilizzazioni (Cp+Pc)-Ai</t>
  </si>
  <si>
    <t>Indice di autocopertura delle immobilizzazioni (Cp/Ai)</t>
  </si>
  <si>
    <t>Indice di copertura delle immobilizzazioni (Cp+Pc)/Ai</t>
  </si>
  <si>
    <t>ANALISI DELLA SOLVIBILITA' DELL'AZIENDA</t>
  </si>
  <si>
    <t>Capitale circolante netto  ( Ac - Pb)</t>
  </si>
  <si>
    <t>Indice di disponibilità (Current Ratio) ( Ac/Pb)</t>
  </si>
  <si>
    <t>Margine di tesoreria ((Dl+Df)-Pb)</t>
  </si>
  <si>
    <t>Indice liquidità primaria (Dl/Pb)</t>
  </si>
  <si>
    <t>Indice secco di liquidità (Dl/(Pb immediate)</t>
  </si>
  <si>
    <t>Indice di liquidità secondaria (Quick ratio) ((Dl+DF)/Pb)</t>
  </si>
  <si>
    <t>Posizione finanziaria netta ( Dl+Cr. Fin breve)- Deb fin. Breve +medio lungo</t>
  </si>
  <si>
    <t>INDICI DI REDDITIVITA'</t>
  </si>
  <si>
    <t>R.O.E. ( Utile netto esercizio)/Cap proprio compreso utile</t>
  </si>
  <si>
    <t>R.O.E (Utile netto esercizio/Cap proprio al netto utile</t>
  </si>
  <si>
    <t>R.O.I.  ( Ro/Tot. Investimenti)</t>
  </si>
  <si>
    <t>Incidenza gestione extra caratteristica (Utile/Ro)</t>
  </si>
  <si>
    <t>R.O.S. ( Retun on sales) ( Ro/Ricavi netti vendita)</t>
  </si>
  <si>
    <t>Indice di rotazione impieghi ( Ricavi netti vendita/TI)</t>
  </si>
  <si>
    <t>R.O.D ( oneri finanziari/debiti finanziari)</t>
  </si>
  <si>
    <t>Altri indici di economico finanziari e di efficienza</t>
  </si>
  <si>
    <t>fatturato pro capite ( Ricavi netti Vendita/ n° dipendenti)</t>
  </si>
  <si>
    <t>indice di rotazione crediti commerciali  ( fatt.vend/crediti c.)</t>
  </si>
  <si>
    <t>durata media dei crediti (cred comm/fatt. vend)*365</t>
  </si>
  <si>
    <t>durata media dei debiti (deb comm/fatt acq)*365</t>
  </si>
  <si>
    <t>indice di rotazione attivo corrente (ricavi netti vend/Ac)</t>
  </si>
  <si>
    <t>indice di rotazione del magazzino V/D</t>
  </si>
  <si>
    <t>durata media delle scorte D/V*365</t>
  </si>
  <si>
    <t>durata media del ciclo commerciale delle vendite ( gg.Cred+gg Mag</t>
  </si>
  <si>
    <t>durata media debiti commerciali</t>
  </si>
  <si>
    <t>ciclo finanziario ( netto)</t>
  </si>
  <si>
    <t>LIMITI SOGLIA SERVIZI ALLE PERSONE</t>
  </si>
  <si>
    <t>indice di sostenibilità degli oneri fnanziaria -Oneri finanziari (C17)/ Ricavi (A1)</t>
  </si>
  <si>
    <t>SOGLIA</t>
  </si>
  <si>
    <t>indice di adeguatezza patrimoniale Patrimonio Netto/Debiti totali</t>
  </si>
  <si>
    <t>INDICE DI RITORNO LIQUIDO DELL'ATTIVO ( CASH FLOW/ATTIVO)</t>
  </si>
  <si>
    <t>CASH FLOW ---&gt;</t>
  </si>
  <si>
    <t>INDICE DI LIQUIDITA' (ATTIVITA' A BREVE /PASS. A BREVE)</t>
  </si>
  <si>
    <t>INDEBITAMENTO PREVIDENZIALE E TRIBUTARIO (IND. TIB+PREV/ATTIVO)</t>
  </si>
  <si>
    <t>gg. dilazione mediacrediti</t>
  </si>
  <si>
    <t xml:space="preserve">giorni dilazione media debiti </t>
  </si>
  <si>
    <t xml:space="preserve">Debiti a breve termine  </t>
  </si>
  <si>
    <t>Banche a breve termine</t>
  </si>
  <si>
    <t>check</t>
  </si>
  <si>
    <t xml:space="preserve">Uscite per  godimento beni di terzi </t>
  </si>
  <si>
    <t>altri debiti a breve termine ( Perv. Erariali / altri)</t>
  </si>
  <si>
    <t>Altri crediti</t>
  </si>
  <si>
    <t>IMPRESA : EL PICOLO 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</si>
</sst>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4">
    <numFmt numFmtId="6" formatCode="#,##0\ &quot;€&quot;;[Red]\-#,##0\ &quot;€&quot;"/>
    <numFmt numFmtId="8" formatCode="#,##0.00\ &quot;€&quot;;[Red]\-#,##0.00\ &quot;€&quot;"/>
    <numFmt numFmtId="41" formatCode="_-* #,##0_-;\-* #,##0_-;_-* &quot;-&quot;_-;_-@_-"/>
    <numFmt numFmtId="164" formatCode="&quot;€&quot;\ #,##0;[Red]\-&quot;€&quot;\ #,##0"/>
    <numFmt numFmtId="165" formatCode="&quot;€&quot;\ #,##0.00;[Red]\-&quot;€&quot;\ #,##0.00"/>
    <numFmt numFmtId="166" formatCode="0.0000"/>
    <numFmt numFmtId="167" formatCode="0.000"/>
    <numFmt numFmtId="168" formatCode="#,##0_ ;[Red]\-#,##0\ "/>
    <numFmt numFmtId="169" formatCode="#,##0_);\(#,##0\)"/>
    <numFmt numFmtId="170" formatCode="0.0%"/>
    <numFmt numFmtId="171" formatCode="d\-mmm\-yy"/>
    <numFmt numFmtId="172" formatCode="#,##0.00_);\(#,##0.00\)"/>
    <numFmt numFmtId="173" formatCode="#,##0.000000_);\(#,##0.000000\)"/>
    <numFmt numFmtId="174" formatCode="#,##0.00_ ;\-#,##0.00\ "/>
    <numFmt numFmtId="175" formatCode="#,##0.0"/>
    <numFmt numFmtId="176" formatCode="#,##0.0000\ &quot;€&quot;;[Red]\-#,##0.0000\ &quot;€&quot;"/>
    <numFmt numFmtId="177" formatCode="_-* #,##0.000_-;\-* #,##0.000_-;_-* &quot;-&quot;_-;_-@_-"/>
    <numFmt numFmtId="178" formatCode="#,##0\ &quot;€&quot;"/>
    <numFmt numFmtId="179" formatCode="#,##0.0_ ;[Red]\-#,##0.0\ "/>
    <numFmt numFmtId="180" formatCode="#,##0.00_ ;[Red]\-#,##0.00\ "/>
    <numFmt numFmtId="181" formatCode="&quot;€ &quot;#,##0.00;[Red]&quot;-€ &quot;#,##0.00"/>
    <numFmt numFmtId="182" formatCode="0.0"/>
    <numFmt numFmtId="183" formatCode="0_ ;[Red]\-0\ "/>
    <numFmt numFmtId="184" formatCode="#,##0;[Red]#,##0"/>
  </numFmts>
  <fonts count="44" x14ac:knownFonts="1">
    <font>
      <sz val="10"/>
      <name val="Arial"/>
    </font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b/>
      <sz val="10"/>
      <color indexed="12"/>
      <name val="Arial"/>
      <family val="2"/>
    </font>
    <font>
      <b/>
      <sz val="12"/>
      <name val="Arial"/>
      <family val="2"/>
    </font>
    <font>
      <b/>
      <sz val="10"/>
      <color indexed="62"/>
      <name val="Arial"/>
      <family val="2"/>
    </font>
    <font>
      <sz val="10"/>
      <color indexed="62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sz val="10"/>
      <name val="Courier"/>
      <family val="3"/>
    </font>
    <font>
      <sz val="8"/>
      <name val="Courier"/>
      <family val="3"/>
    </font>
    <font>
      <sz val="10"/>
      <name val="Times New Roman"/>
      <family val="1"/>
    </font>
    <font>
      <sz val="12"/>
      <name val="Times New Roman"/>
      <family val="1"/>
    </font>
    <font>
      <b/>
      <sz val="13"/>
      <name val="Times New Roman"/>
      <family val="1"/>
    </font>
    <font>
      <b/>
      <i/>
      <u/>
      <sz val="10"/>
      <color indexed="9"/>
      <name val="Times New Roman"/>
      <family val="1"/>
    </font>
    <font>
      <b/>
      <sz val="10"/>
      <name val="Times New Roman"/>
      <family val="1"/>
    </font>
    <font>
      <b/>
      <sz val="10"/>
      <color indexed="18"/>
      <name val="Times New Roman"/>
      <family val="1"/>
    </font>
    <font>
      <sz val="10"/>
      <color indexed="22"/>
      <name val="Times New Roman"/>
      <family val="1"/>
    </font>
    <font>
      <sz val="10"/>
      <color indexed="55"/>
      <name val="Arial"/>
      <family val="2"/>
    </font>
    <font>
      <b/>
      <sz val="10"/>
      <color indexed="55"/>
      <name val="Arial"/>
      <family val="2"/>
    </font>
    <font>
      <b/>
      <sz val="9"/>
      <name val="Arial"/>
      <family val="2"/>
    </font>
    <font>
      <sz val="12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name val="Arial"/>
      <family val="2"/>
    </font>
    <font>
      <sz val="9"/>
      <name val="Arial"/>
      <family val="2"/>
    </font>
    <font>
      <sz val="10"/>
      <name val="MS Sans Serif"/>
    </font>
    <font>
      <b/>
      <sz val="7"/>
      <name val="Arial"/>
      <family val="2"/>
    </font>
    <font>
      <sz val="10"/>
      <name val="MS Sans Serif"/>
      <family val="2"/>
    </font>
    <font>
      <b/>
      <i/>
      <sz val="8"/>
      <name val="Arial"/>
      <family val="2"/>
    </font>
    <font>
      <i/>
      <sz val="10"/>
      <name val="Arial"/>
      <family val="2"/>
    </font>
    <font>
      <sz val="11"/>
      <color rgb="FF006100"/>
      <name val="Calibri"/>
      <family val="2"/>
      <scheme val="minor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14"/>
      <name val="Arial"/>
      <family val="2"/>
    </font>
    <font>
      <b/>
      <i/>
      <sz val="8"/>
      <color rgb="FFFF0000"/>
      <name val="Arial"/>
      <family val="2"/>
    </font>
    <font>
      <b/>
      <sz val="8"/>
      <color indexed="10"/>
      <name val="Arial"/>
      <family val="2"/>
    </font>
    <font>
      <b/>
      <i/>
      <sz val="8"/>
      <color indexed="62"/>
      <name val="Arial"/>
      <family val="2"/>
    </font>
    <font>
      <b/>
      <sz val="8"/>
      <color rgb="FFFF0000"/>
      <name val="Arial"/>
      <family val="2"/>
    </font>
    <font>
      <b/>
      <sz val="11"/>
      <color rgb="FFFF3333"/>
      <name val="Arial"/>
      <family val="2"/>
    </font>
    <font>
      <b/>
      <sz val="11"/>
      <color rgb="FFFF0000"/>
      <name val="Calibri"/>
      <family val="2"/>
    </font>
  </fonts>
  <fills count="3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2"/>
        <bgColor indexed="47"/>
      </patternFill>
    </fill>
    <fill>
      <patternFill patternType="solid">
        <fgColor rgb="FFC6EFCE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66FF9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47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79998168889431442"/>
        <bgColor indexed="22"/>
      </patternFill>
    </fill>
    <fill>
      <patternFill patternType="solid">
        <fgColor indexed="43"/>
        <bgColor indexed="26"/>
      </patternFill>
    </fill>
    <fill>
      <patternFill patternType="solid">
        <fgColor indexed="27"/>
        <bgColor indexed="41"/>
      </patternFill>
    </fill>
    <fill>
      <patternFill patternType="solid">
        <fgColor indexed="42"/>
        <bgColor indexed="27"/>
      </patternFill>
    </fill>
    <fill>
      <patternFill patternType="solid">
        <fgColor indexed="13"/>
        <bgColor indexed="3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31"/>
      </patternFill>
    </fill>
    <fill>
      <patternFill patternType="solid">
        <fgColor rgb="FFFFFF99"/>
        <bgColor rgb="FFFFFF99"/>
      </patternFill>
    </fill>
    <fill>
      <patternFill patternType="solid">
        <fgColor theme="2" tint="-9.9978637043366805E-2"/>
        <bgColor rgb="FFFFFF99"/>
      </patternFill>
    </fill>
  </fills>
  <borders count="9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8">
    <xf numFmtId="0" fontId="0" fillId="0" borderId="0"/>
    <xf numFmtId="41" fontId="1" fillId="0" borderId="0" applyFont="0" applyFill="0" applyBorder="0" applyAlignment="0" applyProtection="0"/>
    <xf numFmtId="40" fontId="31" fillId="0" borderId="0" applyFont="0" applyFill="0" applyBorder="0" applyAlignment="0" applyProtection="0"/>
    <xf numFmtId="0" fontId="29" fillId="0" borderId="0"/>
    <xf numFmtId="171" fontId="10" fillId="0" borderId="0"/>
    <xf numFmtId="9" fontId="1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34" fillId="9" borderId="0" applyNumberFormat="0" applyBorder="0" applyAlignment="0" applyProtection="0"/>
  </cellStyleXfs>
  <cellXfs count="618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41" fontId="0" fillId="0" borderId="0" xfId="1" applyFont="1" applyAlignment="1">
      <alignment vertical="center"/>
    </xf>
    <xf numFmtId="0" fontId="0" fillId="0" borderId="1" xfId="0" applyBorder="1" applyAlignment="1">
      <alignment vertical="center"/>
    </xf>
    <xf numFmtId="41" fontId="0" fillId="0" borderId="1" xfId="1" applyFont="1" applyBorder="1" applyAlignment="1">
      <alignment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41" fontId="3" fillId="0" borderId="1" xfId="1" applyFont="1" applyBorder="1" applyAlignment="1">
      <alignment vertical="center"/>
    </xf>
    <xf numFmtId="167" fontId="3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horizontal="right" vertical="center"/>
    </xf>
    <xf numFmtId="41" fontId="3" fillId="0" borderId="1" xfId="0" applyNumberFormat="1" applyFont="1" applyBorder="1" applyAlignment="1">
      <alignment horizontal="left" vertical="center"/>
    </xf>
    <xf numFmtId="0" fontId="3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41" fontId="3" fillId="0" borderId="7" xfId="0" applyNumberFormat="1" applyFont="1" applyBorder="1" applyAlignment="1">
      <alignment vertical="center"/>
    </xf>
    <xf numFmtId="0" fontId="0" fillId="3" borderId="0" xfId="0" applyFill="1" applyAlignment="1">
      <alignment vertical="center" wrapText="1"/>
    </xf>
    <xf numFmtId="0" fontId="8" fillId="0" borderId="0" xfId="0" applyFont="1" applyAlignment="1">
      <alignment vertical="center"/>
    </xf>
    <xf numFmtId="9" fontId="4" fillId="0" borderId="1" xfId="0" applyNumberFormat="1" applyFont="1" applyBorder="1" applyAlignment="1" applyProtection="1">
      <alignment vertical="center"/>
      <protection locked="0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171" fontId="12" fillId="0" borderId="0" xfId="4" applyFont="1"/>
    <xf numFmtId="14" fontId="12" fillId="0" borderId="0" xfId="4" applyNumberFormat="1" applyFont="1" applyAlignment="1">
      <alignment horizontal="center"/>
    </xf>
    <xf numFmtId="171" fontId="12" fillId="0" borderId="0" xfId="4" applyFont="1" applyAlignment="1">
      <alignment horizontal="center"/>
    </xf>
    <xf numFmtId="169" fontId="12" fillId="0" borderId="0" xfId="4" applyNumberFormat="1" applyFont="1"/>
    <xf numFmtId="14" fontId="13" fillId="4" borderId="8" xfId="4" applyNumberFormat="1" applyFont="1" applyFill="1" applyBorder="1" applyAlignment="1">
      <alignment horizontal="center"/>
    </xf>
    <xf numFmtId="169" fontId="13" fillId="4" borderId="9" xfId="4" applyNumberFormat="1" applyFont="1" applyFill="1" applyBorder="1" applyAlignment="1">
      <alignment horizontal="center"/>
    </xf>
    <xf numFmtId="169" fontId="14" fillId="4" borderId="9" xfId="4" applyNumberFormat="1" applyFont="1" applyFill="1" applyBorder="1" applyAlignment="1">
      <alignment horizontal="left"/>
    </xf>
    <xf numFmtId="169" fontId="13" fillId="4" borderId="10" xfId="4" applyNumberFormat="1" applyFont="1" applyFill="1" applyBorder="1" applyAlignment="1">
      <alignment horizontal="center"/>
    </xf>
    <xf numFmtId="14" fontId="13" fillId="4" borderId="6" xfId="4" applyNumberFormat="1" applyFont="1" applyFill="1" applyBorder="1" applyAlignment="1">
      <alignment horizontal="center"/>
    </xf>
    <xf numFmtId="169" fontId="13" fillId="4" borderId="5" xfId="4" applyNumberFormat="1" applyFont="1" applyFill="1" applyBorder="1" applyAlignment="1">
      <alignment horizontal="center"/>
    </xf>
    <xf numFmtId="169" fontId="13" fillId="4" borderId="5" xfId="4" applyNumberFormat="1" applyFont="1" applyFill="1" applyBorder="1" applyAlignment="1">
      <alignment horizontal="left"/>
    </xf>
    <xf numFmtId="169" fontId="13" fillId="4" borderId="11" xfId="4" applyNumberFormat="1" applyFont="1" applyFill="1" applyBorder="1" applyAlignment="1">
      <alignment horizontal="center"/>
    </xf>
    <xf numFmtId="169" fontId="12" fillId="0" borderId="0" xfId="4" applyNumberFormat="1" applyFont="1" applyAlignment="1">
      <alignment horizontal="center"/>
    </xf>
    <xf numFmtId="169" fontId="12" fillId="0" borderId="0" xfId="4" applyNumberFormat="1" applyFont="1" applyAlignment="1">
      <alignment horizontal="left"/>
    </xf>
    <xf numFmtId="169" fontId="15" fillId="5" borderId="0" xfId="4" applyNumberFormat="1" applyFont="1" applyFill="1" applyAlignment="1">
      <alignment horizontal="right"/>
    </xf>
    <xf numFmtId="169" fontId="16" fillId="6" borderId="12" xfId="4" applyNumberFormat="1" applyFont="1" applyFill="1" applyBorder="1" applyAlignment="1">
      <alignment horizontal="left"/>
    </xf>
    <xf numFmtId="169" fontId="12" fillId="6" borderId="13" xfId="4" applyNumberFormat="1" applyFont="1" applyFill="1" applyBorder="1" applyAlignment="1">
      <alignment horizontal="center"/>
    </xf>
    <xf numFmtId="169" fontId="17" fillId="6" borderId="14" xfId="4" applyNumberFormat="1" applyFont="1" applyFill="1" applyBorder="1" applyAlignment="1">
      <alignment horizontal="right"/>
    </xf>
    <xf numFmtId="169" fontId="16" fillId="6" borderId="15" xfId="4" applyNumberFormat="1" applyFont="1" applyFill="1" applyBorder="1" applyAlignment="1">
      <alignment horizontal="left"/>
    </xf>
    <xf numFmtId="169" fontId="12" fillId="6" borderId="16" xfId="4" applyNumberFormat="1" applyFont="1" applyFill="1" applyBorder="1" applyAlignment="1">
      <alignment horizontal="center"/>
    </xf>
    <xf numFmtId="171" fontId="12" fillId="6" borderId="0" xfId="4" applyFont="1" applyFill="1" applyAlignment="1">
      <alignment horizontal="center"/>
    </xf>
    <xf numFmtId="172" fontId="17" fillId="6" borderId="17" xfId="4" applyNumberFormat="1" applyFont="1" applyFill="1" applyBorder="1" applyAlignment="1">
      <alignment horizontal="right"/>
    </xf>
    <xf numFmtId="10" fontId="18" fillId="5" borderId="0" xfId="5" applyNumberFormat="1" applyFont="1" applyFill="1" applyAlignment="1" applyProtection="1">
      <alignment horizontal="center"/>
    </xf>
    <xf numFmtId="169" fontId="16" fillId="7" borderId="18" xfId="4" applyNumberFormat="1" applyFont="1" applyFill="1" applyBorder="1" applyAlignment="1">
      <alignment horizontal="left"/>
    </xf>
    <xf numFmtId="169" fontId="12" fillId="7" borderId="19" xfId="4" applyNumberFormat="1" applyFont="1" applyFill="1" applyBorder="1" applyAlignment="1">
      <alignment horizontal="center"/>
    </xf>
    <xf numFmtId="169" fontId="16" fillId="7" borderId="20" xfId="4" applyNumberFormat="1" applyFont="1" applyFill="1" applyBorder="1" applyAlignment="1">
      <alignment horizontal="right"/>
    </xf>
    <xf numFmtId="169" fontId="16" fillId="0" borderId="15" xfId="4" applyNumberFormat="1" applyFont="1" applyBorder="1" applyAlignment="1">
      <alignment horizontal="left"/>
    </xf>
    <xf numFmtId="169" fontId="12" fillId="0" borderId="16" xfId="4" applyNumberFormat="1" applyFont="1" applyBorder="1" applyAlignment="1">
      <alignment horizontal="center"/>
    </xf>
    <xf numFmtId="169" fontId="12" fillId="0" borderId="17" xfId="4" applyNumberFormat="1" applyFont="1" applyBorder="1" applyAlignment="1">
      <alignment horizontal="right"/>
    </xf>
    <xf numFmtId="169" fontId="16" fillId="0" borderId="21" xfId="4" applyNumberFormat="1" applyFont="1" applyBorder="1" applyAlignment="1">
      <alignment horizontal="left"/>
    </xf>
    <xf numFmtId="169" fontId="12" fillId="0" borderId="22" xfId="4" applyNumberFormat="1" applyFont="1" applyBorder="1" applyAlignment="1">
      <alignment horizontal="center"/>
    </xf>
    <xf numFmtId="169" fontId="12" fillId="0" borderId="23" xfId="4" applyNumberFormat="1" applyFont="1" applyBorder="1" applyAlignment="1">
      <alignment horizontal="right"/>
    </xf>
    <xf numFmtId="14" fontId="16" fillId="0" borderId="1" xfId="4" applyNumberFormat="1" applyFont="1" applyBorder="1" applyAlignment="1">
      <alignment horizontal="center"/>
    </xf>
    <xf numFmtId="169" fontId="16" fillId="0" borderId="24" xfId="4" applyNumberFormat="1" applyFont="1" applyBorder="1" applyAlignment="1">
      <alignment horizontal="center"/>
    </xf>
    <xf numFmtId="169" fontId="16" fillId="0" borderId="1" xfId="4" applyNumberFormat="1" applyFont="1" applyBorder="1" applyAlignment="1">
      <alignment horizontal="center"/>
    </xf>
    <xf numFmtId="169" fontId="12" fillId="0" borderId="24" xfId="4" applyNumberFormat="1" applyFont="1" applyBorder="1" applyAlignment="1">
      <alignment horizontal="center"/>
    </xf>
    <xf numFmtId="169" fontId="12" fillId="0" borderId="1" xfId="4" applyNumberFormat="1" applyFont="1" applyBorder="1" applyAlignment="1">
      <alignment horizontal="center"/>
    </xf>
    <xf numFmtId="169" fontId="16" fillId="6" borderId="25" xfId="4" applyNumberFormat="1" applyFont="1" applyFill="1" applyBorder="1" applyAlignment="1">
      <alignment horizontal="left"/>
    </xf>
    <xf numFmtId="169" fontId="12" fillId="6" borderId="26" xfId="4" applyNumberFormat="1" applyFont="1" applyFill="1" applyBorder="1" applyAlignment="1">
      <alignment horizontal="center"/>
    </xf>
    <xf numFmtId="171" fontId="12" fillId="6" borderId="19" xfId="4" applyFont="1" applyFill="1" applyBorder="1" applyAlignment="1">
      <alignment horizontal="center"/>
    </xf>
    <xf numFmtId="171" fontId="12" fillId="6" borderId="16" xfId="4" applyFont="1" applyFill="1" applyBorder="1" applyAlignment="1">
      <alignment horizontal="center"/>
    </xf>
    <xf numFmtId="169" fontId="17" fillId="6" borderId="27" xfId="4" applyNumberFormat="1" applyFont="1" applyFill="1" applyBorder="1" applyAlignment="1">
      <alignment horizontal="right"/>
    </xf>
    <xf numFmtId="169" fontId="16" fillId="5" borderId="21" xfId="4" applyNumberFormat="1" applyFont="1" applyFill="1" applyBorder="1" applyAlignment="1">
      <alignment horizontal="left"/>
    </xf>
    <xf numFmtId="169" fontId="12" fillId="5" borderId="22" xfId="4" applyNumberFormat="1" applyFont="1" applyFill="1" applyBorder="1" applyAlignment="1">
      <alignment horizontal="center"/>
    </xf>
    <xf numFmtId="169" fontId="17" fillId="5" borderId="23" xfId="4" applyNumberFormat="1" applyFont="1" applyFill="1" applyBorder="1" applyAlignment="1">
      <alignment horizontal="right"/>
    </xf>
    <xf numFmtId="173" fontId="12" fillId="0" borderId="0" xfId="4" applyNumberFormat="1" applyFont="1" applyAlignment="1">
      <alignment horizontal="center"/>
    </xf>
    <xf numFmtId="0" fontId="19" fillId="0" borderId="0" xfId="0" applyFont="1" applyAlignment="1">
      <alignment vertical="center"/>
    </xf>
    <xf numFmtId="3" fontId="20" fillId="0" borderId="0" xfId="0" applyNumberFormat="1" applyFont="1" applyAlignment="1" applyProtection="1">
      <alignment vertical="center"/>
      <protection locked="0"/>
    </xf>
    <xf numFmtId="0" fontId="20" fillId="0" borderId="0" xfId="0" applyFont="1" applyAlignment="1">
      <alignment vertical="center"/>
    </xf>
    <xf numFmtId="0" fontId="19" fillId="0" borderId="0" xfId="0" quotePrefix="1" applyFont="1" applyAlignment="1">
      <alignment horizontal="left" vertical="center"/>
    </xf>
    <xf numFmtId="3" fontId="19" fillId="0" borderId="1" xfId="0" applyNumberFormat="1" applyFont="1" applyBorder="1" applyAlignment="1">
      <alignment vertical="center"/>
    </xf>
    <xf numFmtId="0" fontId="19" fillId="0" borderId="1" xfId="0" applyFont="1" applyBorder="1" applyAlignment="1">
      <alignment vertical="center"/>
    </xf>
    <xf numFmtId="0" fontId="19" fillId="0" borderId="1" xfId="0" applyFont="1" applyBorder="1" applyAlignment="1">
      <alignment horizontal="left" vertical="center"/>
    </xf>
    <xf numFmtId="41" fontId="19" fillId="0" borderId="1" xfId="1" applyFont="1" applyBorder="1" applyAlignment="1">
      <alignment vertical="center"/>
    </xf>
    <xf numFmtId="0" fontId="0" fillId="0" borderId="16" xfId="0" applyBorder="1" applyAlignment="1">
      <alignment vertical="center"/>
    </xf>
    <xf numFmtId="10" fontId="0" fillId="0" borderId="0" xfId="0" applyNumberFormat="1" applyAlignment="1">
      <alignment vertical="center"/>
    </xf>
    <xf numFmtId="4" fontId="0" fillId="0" borderId="0" xfId="0" applyNumberFormat="1" applyAlignment="1">
      <alignment vertical="center"/>
    </xf>
    <xf numFmtId="4" fontId="0" fillId="0" borderId="0" xfId="0" applyNumberFormat="1" applyAlignment="1">
      <alignment horizontal="left" vertical="center"/>
    </xf>
    <xf numFmtId="4" fontId="8" fillId="0" borderId="29" xfId="5" applyNumberFormat="1" applyFont="1" applyBorder="1" applyAlignment="1">
      <alignment vertical="center"/>
    </xf>
    <xf numFmtId="168" fontId="0" fillId="0" borderId="0" xfId="0" applyNumberFormat="1" applyAlignment="1">
      <alignment vertical="center"/>
    </xf>
    <xf numFmtId="9" fontId="0" fillId="0" borderId="0" xfId="0" applyNumberFormat="1" applyAlignment="1">
      <alignment vertical="center"/>
    </xf>
    <xf numFmtId="0" fontId="0" fillId="0" borderId="0" xfId="0" applyAlignment="1">
      <alignment horizontal="center" vertical="center"/>
    </xf>
    <xf numFmtId="41" fontId="7" fillId="0" borderId="30" xfId="0" applyNumberFormat="1" applyFont="1" applyBorder="1" applyAlignment="1">
      <alignment vertical="center"/>
    </xf>
    <xf numFmtId="4" fontId="0" fillId="0" borderId="0" xfId="0" applyNumberFormat="1" applyAlignment="1">
      <alignment horizontal="right" vertical="center"/>
    </xf>
    <xf numFmtId="0" fontId="8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 wrapText="1"/>
    </xf>
    <xf numFmtId="165" fontId="0" fillId="0" borderId="0" xfId="0" applyNumberFormat="1" applyAlignment="1">
      <alignment vertical="center"/>
    </xf>
    <xf numFmtId="0" fontId="8" fillId="0" borderId="0" xfId="0" applyFont="1"/>
    <xf numFmtId="165" fontId="3" fillId="0" borderId="0" xfId="0" applyNumberFormat="1" applyFont="1" applyAlignment="1">
      <alignment vertical="center"/>
    </xf>
    <xf numFmtId="0" fontId="8" fillId="3" borderId="0" xfId="0" applyFont="1" applyFill="1" applyAlignment="1">
      <alignment vertical="center"/>
    </xf>
    <xf numFmtId="165" fontId="0" fillId="0" borderId="1" xfId="0" applyNumberFormat="1" applyBorder="1" applyAlignment="1">
      <alignment horizontal="right" vertical="center"/>
    </xf>
    <xf numFmtId="0" fontId="8" fillId="0" borderId="1" xfId="0" applyFont="1" applyBorder="1" applyAlignment="1">
      <alignment vertical="center"/>
    </xf>
    <xf numFmtId="165" fontId="3" fillId="0" borderId="1" xfId="0" applyNumberFormat="1" applyFont="1" applyBorder="1" applyAlignment="1">
      <alignment horizontal="right" vertical="center"/>
    </xf>
    <xf numFmtId="165" fontId="3" fillId="0" borderId="1" xfId="0" applyNumberFormat="1" applyFont="1" applyBorder="1" applyAlignment="1">
      <alignment vertical="center"/>
    </xf>
    <xf numFmtId="0" fontId="23" fillId="0" borderId="29" xfId="0" applyFont="1" applyBorder="1" applyAlignment="1">
      <alignment vertical="center"/>
    </xf>
    <xf numFmtId="0" fontId="0" fillId="0" borderId="29" xfId="0" applyBorder="1" applyAlignment="1">
      <alignment vertical="center"/>
    </xf>
    <xf numFmtId="0" fontId="8" fillId="0" borderId="29" xfId="0" applyFont="1" applyBorder="1" applyAlignment="1">
      <alignment vertical="center"/>
    </xf>
    <xf numFmtId="0" fontId="3" fillId="0" borderId="29" xfId="0" applyFont="1" applyBorder="1" applyAlignment="1">
      <alignment vertical="center"/>
    </xf>
    <xf numFmtId="10" fontId="0" fillId="10" borderId="1" xfId="0" applyNumberFormat="1" applyFill="1" applyBorder="1" applyAlignment="1">
      <alignment vertical="center"/>
    </xf>
    <xf numFmtId="165" fontId="0" fillId="0" borderId="1" xfId="0" applyNumberFormat="1" applyBorder="1" applyAlignment="1">
      <alignment vertical="center"/>
    </xf>
    <xf numFmtId="41" fontId="3" fillId="10" borderId="1" xfId="0" applyNumberFormat="1" applyFont="1" applyFill="1" applyBorder="1" applyAlignment="1">
      <alignment horizontal="left" vertical="center"/>
    </xf>
    <xf numFmtId="165" fontId="3" fillId="0" borderId="31" xfId="0" applyNumberFormat="1" applyFont="1" applyBorder="1" applyAlignment="1">
      <alignment vertical="center"/>
    </xf>
    <xf numFmtId="165" fontId="0" fillId="0" borderId="32" xfId="0" applyNumberFormat="1" applyBorder="1" applyAlignment="1">
      <alignment vertical="center"/>
    </xf>
    <xf numFmtId="165" fontId="0" fillId="10" borderId="1" xfId="0" applyNumberFormat="1" applyFill="1" applyBorder="1" applyAlignment="1">
      <alignment horizontal="right" vertical="center"/>
    </xf>
    <xf numFmtId="10" fontId="3" fillId="10" borderId="1" xfId="0" applyNumberFormat="1" applyFont="1" applyFill="1" applyBorder="1" applyAlignment="1">
      <alignment vertical="center"/>
    </xf>
    <xf numFmtId="10" fontId="3" fillId="10" borderId="1" xfId="5" applyNumberFormat="1" applyFont="1" applyFill="1" applyBorder="1" applyAlignment="1">
      <alignment vertical="center"/>
    </xf>
    <xf numFmtId="0" fontId="3" fillId="10" borderId="1" xfId="0" applyFont="1" applyFill="1" applyBorder="1" applyAlignment="1">
      <alignment vertical="center"/>
    </xf>
    <xf numFmtId="0" fontId="8" fillId="3" borderId="0" xfId="0" applyFont="1" applyFill="1" applyAlignment="1">
      <alignment vertical="center" wrapText="1"/>
    </xf>
    <xf numFmtId="41" fontId="3" fillId="0" borderId="33" xfId="0" applyNumberFormat="1" applyFont="1" applyBorder="1" applyAlignment="1">
      <alignment vertical="center"/>
    </xf>
    <xf numFmtId="0" fontId="3" fillId="3" borderId="2" xfId="0" applyFont="1" applyFill="1" applyBorder="1" applyAlignment="1">
      <alignment vertical="center"/>
    </xf>
    <xf numFmtId="41" fontId="3" fillId="0" borderId="34" xfId="0" applyNumberFormat="1" applyFont="1" applyBorder="1" applyAlignment="1">
      <alignment vertical="center"/>
    </xf>
    <xf numFmtId="41" fontId="3" fillId="0" borderId="2" xfId="0" applyNumberFormat="1" applyFont="1" applyBorder="1" applyAlignment="1">
      <alignment vertical="center"/>
    </xf>
    <xf numFmtId="41" fontId="3" fillId="0" borderId="35" xfId="0" applyNumberFormat="1" applyFont="1" applyBorder="1" applyAlignment="1">
      <alignment vertical="center"/>
    </xf>
    <xf numFmtId="0" fontId="3" fillId="0" borderId="0" xfId="0" applyFont="1" applyAlignment="1">
      <alignment horizontal="right" vertical="center"/>
    </xf>
    <xf numFmtId="9" fontId="3" fillId="0" borderId="0" xfId="0" applyNumberFormat="1" applyFont="1" applyAlignment="1">
      <alignment vertical="center"/>
    </xf>
    <xf numFmtId="168" fontId="3" fillId="3" borderId="3" xfId="0" applyNumberFormat="1" applyFont="1" applyFill="1" applyBorder="1" applyAlignment="1">
      <alignment vertical="center"/>
    </xf>
    <xf numFmtId="41" fontId="3" fillId="0" borderId="30" xfId="0" applyNumberFormat="1" applyFont="1" applyBorder="1" applyAlignment="1">
      <alignment vertical="center"/>
    </xf>
    <xf numFmtId="0" fontId="5" fillId="0" borderId="1" xfId="0" applyFont="1" applyBorder="1" applyAlignment="1">
      <alignment vertical="center"/>
    </xf>
    <xf numFmtId="168" fontId="5" fillId="0" borderId="1" xfId="0" applyNumberFormat="1" applyFont="1" applyBorder="1" applyAlignment="1">
      <alignment vertical="center"/>
    </xf>
    <xf numFmtId="0" fontId="21" fillId="0" borderId="1" xfId="0" applyFont="1" applyBorder="1" applyAlignment="1">
      <alignment vertical="center"/>
    </xf>
    <xf numFmtId="41" fontId="6" fillId="8" borderId="11" xfId="0" applyNumberFormat="1" applyFont="1" applyFill="1" applyBorder="1" applyAlignment="1">
      <alignment vertical="center"/>
    </xf>
    <xf numFmtId="9" fontId="3" fillId="0" borderId="1" xfId="0" applyNumberFormat="1" applyFont="1" applyBorder="1" applyAlignment="1">
      <alignment horizontal="center" vertical="center"/>
    </xf>
    <xf numFmtId="9" fontId="0" fillId="0" borderId="1" xfId="0" applyNumberFormat="1" applyBorder="1" applyAlignment="1">
      <alignment vertical="center"/>
    </xf>
    <xf numFmtId="4" fontId="8" fillId="10" borderId="1" xfId="0" applyNumberFormat="1" applyFont="1" applyFill="1" applyBorder="1" applyAlignment="1" applyProtection="1">
      <alignment vertical="center"/>
      <protection locked="0"/>
    </xf>
    <xf numFmtId="4" fontId="0" fillId="0" borderId="1" xfId="0" applyNumberFormat="1" applyBorder="1" applyAlignment="1">
      <alignment vertical="center"/>
    </xf>
    <xf numFmtId="0" fontId="19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21" fillId="11" borderId="1" xfId="0" applyFont="1" applyFill="1" applyBorder="1" applyAlignment="1">
      <alignment vertical="center"/>
    </xf>
    <xf numFmtId="0" fontId="8" fillId="11" borderId="1" xfId="0" applyFont="1" applyFill="1" applyBorder="1" applyAlignment="1">
      <alignment vertical="center"/>
    </xf>
    <xf numFmtId="0" fontId="3" fillId="11" borderId="1" xfId="0" applyFont="1" applyFill="1" applyBorder="1" applyAlignment="1">
      <alignment vertical="center"/>
    </xf>
    <xf numFmtId="0" fontId="3" fillId="2" borderId="0" xfId="0" applyFont="1" applyFill="1" applyAlignment="1">
      <alignment horizontal="center" vertical="center"/>
    </xf>
    <xf numFmtId="10" fontId="4" fillId="0" borderId="0" xfId="5" applyNumberFormat="1" applyFont="1" applyBorder="1" applyAlignment="1">
      <alignment vertical="center"/>
    </xf>
    <xf numFmtId="41" fontId="8" fillId="0" borderId="38" xfId="1" applyFont="1" applyBorder="1" applyAlignment="1">
      <alignment vertical="center"/>
    </xf>
    <xf numFmtId="0" fontId="0" fillId="0" borderId="39" xfId="0" applyBorder="1" applyAlignment="1">
      <alignment horizontal="left" vertical="center" wrapText="1"/>
    </xf>
    <xf numFmtId="41" fontId="0" fillId="0" borderId="1" xfId="0" applyNumberFormat="1" applyBorder="1" applyAlignment="1">
      <alignment vertical="center"/>
    </xf>
    <xf numFmtId="4" fontId="3" fillId="0" borderId="1" xfId="0" applyNumberFormat="1" applyFont="1" applyBorder="1" applyAlignment="1">
      <alignment vertical="center"/>
    </xf>
    <xf numFmtId="165" fontId="0" fillId="0" borderId="1" xfId="0" applyNumberFormat="1" applyBorder="1" applyAlignment="1">
      <alignment horizontal="left" vertical="center"/>
    </xf>
    <xf numFmtId="9" fontId="8" fillId="0" borderId="1" xfId="0" applyNumberFormat="1" applyFont="1" applyBorder="1" applyAlignment="1">
      <alignment vertical="center"/>
    </xf>
    <xf numFmtId="4" fontId="8" fillId="0" borderId="1" xfId="0" applyNumberFormat="1" applyFont="1" applyBorder="1" applyAlignment="1" applyProtection="1">
      <alignment vertical="center"/>
      <protection locked="0"/>
    </xf>
    <xf numFmtId="9" fontId="8" fillId="0" borderId="1" xfId="5" applyFont="1" applyBorder="1" applyAlignment="1">
      <alignment vertical="center"/>
    </xf>
    <xf numFmtId="4" fontId="3" fillId="0" borderId="1" xfId="0" applyNumberFormat="1" applyFont="1" applyBorder="1" applyAlignment="1" applyProtection="1">
      <alignment vertical="center"/>
      <protection locked="0"/>
    </xf>
    <xf numFmtId="4" fontId="4" fillId="0" borderId="1" xfId="0" applyNumberFormat="1" applyFont="1" applyBorder="1" applyAlignment="1" applyProtection="1">
      <alignment vertical="center"/>
      <protection locked="0"/>
    </xf>
    <xf numFmtId="0" fontId="34" fillId="12" borderId="1" xfId="7" applyFill="1" applyBorder="1" applyAlignment="1">
      <alignment horizontal="center" vertical="center"/>
    </xf>
    <xf numFmtId="165" fontId="0" fillId="12" borderId="1" xfId="0" applyNumberFormat="1" applyFill="1" applyBorder="1" applyAlignment="1">
      <alignment vertical="center"/>
    </xf>
    <xf numFmtId="0" fontId="35" fillId="0" borderId="0" xfId="0" applyFont="1" applyAlignment="1">
      <alignment horizontal="center" vertical="center"/>
    </xf>
    <xf numFmtId="1" fontId="3" fillId="10" borderId="1" xfId="0" applyNumberFormat="1" applyFont="1" applyFill="1" applyBorder="1" applyAlignment="1">
      <alignment vertical="center"/>
    </xf>
    <xf numFmtId="165" fontId="0" fillId="0" borderId="31" xfId="0" applyNumberFormat="1" applyBorder="1" applyAlignment="1">
      <alignment vertical="center"/>
    </xf>
    <xf numFmtId="10" fontId="8" fillId="0" borderId="1" xfId="0" applyNumberFormat="1" applyFont="1" applyBorder="1" applyAlignment="1">
      <alignment vertical="center"/>
    </xf>
    <xf numFmtId="10" fontId="3" fillId="10" borderId="32" xfId="0" applyNumberFormat="1" applyFont="1" applyFill="1" applyBorder="1" applyAlignment="1">
      <alignment vertical="center"/>
    </xf>
    <xf numFmtId="0" fontId="3" fillId="13" borderId="31" xfId="0" applyFont="1" applyFill="1" applyBorder="1" applyAlignment="1">
      <alignment vertical="center"/>
    </xf>
    <xf numFmtId="0" fontId="3" fillId="10" borderId="32" xfId="0" applyFont="1" applyFill="1" applyBorder="1" applyAlignment="1">
      <alignment vertical="center"/>
    </xf>
    <xf numFmtId="0" fontId="8" fillId="0" borderId="24" xfId="0" applyFont="1" applyBorder="1" applyAlignment="1">
      <alignment vertical="center"/>
    </xf>
    <xf numFmtId="0" fontId="0" fillId="0" borderId="40" xfId="0" applyBorder="1" applyAlignment="1">
      <alignment vertical="center"/>
    </xf>
    <xf numFmtId="0" fontId="0" fillId="0" borderId="41" xfId="0" applyBorder="1" applyAlignment="1">
      <alignment vertical="center"/>
    </xf>
    <xf numFmtId="0" fontId="0" fillId="0" borderId="42" xfId="0" applyBorder="1" applyAlignment="1">
      <alignment horizontal="left" vertical="center"/>
    </xf>
    <xf numFmtId="165" fontId="0" fillId="10" borderId="43" xfId="0" applyNumberFormat="1" applyFill="1" applyBorder="1" applyAlignment="1">
      <alignment horizontal="right" vertical="center"/>
    </xf>
    <xf numFmtId="165" fontId="0" fillId="10" borderId="44" xfId="0" applyNumberFormat="1" applyFill="1" applyBorder="1" applyAlignment="1">
      <alignment horizontal="right" vertical="center"/>
    </xf>
    <xf numFmtId="165" fontId="0" fillId="0" borderId="43" xfId="0" applyNumberFormat="1" applyBorder="1" applyAlignment="1">
      <alignment horizontal="right" vertical="center"/>
    </xf>
    <xf numFmtId="165" fontId="0" fillId="0" borderId="44" xfId="0" applyNumberFormat="1" applyBorder="1" applyAlignment="1">
      <alignment horizontal="right" vertical="center"/>
    </xf>
    <xf numFmtId="165" fontId="3" fillId="0" borderId="43" xfId="0" applyNumberFormat="1" applyFont="1" applyBorder="1" applyAlignment="1">
      <alignment horizontal="right" vertical="center"/>
    </xf>
    <xf numFmtId="165" fontId="3" fillId="0" borderId="44" xfId="0" applyNumberFormat="1" applyFont="1" applyBorder="1" applyAlignment="1">
      <alignment horizontal="right" vertical="center"/>
    </xf>
    <xf numFmtId="4" fontId="0" fillId="0" borderId="44" xfId="0" applyNumberFormat="1" applyBorder="1" applyAlignment="1">
      <alignment horizontal="right" vertical="center"/>
    </xf>
    <xf numFmtId="165" fontId="3" fillId="0" borderId="43" xfId="0" applyNumberFormat="1" applyFont="1" applyBorder="1" applyAlignment="1">
      <alignment vertical="center"/>
    </xf>
    <xf numFmtId="165" fontId="3" fillId="0" borderId="44" xfId="0" applyNumberFormat="1" applyFont="1" applyBorder="1" applyAlignment="1">
      <alignment vertical="center"/>
    </xf>
    <xf numFmtId="165" fontId="3" fillId="0" borderId="45" xfId="0" applyNumberFormat="1" applyFont="1" applyBorder="1" applyAlignment="1">
      <alignment vertical="center"/>
    </xf>
    <xf numFmtId="165" fontId="3" fillId="0" borderId="46" xfId="0" applyNumberFormat="1" applyFont="1" applyBorder="1" applyAlignment="1">
      <alignment vertical="center"/>
    </xf>
    <xf numFmtId="10" fontId="0" fillId="10" borderId="43" xfId="0" applyNumberFormat="1" applyFill="1" applyBorder="1" applyAlignment="1">
      <alignment vertical="center"/>
    </xf>
    <xf numFmtId="10" fontId="0" fillId="10" borderId="44" xfId="0" applyNumberFormat="1" applyFill="1" applyBorder="1" applyAlignment="1">
      <alignment horizontal="left" vertical="center"/>
    </xf>
    <xf numFmtId="165" fontId="24" fillId="0" borderId="47" xfId="0" applyNumberFormat="1" applyFont="1" applyBorder="1" applyAlignment="1">
      <alignment vertical="center"/>
    </xf>
    <xf numFmtId="165" fontId="24" fillId="0" borderId="48" xfId="0" applyNumberFormat="1" applyFont="1" applyBorder="1" applyAlignment="1">
      <alignment vertical="center"/>
    </xf>
    <xf numFmtId="165" fontId="24" fillId="0" borderId="49" xfId="0" applyNumberFormat="1" applyFont="1" applyBorder="1" applyAlignment="1">
      <alignment vertical="center"/>
    </xf>
    <xf numFmtId="165" fontId="28" fillId="0" borderId="29" xfId="0" applyNumberFormat="1" applyFont="1" applyBorder="1" applyAlignment="1">
      <alignment vertical="center"/>
    </xf>
    <xf numFmtId="165" fontId="21" fillId="0" borderId="29" xfId="0" applyNumberFormat="1" applyFont="1" applyBorder="1" applyAlignment="1">
      <alignment vertical="center"/>
    </xf>
    <xf numFmtId="9" fontId="8" fillId="0" borderId="0" xfId="0" applyNumberFormat="1" applyFont="1" applyAlignment="1">
      <alignment vertical="center"/>
    </xf>
    <xf numFmtId="165" fontId="8" fillId="14" borderId="1" xfId="0" applyNumberFormat="1" applyFont="1" applyFill="1" applyBorder="1" applyAlignment="1">
      <alignment vertical="center"/>
    </xf>
    <xf numFmtId="165" fontId="0" fillId="14" borderId="1" xfId="0" applyNumberFormat="1" applyFill="1" applyBorder="1" applyAlignment="1">
      <alignment vertical="center"/>
    </xf>
    <xf numFmtId="0" fontId="6" fillId="0" borderId="34" xfId="0" applyFont="1" applyBorder="1" applyAlignment="1">
      <alignment horizontal="center" vertical="center"/>
    </xf>
    <xf numFmtId="4" fontId="0" fillId="0" borderId="33" xfId="0" applyNumberFormat="1" applyBorder="1" applyAlignment="1">
      <alignment vertical="center"/>
    </xf>
    <xf numFmtId="0" fontId="6" fillId="0" borderId="4" xfId="0" applyFont="1" applyBorder="1" applyAlignment="1">
      <alignment horizontal="center" vertical="center"/>
    </xf>
    <xf numFmtId="4" fontId="0" fillId="0" borderId="35" xfId="0" applyNumberForma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170" fontId="0" fillId="0" borderId="1" xfId="5" applyNumberFormat="1" applyFont="1" applyBorder="1" applyAlignment="1">
      <alignment vertical="center"/>
    </xf>
    <xf numFmtId="10" fontId="0" fillId="0" borderId="1" xfId="0" applyNumberFormat="1" applyBorder="1" applyAlignment="1">
      <alignment vertical="center"/>
    </xf>
    <xf numFmtId="0" fontId="3" fillId="15" borderId="1" xfId="0" applyFont="1" applyFill="1" applyBorder="1" applyAlignment="1">
      <alignment vertical="center"/>
    </xf>
    <xf numFmtId="41" fontId="7" fillId="0" borderId="1" xfId="0" applyNumberFormat="1" applyFont="1" applyBorder="1" applyAlignment="1">
      <alignment vertical="center"/>
    </xf>
    <xf numFmtId="164" fontId="0" fillId="0" borderId="0" xfId="0" applyNumberFormat="1" applyAlignment="1">
      <alignment vertical="center"/>
    </xf>
    <xf numFmtId="0" fontId="2" fillId="0" borderId="0" xfId="3" applyFont="1"/>
    <xf numFmtId="0" fontId="29" fillId="0" borderId="0" xfId="3"/>
    <xf numFmtId="0" fontId="23" fillId="0" borderId="1" xfId="3" applyFont="1" applyBorder="1"/>
    <xf numFmtId="0" fontId="2" fillId="0" borderId="1" xfId="3" applyFont="1" applyBorder="1"/>
    <xf numFmtId="0" fontId="2" fillId="0" borderId="43" xfId="3" applyFont="1" applyBorder="1"/>
    <xf numFmtId="0" fontId="23" fillId="0" borderId="0" xfId="3" applyFont="1"/>
    <xf numFmtId="168" fontId="0" fillId="0" borderId="1" xfId="0" applyNumberFormat="1" applyBorder="1" applyAlignment="1">
      <alignment vertical="center"/>
    </xf>
    <xf numFmtId="6" fontId="3" fillId="0" borderId="1" xfId="0" applyNumberFormat="1" applyFont="1" applyBorder="1" applyAlignment="1">
      <alignment horizontal="right" vertical="center"/>
    </xf>
    <xf numFmtId="0" fontId="8" fillId="0" borderId="1" xfId="0" applyFont="1" applyBorder="1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0" fontId="3" fillId="15" borderId="1" xfId="0" applyFont="1" applyFill="1" applyBorder="1" applyAlignment="1">
      <alignment horizontal="center" vertical="center"/>
    </xf>
    <xf numFmtId="3" fontId="8" fillId="15" borderId="1" xfId="0" applyNumberFormat="1" applyFont="1" applyFill="1" applyBorder="1" applyAlignment="1">
      <alignment horizontal="center" vertical="center"/>
    </xf>
    <xf numFmtId="165" fontId="3" fillId="0" borderId="0" xfId="0" applyNumberFormat="1" applyFont="1" applyAlignment="1">
      <alignment vertical="center" wrapText="1"/>
    </xf>
    <xf numFmtId="3" fontId="3" fillId="15" borderId="1" xfId="0" applyNumberFormat="1" applyFont="1" applyFill="1" applyBorder="1" applyAlignment="1">
      <alignment horizontal="center" vertical="center"/>
    </xf>
    <xf numFmtId="165" fontId="8" fillId="0" borderId="1" xfId="0" applyNumberFormat="1" applyFont="1" applyBorder="1" applyAlignment="1">
      <alignment vertical="center" wrapText="1"/>
    </xf>
    <xf numFmtId="175" fontId="0" fillId="17" borderId="1" xfId="0" applyNumberFormat="1" applyFill="1" applyBorder="1" applyAlignment="1">
      <alignment vertical="center"/>
    </xf>
    <xf numFmtId="9" fontId="3" fillId="18" borderId="31" xfId="0" applyNumberFormat="1" applyFont="1" applyFill="1" applyBorder="1" applyAlignment="1">
      <alignment horizontal="center" vertical="center"/>
    </xf>
    <xf numFmtId="9" fontId="0" fillId="18" borderId="1" xfId="0" applyNumberFormat="1" applyFill="1" applyBorder="1" applyAlignment="1">
      <alignment horizontal="center" vertical="center"/>
    </xf>
    <xf numFmtId="0" fontId="3" fillId="18" borderId="0" xfId="0" applyFont="1" applyFill="1" applyAlignment="1">
      <alignment vertical="center" wrapText="1"/>
    </xf>
    <xf numFmtId="165" fontId="0" fillId="0" borderId="1" xfId="0" applyNumberFormat="1" applyBorder="1" applyAlignment="1">
      <alignment horizontal="center" vertical="center"/>
    </xf>
    <xf numFmtId="6" fontId="0" fillId="0" borderId="1" xfId="0" applyNumberFormat="1" applyBorder="1" applyAlignment="1">
      <alignment vertical="center"/>
    </xf>
    <xf numFmtId="0" fontId="3" fillId="15" borderId="0" xfId="0" applyFont="1" applyFill="1" applyAlignment="1">
      <alignment vertical="center"/>
    </xf>
    <xf numFmtId="6" fontId="3" fillId="15" borderId="1" xfId="0" applyNumberFormat="1" applyFont="1" applyFill="1" applyBorder="1" applyAlignment="1">
      <alignment vertical="center"/>
    </xf>
    <xf numFmtId="165" fontId="3" fillId="15" borderId="1" xfId="0" applyNumberFormat="1" applyFont="1" applyFill="1" applyBorder="1" applyAlignment="1">
      <alignment vertical="center"/>
    </xf>
    <xf numFmtId="6" fontId="3" fillId="19" borderId="1" xfId="0" applyNumberFormat="1" applyFont="1" applyFill="1" applyBorder="1" applyAlignment="1">
      <alignment vertical="center"/>
    </xf>
    <xf numFmtId="10" fontId="8" fillId="17" borderId="52" xfId="0" applyNumberFormat="1" applyFont="1" applyFill="1" applyBorder="1" applyAlignment="1">
      <alignment vertical="center"/>
    </xf>
    <xf numFmtId="6" fontId="3" fillId="17" borderId="52" xfId="0" applyNumberFormat="1" applyFont="1" applyFill="1" applyBorder="1" applyAlignment="1">
      <alignment vertical="center"/>
    </xf>
    <xf numFmtId="6" fontId="3" fillId="17" borderId="53" xfId="0" applyNumberFormat="1" applyFont="1" applyFill="1" applyBorder="1" applyAlignment="1">
      <alignment vertical="center"/>
    </xf>
    <xf numFmtId="9" fontId="8" fillId="18" borderId="54" xfId="5" applyFont="1" applyFill="1" applyBorder="1" applyAlignment="1">
      <alignment horizontal="center" vertical="center"/>
    </xf>
    <xf numFmtId="0" fontId="3" fillId="15" borderId="2" xfId="0" applyFont="1" applyFill="1" applyBorder="1" applyAlignment="1">
      <alignment vertical="center"/>
    </xf>
    <xf numFmtId="0" fontId="3" fillId="15" borderId="3" xfId="0" applyFont="1" applyFill="1" applyBorder="1" applyAlignment="1">
      <alignment vertical="center"/>
    </xf>
    <xf numFmtId="6" fontId="3" fillId="15" borderId="52" xfId="0" applyNumberFormat="1" applyFont="1" applyFill="1" applyBorder="1" applyAlignment="1">
      <alignment vertical="center"/>
    </xf>
    <xf numFmtId="6" fontId="3" fillId="15" borderId="53" xfId="0" applyNumberFormat="1" applyFont="1" applyFill="1" applyBorder="1" applyAlignment="1">
      <alignment vertical="center"/>
    </xf>
    <xf numFmtId="174" fontId="8" fillId="17" borderId="1" xfId="1" applyNumberFormat="1" applyFont="1" applyFill="1" applyBorder="1" applyAlignment="1">
      <alignment vertical="center"/>
    </xf>
    <xf numFmtId="4" fontId="8" fillId="17" borderId="1" xfId="0" applyNumberFormat="1" applyFont="1" applyFill="1" applyBorder="1" applyAlignment="1" applyProtection="1">
      <alignment vertical="center"/>
      <protection locked="0"/>
    </xf>
    <xf numFmtId="9" fontId="8" fillId="17" borderId="1" xfId="0" applyNumberFormat="1" applyFont="1" applyFill="1" applyBorder="1" applyAlignment="1">
      <alignment vertical="center"/>
    </xf>
    <xf numFmtId="0" fontId="8" fillId="0" borderId="0" xfId="0" applyFont="1" applyAlignment="1">
      <alignment vertical="center" wrapText="1"/>
    </xf>
    <xf numFmtId="164" fontId="0" fillId="0" borderId="1" xfId="0" applyNumberFormat="1" applyBorder="1" applyAlignment="1">
      <alignment vertical="center"/>
    </xf>
    <xf numFmtId="178" fontId="3" fillId="0" borderId="0" xfId="0" applyNumberFormat="1" applyFont="1" applyAlignment="1">
      <alignment vertical="center"/>
    </xf>
    <xf numFmtId="6" fontId="0" fillId="0" borderId="0" xfId="0" applyNumberFormat="1" applyAlignment="1">
      <alignment vertical="center"/>
    </xf>
    <xf numFmtId="0" fontId="3" fillId="0" borderId="0" xfId="0" applyFont="1" applyAlignment="1">
      <alignment horizontal="center" vertical="center"/>
    </xf>
    <xf numFmtId="10" fontId="4" fillId="0" borderId="0" xfId="5" applyNumberFormat="1" applyFont="1" applyFill="1" applyBorder="1" applyAlignment="1">
      <alignment vertical="center"/>
    </xf>
    <xf numFmtId="177" fontId="8" fillId="0" borderId="38" xfId="1" applyNumberFormat="1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3" fillId="0" borderId="2" xfId="0" applyFont="1" applyBorder="1" applyAlignment="1">
      <alignment vertical="center"/>
    </xf>
    <xf numFmtId="6" fontId="0" fillId="0" borderId="3" xfId="0" applyNumberFormat="1" applyBorder="1" applyAlignment="1">
      <alignment vertical="center"/>
    </xf>
    <xf numFmtId="6" fontId="0" fillId="0" borderId="4" xfId="0" applyNumberFormat="1" applyBorder="1" applyAlignment="1">
      <alignment vertical="center"/>
    </xf>
    <xf numFmtId="6" fontId="3" fillId="15" borderId="3" xfId="0" applyNumberFormat="1" applyFont="1" applyFill="1" applyBorder="1" applyAlignment="1">
      <alignment vertical="center"/>
    </xf>
    <xf numFmtId="6" fontId="8" fillId="0" borderId="32" xfId="0" applyNumberFormat="1" applyFont="1" applyBorder="1" applyAlignment="1">
      <alignment vertical="center"/>
    </xf>
    <xf numFmtId="9" fontId="0" fillId="0" borderId="0" xfId="5" applyFont="1" applyAlignment="1">
      <alignment vertical="center"/>
    </xf>
    <xf numFmtId="6" fontId="0" fillId="14" borderId="1" xfId="0" applyNumberFormat="1" applyFill="1" applyBorder="1" applyAlignment="1">
      <alignment vertical="center"/>
    </xf>
    <xf numFmtId="6" fontId="3" fillId="0" borderId="1" xfId="0" applyNumberFormat="1" applyFont="1" applyBorder="1" applyAlignment="1">
      <alignment vertical="center"/>
    </xf>
    <xf numFmtId="6" fontId="3" fillId="12" borderId="1" xfId="0" applyNumberFormat="1" applyFont="1" applyFill="1" applyBorder="1" applyAlignment="1">
      <alignment vertical="center"/>
    </xf>
    <xf numFmtId="6" fontId="0" fillId="11" borderId="1" xfId="0" applyNumberFormat="1" applyFill="1" applyBorder="1" applyAlignment="1">
      <alignment vertical="center"/>
    </xf>
    <xf numFmtId="6" fontId="3" fillId="11" borderId="1" xfId="0" applyNumberFormat="1" applyFont="1" applyFill="1" applyBorder="1" applyAlignment="1">
      <alignment vertical="center"/>
    </xf>
    <xf numFmtId="6" fontId="8" fillId="0" borderId="1" xfId="0" applyNumberFormat="1" applyFont="1" applyBorder="1" applyAlignment="1">
      <alignment vertical="center"/>
    </xf>
    <xf numFmtId="0" fontId="36" fillId="0" borderId="0" xfId="0" applyFont="1" applyAlignment="1">
      <alignment horizontal="center" vertical="center"/>
    </xf>
    <xf numFmtId="180" fontId="0" fillId="10" borderId="1" xfId="0" applyNumberFormat="1" applyFill="1" applyBorder="1" applyAlignment="1">
      <alignment vertical="center"/>
    </xf>
    <xf numFmtId="6" fontId="3" fillId="0" borderId="33" xfId="0" applyNumberFormat="1" applyFont="1" applyBorder="1" applyAlignment="1">
      <alignment vertical="center"/>
    </xf>
    <xf numFmtId="6" fontId="3" fillId="3" borderId="3" xfId="0" applyNumberFormat="1" applyFont="1" applyFill="1" applyBorder="1" applyAlignment="1">
      <alignment vertical="center"/>
    </xf>
    <xf numFmtId="6" fontId="3" fillId="3" borderId="0" xfId="0" applyNumberFormat="1" applyFont="1" applyFill="1" applyAlignment="1">
      <alignment vertical="center"/>
    </xf>
    <xf numFmtId="164" fontId="3" fillId="0" borderId="0" xfId="0" applyNumberFormat="1" applyFont="1" applyAlignment="1">
      <alignment horizontal="center" vertical="center"/>
    </xf>
    <xf numFmtId="6" fontId="8" fillId="0" borderId="33" xfId="0" applyNumberFormat="1" applyFont="1" applyBorder="1" applyAlignment="1">
      <alignment vertical="center"/>
    </xf>
    <xf numFmtId="41" fontId="8" fillId="0" borderId="7" xfId="0" applyNumberFormat="1" applyFont="1" applyBorder="1" applyAlignment="1">
      <alignment vertical="center"/>
    </xf>
    <xf numFmtId="164" fontId="3" fillId="0" borderId="1" xfId="0" applyNumberFormat="1" applyFont="1" applyBorder="1" applyAlignment="1">
      <alignment vertical="center"/>
    </xf>
    <xf numFmtId="164" fontId="8" fillId="0" borderId="1" xfId="0" applyNumberFormat="1" applyFont="1" applyBorder="1" applyAlignment="1">
      <alignment vertical="center"/>
    </xf>
    <xf numFmtId="164" fontId="27" fillId="13" borderId="31" xfId="0" applyNumberFormat="1" applyFont="1" applyFill="1" applyBorder="1" applyAlignment="1">
      <alignment vertical="center"/>
    </xf>
    <xf numFmtId="0" fontId="3" fillId="3" borderId="6" xfId="0" applyFont="1" applyFill="1" applyBorder="1" applyAlignment="1">
      <alignment vertical="center"/>
    </xf>
    <xf numFmtId="6" fontId="3" fillId="0" borderId="34" xfId="0" applyNumberFormat="1" applyFont="1" applyBorder="1" applyAlignment="1">
      <alignment vertical="center"/>
    </xf>
    <xf numFmtId="168" fontId="3" fillId="0" borderId="1" xfId="0" applyNumberFormat="1" applyFont="1" applyBorder="1" applyAlignment="1">
      <alignment vertical="center"/>
    </xf>
    <xf numFmtId="164" fontId="0" fillId="0" borderId="31" xfId="0" applyNumberFormat="1" applyBorder="1" applyAlignment="1">
      <alignment vertical="center"/>
    </xf>
    <xf numFmtId="9" fontId="0" fillId="0" borderId="0" xfId="0" applyNumberFormat="1" applyAlignment="1">
      <alignment horizontal="left" vertical="center"/>
    </xf>
    <xf numFmtId="0" fontId="3" fillId="3" borderId="1" xfId="0" applyFont="1" applyFill="1" applyBorder="1" applyAlignment="1">
      <alignment vertical="center"/>
    </xf>
    <xf numFmtId="0" fontId="8" fillId="3" borderId="1" xfId="0" applyFont="1" applyFill="1" applyBorder="1" applyAlignment="1">
      <alignment vertical="center"/>
    </xf>
    <xf numFmtId="0" fontId="0" fillId="3" borderId="1" xfId="0" applyFill="1" applyBorder="1" applyAlignment="1">
      <alignment vertical="center" wrapText="1"/>
    </xf>
    <xf numFmtId="0" fontId="8" fillId="3" borderId="1" xfId="0" applyFont="1" applyFill="1" applyBorder="1" applyAlignment="1">
      <alignment vertical="center" wrapText="1"/>
    </xf>
    <xf numFmtId="0" fontId="0" fillId="3" borderId="1" xfId="0" applyFill="1" applyBorder="1" applyAlignment="1">
      <alignment vertical="center"/>
    </xf>
    <xf numFmtId="0" fontId="7" fillId="8" borderId="1" xfId="0" applyFont="1" applyFill="1" applyBorder="1" applyAlignment="1">
      <alignment vertical="center" wrapText="1"/>
    </xf>
    <xf numFmtId="0" fontId="7" fillId="8" borderId="1" xfId="0" applyFont="1" applyFill="1" applyBorder="1" applyAlignment="1">
      <alignment vertical="center"/>
    </xf>
    <xf numFmtId="0" fontId="6" fillId="8" borderId="1" xfId="0" applyFont="1" applyFill="1" applyBorder="1" applyAlignment="1">
      <alignment vertical="center" wrapText="1"/>
    </xf>
    <xf numFmtId="9" fontId="7" fillId="8" borderId="1" xfId="0" applyNumberFormat="1" applyFont="1" applyFill="1" applyBorder="1" applyAlignment="1">
      <alignment vertical="center" wrapText="1"/>
    </xf>
    <xf numFmtId="6" fontId="8" fillId="0" borderId="35" xfId="0" applyNumberFormat="1" applyFont="1" applyBorder="1" applyAlignment="1">
      <alignment vertical="center"/>
    </xf>
    <xf numFmtId="41" fontId="8" fillId="0" borderId="0" xfId="0" applyNumberFormat="1" applyFont="1" applyAlignment="1">
      <alignment vertical="center"/>
    </xf>
    <xf numFmtId="0" fontId="3" fillId="3" borderId="8" xfId="0" applyFont="1" applyFill="1" applyBorder="1" applyAlignment="1">
      <alignment vertical="center"/>
    </xf>
    <xf numFmtId="0" fontId="3" fillId="3" borderId="31" xfId="0" applyFont="1" applyFill="1" applyBorder="1" applyAlignment="1">
      <alignment vertical="center"/>
    </xf>
    <xf numFmtId="6" fontId="3" fillId="3" borderId="9" xfId="0" applyNumberFormat="1" applyFont="1" applyFill="1" applyBorder="1" applyAlignment="1">
      <alignment vertical="center"/>
    </xf>
    <xf numFmtId="0" fontId="3" fillId="3" borderId="32" xfId="0" applyFont="1" applyFill="1" applyBorder="1" applyAlignment="1">
      <alignment vertical="center"/>
    </xf>
    <xf numFmtId="6" fontId="3" fillId="3" borderId="5" xfId="0" applyNumberFormat="1" applyFont="1" applyFill="1" applyBorder="1" applyAlignment="1">
      <alignment vertical="center"/>
    </xf>
    <xf numFmtId="6" fontId="3" fillId="3" borderId="1" xfId="0" applyNumberFormat="1" applyFont="1" applyFill="1" applyBorder="1" applyAlignment="1">
      <alignment vertical="center"/>
    </xf>
    <xf numFmtId="168" fontId="7" fillId="0" borderId="10" xfId="0" applyNumberFormat="1" applyFont="1" applyBorder="1" applyAlignment="1">
      <alignment vertical="center"/>
    </xf>
    <xf numFmtId="168" fontId="7" fillId="0" borderId="35" xfId="0" applyNumberFormat="1" applyFont="1" applyBorder="1" applyAlignment="1">
      <alignment vertical="center"/>
    </xf>
    <xf numFmtId="168" fontId="7" fillId="0" borderId="33" xfId="0" applyNumberFormat="1" applyFont="1" applyBorder="1" applyAlignment="1">
      <alignment vertical="center"/>
    </xf>
    <xf numFmtId="168" fontId="8" fillId="0" borderId="0" xfId="0" applyNumberFormat="1" applyFont="1" applyAlignment="1">
      <alignment vertical="center"/>
    </xf>
    <xf numFmtId="168" fontId="0" fillId="0" borderId="35" xfId="0" applyNumberFormat="1" applyBorder="1" applyAlignment="1">
      <alignment vertical="center"/>
    </xf>
    <xf numFmtId="168" fontId="0" fillId="0" borderId="33" xfId="0" applyNumberFormat="1" applyBorder="1" applyAlignment="1">
      <alignment vertical="center"/>
    </xf>
    <xf numFmtId="0" fontId="6" fillId="8" borderId="8" xfId="0" applyFont="1" applyFill="1" applyBorder="1" applyAlignment="1">
      <alignment vertical="center"/>
    </xf>
    <xf numFmtId="168" fontId="7" fillId="8" borderId="35" xfId="0" applyNumberFormat="1" applyFont="1" applyFill="1" applyBorder="1" applyAlignment="1">
      <alignment vertical="center"/>
    </xf>
    <xf numFmtId="9" fontId="7" fillId="8" borderId="1" xfId="0" applyNumberFormat="1" applyFont="1" applyFill="1" applyBorder="1" applyAlignment="1">
      <alignment vertical="center"/>
    </xf>
    <xf numFmtId="0" fontId="8" fillId="20" borderId="1" xfId="0" applyFont="1" applyFill="1" applyBorder="1" applyAlignment="1">
      <alignment vertical="center"/>
    </xf>
    <xf numFmtId="0" fontId="0" fillId="20" borderId="1" xfId="0" applyFill="1" applyBorder="1" applyAlignment="1">
      <alignment vertical="center"/>
    </xf>
    <xf numFmtId="168" fontId="0" fillId="20" borderId="1" xfId="0" applyNumberFormat="1" applyFill="1" applyBorder="1" applyAlignment="1">
      <alignment vertical="center"/>
    </xf>
    <xf numFmtId="0" fontId="7" fillId="8" borderId="31" xfId="0" applyFont="1" applyFill="1" applyBorder="1" applyAlignment="1">
      <alignment vertical="center" wrapText="1"/>
    </xf>
    <xf numFmtId="0" fontId="7" fillId="8" borderId="32" xfId="0" applyFont="1" applyFill="1" applyBorder="1" applyAlignment="1">
      <alignment vertical="center" wrapText="1"/>
    </xf>
    <xf numFmtId="9" fontId="7" fillId="8" borderId="32" xfId="0" applyNumberFormat="1" applyFont="1" applyFill="1" applyBorder="1" applyAlignment="1">
      <alignment vertical="center" wrapText="1"/>
    </xf>
    <xf numFmtId="168" fontId="6" fillId="15" borderId="35" xfId="0" applyNumberFormat="1" applyFont="1" applyFill="1" applyBorder="1" applyAlignment="1">
      <alignment vertical="center"/>
    </xf>
    <xf numFmtId="0" fontId="7" fillId="8" borderId="32" xfId="0" applyFont="1" applyFill="1" applyBorder="1" applyAlignment="1">
      <alignment vertical="center"/>
    </xf>
    <xf numFmtId="168" fontId="6" fillId="0" borderId="11" xfId="0" applyNumberFormat="1" applyFont="1" applyBorder="1" applyAlignment="1">
      <alignment vertical="center"/>
    </xf>
    <xf numFmtId="0" fontId="6" fillId="21" borderId="51" xfId="0" applyFont="1" applyFill="1" applyBorder="1" applyAlignment="1">
      <alignment vertical="center" wrapText="1"/>
    </xf>
    <xf numFmtId="0" fontId="6" fillId="21" borderId="52" xfId="0" applyFont="1" applyFill="1" applyBorder="1" applyAlignment="1">
      <alignment vertical="center" wrapText="1"/>
    </xf>
    <xf numFmtId="168" fontId="6" fillId="15" borderId="4" xfId="0" applyNumberFormat="1" applyFont="1" applyFill="1" applyBorder="1" applyAlignment="1">
      <alignment vertical="center"/>
    </xf>
    <xf numFmtId="0" fontId="6" fillId="8" borderId="51" xfId="0" applyFont="1" applyFill="1" applyBorder="1" applyAlignment="1">
      <alignment vertical="center" wrapText="1"/>
    </xf>
    <xf numFmtId="0" fontId="7" fillId="8" borderId="52" xfId="0" applyFont="1" applyFill="1" applyBorder="1" applyAlignment="1">
      <alignment vertical="center"/>
    </xf>
    <xf numFmtId="168" fontId="7" fillId="8" borderId="52" xfId="0" applyNumberFormat="1" applyFont="1" applyFill="1" applyBorder="1" applyAlignment="1">
      <alignment vertical="center"/>
    </xf>
    <xf numFmtId="168" fontId="6" fillId="0" borderId="52" xfId="0" applyNumberFormat="1" applyFont="1" applyBorder="1" applyAlignment="1">
      <alignment vertical="center"/>
    </xf>
    <xf numFmtId="168" fontId="6" fillId="0" borderId="53" xfId="0" applyNumberFormat="1" applyFont="1" applyBorder="1" applyAlignment="1">
      <alignment vertical="center"/>
    </xf>
    <xf numFmtId="9" fontId="7" fillId="8" borderId="31" xfId="0" applyNumberFormat="1" applyFont="1" applyFill="1" applyBorder="1" applyAlignment="1">
      <alignment vertical="center" wrapText="1"/>
    </xf>
    <xf numFmtId="168" fontId="6" fillId="0" borderId="35" xfId="0" applyNumberFormat="1" applyFont="1" applyBorder="1" applyAlignment="1">
      <alignment vertical="center"/>
    </xf>
    <xf numFmtId="168" fontId="6" fillId="0" borderId="33" xfId="0" applyNumberFormat="1" applyFont="1" applyBorder="1" applyAlignment="1">
      <alignment vertical="center"/>
    </xf>
    <xf numFmtId="168" fontId="6" fillId="15" borderId="33" xfId="0" applyNumberFormat="1" applyFont="1" applyFill="1" applyBorder="1" applyAlignment="1">
      <alignment vertical="center"/>
    </xf>
    <xf numFmtId="0" fontId="3" fillId="0" borderId="31" xfId="0" applyFont="1" applyBorder="1" applyAlignment="1">
      <alignment vertical="center"/>
    </xf>
    <xf numFmtId="0" fontId="33" fillId="22" borderId="1" xfId="0" applyFont="1" applyFill="1" applyBorder="1" applyAlignment="1">
      <alignment vertical="center"/>
    </xf>
    <xf numFmtId="168" fontId="33" fillId="22" borderId="1" xfId="0" applyNumberFormat="1" applyFont="1" applyFill="1" applyBorder="1" applyAlignment="1">
      <alignment vertical="center"/>
    </xf>
    <xf numFmtId="10" fontId="3" fillId="0" borderId="1" xfId="0" applyNumberFormat="1" applyFont="1" applyBorder="1" applyAlignment="1">
      <alignment horizontal="center" vertical="center"/>
    </xf>
    <xf numFmtId="10" fontId="3" fillId="0" borderId="1" xfId="0" applyNumberFormat="1" applyFont="1" applyBorder="1" applyAlignment="1">
      <alignment vertical="center"/>
    </xf>
    <xf numFmtId="9" fontId="8" fillId="18" borderId="24" xfId="5" applyFont="1" applyFill="1" applyBorder="1" applyAlignment="1">
      <alignment horizontal="center" vertical="center"/>
    </xf>
    <xf numFmtId="9" fontId="8" fillId="18" borderId="50" xfId="5" applyFont="1" applyFill="1" applyBorder="1" applyAlignment="1">
      <alignment horizontal="center" vertical="center"/>
    </xf>
    <xf numFmtId="10" fontId="8" fillId="15" borderId="24" xfId="0" applyNumberFormat="1" applyFont="1" applyFill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17" borderId="55" xfId="0" applyFont="1" applyFill="1" applyBorder="1" applyAlignment="1">
      <alignment vertical="center"/>
    </xf>
    <xf numFmtId="0" fontId="3" fillId="10" borderId="0" xfId="0" applyFont="1" applyFill="1" applyAlignment="1">
      <alignment vertical="center"/>
    </xf>
    <xf numFmtId="0" fontId="3" fillId="0" borderId="24" xfId="0" applyFont="1" applyBorder="1" applyAlignment="1">
      <alignment vertical="center"/>
    </xf>
    <xf numFmtId="0" fontId="3" fillId="15" borderId="7" xfId="0" applyFont="1" applyFill="1" applyBorder="1" applyAlignment="1">
      <alignment vertical="center"/>
    </xf>
    <xf numFmtId="6" fontId="0" fillId="0" borderId="0" xfId="0" applyNumberFormat="1"/>
    <xf numFmtId="6" fontId="0" fillId="0" borderId="1" xfId="0" applyNumberFormat="1" applyBorder="1"/>
    <xf numFmtId="0" fontId="3" fillId="15" borderId="31" xfId="0" applyFont="1" applyFill="1" applyBorder="1" applyAlignment="1">
      <alignment vertical="center"/>
    </xf>
    <xf numFmtId="168" fontId="3" fillId="0" borderId="1" xfId="0" applyNumberFormat="1" applyFont="1" applyBorder="1"/>
    <xf numFmtId="0" fontId="8" fillId="0" borderId="1" xfId="0" applyFont="1" applyBorder="1" applyAlignment="1">
      <alignment vertical="center" wrapText="1"/>
    </xf>
    <xf numFmtId="0" fontId="8" fillId="0" borderId="1" xfId="0" applyFont="1" applyBorder="1"/>
    <xf numFmtId="178" fontId="3" fillId="0" borderId="1" xfId="0" applyNumberFormat="1" applyFont="1" applyBorder="1" applyAlignment="1">
      <alignment vertical="center"/>
    </xf>
    <xf numFmtId="41" fontId="0" fillId="0" borderId="1" xfId="0" applyNumberFormat="1" applyBorder="1"/>
    <xf numFmtId="178" fontId="0" fillId="0" borderId="1" xfId="0" applyNumberFormat="1" applyBorder="1"/>
    <xf numFmtId="0" fontId="8" fillId="0" borderId="0" xfId="0" applyFont="1" applyAlignment="1">
      <alignment wrapText="1"/>
    </xf>
    <xf numFmtId="176" fontId="0" fillId="0" borderId="0" xfId="0" applyNumberFormat="1"/>
    <xf numFmtId="9" fontId="0" fillId="10" borderId="1" xfId="0" applyNumberFormat="1" applyFill="1" applyBorder="1" applyAlignment="1">
      <alignment horizontal="center" vertical="center"/>
    </xf>
    <xf numFmtId="9" fontId="0" fillId="10" borderId="1" xfId="5" applyFont="1" applyFill="1" applyBorder="1" applyAlignment="1">
      <alignment horizontal="center" vertical="center"/>
    </xf>
    <xf numFmtId="0" fontId="3" fillId="10" borderId="1" xfId="0" applyFont="1" applyFill="1" applyBorder="1" applyAlignment="1">
      <alignment horizontal="left" vertical="center"/>
    </xf>
    <xf numFmtId="4" fontId="3" fillId="10" borderId="1" xfId="0" applyNumberFormat="1" applyFont="1" applyFill="1" applyBorder="1" applyAlignment="1">
      <alignment vertical="center"/>
    </xf>
    <xf numFmtId="4" fontId="3" fillId="15" borderId="28" xfId="0" applyNumberFormat="1" applyFont="1" applyFill="1" applyBorder="1" applyAlignment="1">
      <alignment vertical="center"/>
    </xf>
    <xf numFmtId="168" fontId="3" fillId="15" borderId="1" xfId="0" applyNumberFormat="1" applyFont="1" applyFill="1" applyBorder="1" applyAlignment="1">
      <alignment vertical="center"/>
    </xf>
    <xf numFmtId="168" fontId="3" fillId="19" borderId="1" xfId="0" applyNumberFormat="1" applyFont="1" applyFill="1" applyBorder="1" applyAlignment="1">
      <alignment vertical="center"/>
    </xf>
    <xf numFmtId="168" fontId="3" fillId="17" borderId="52" xfId="0" applyNumberFormat="1" applyFont="1" applyFill="1" applyBorder="1" applyAlignment="1">
      <alignment vertical="center"/>
    </xf>
    <xf numFmtId="168" fontId="3" fillId="0" borderId="54" xfId="0" applyNumberFormat="1" applyFont="1" applyBorder="1" applyAlignment="1">
      <alignment vertical="center"/>
    </xf>
    <xf numFmtId="168" fontId="3" fillId="15" borderId="52" xfId="0" applyNumberFormat="1" applyFont="1" applyFill="1" applyBorder="1" applyAlignment="1">
      <alignment vertical="center"/>
    </xf>
    <xf numFmtId="168" fontId="8" fillId="0" borderId="32" xfId="0" applyNumberFormat="1" applyFont="1" applyBorder="1" applyAlignment="1">
      <alignment vertical="center"/>
    </xf>
    <xf numFmtId="168" fontId="0" fillId="0" borderId="31" xfId="0" applyNumberFormat="1" applyBorder="1" applyAlignment="1">
      <alignment vertical="center"/>
    </xf>
    <xf numFmtId="168" fontId="8" fillId="0" borderId="1" xfId="0" applyNumberFormat="1" applyFont="1" applyBorder="1" applyAlignment="1">
      <alignment vertical="center"/>
    </xf>
    <xf numFmtId="10" fontId="8" fillId="0" borderId="0" xfId="0" applyNumberFormat="1" applyFont="1" applyAlignment="1">
      <alignment vertical="center"/>
    </xf>
    <xf numFmtId="168" fontId="3" fillId="0" borderId="0" xfId="0" applyNumberFormat="1" applyFont="1" applyAlignment="1">
      <alignment vertical="center"/>
    </xf>
    <xf numFmtId="6" fontId="3" fillId="0" borderId="0" xfId="0" applyNumberFormat="1" applyFont="1" applyAlignment="1">
      <alignment vertical="center"/>
    </xf>
    <xf numFmtId="6" fontId="3" fillId="0" borderId="35" xfId="0" applyNumberFormat="1" applyFont="1" applyBorder="1" applyAlignment="1">
      <alignment vertical="center"/>
    </xf>
    <xf numFmtId="9" fontId="8" fillId="18" borderId="1" xfId="5" applyFont="1" applyFill="1" applyBorder="1" applyAlignment="1">
      <alignment horizontal="center" vertical="center"/>
    </xf>
    <xf numFmtId="10" fontId="8" fillId="0" borderId="1" xfId="5" applyNumberFormat="1" applyFont="1" applyFill="1" applyBorder="1" applyAlignment="1">
      <alignment horizontal="center" vertical="center"/>
    </xf>
    <xf numFmtId="168" fontId="8" fillId="18" borderId="1" xfId="0" applyNumberFormat="1" applyFont="1" applyFill="1" applyBorder="1" applyAlignment="1">
      <alignment vertical="center"/>
    </xf>
    <xf numFmtId="10" fontId="8" fillId="18" borderId="1" xfId="5" applyNumberFormat="1" applyFont="1" applyFill="1" applyBorder="1" applyAlignment="1">
      <alignment horizontal="center" vertical="center"/>
    </xf>
    <xf numFmtId="165" fontId="8" fillId="24" borderId="1" xfId="0" applyNumberFormat="1" applyFont="1" applyFill="1" applyBorder="1" applyAlignment="1">
      <alignment vertical="center" wrapText="1"/>
    </xf>
    <xf numFmtId="0" fontId="0" fillId="24" borderId="1" xfId="0" applyFill="1" applyBorder="1" applyAlignment="1">
      <alignment vertical="center"/>
    </xf>
    <xf numFmtId="165" fontId="8" fillId="20" borderId="1" xfId="0" applyNumberFormat="1" applyFont="1" applyFill="1" applyBorder="1" applyAlignment="1">
      <alignment vertical="center" wrapText="1"/>
    </xf>
    <xf numFmtId="164" fontId="3" fillId="0" borderId="1" xfId="0" applyNumberFormat="1" applyFont="1" applyBorder="1" applyAlignment="1">
      <alignment horizontal="right" vertical="center"/>
    </xf>
    <xf numFmtId="176" fontId="0" fillId="0" borderId="1" xfId="0" applyNumberFormat="1" applyBorder="1" applyAlignment="1">
      <alignment vertical="center"/>
    </xf>
    <xf numFmtId="168" fontId="0" fillId="10" borderId="1" xfId="0" applyNumberFormat="1" applyFill="1" applyBorder="1" applyAlignment="1">
      <alignment vertical="center"/>
    </xf>
    <xf numFmtId="179" fontId="0" fillId="11" borderId="1" xfId="0" applyNumberFormat="1" applyFill="1" applyBorder="1" applyAlignment="1">
      <alignment vertical="center"/>
    </xf>
    <xf numFmtId="0" fontId="8" fillId="10" borderId="0" xfId="0" applyFont="1" applyFill="1" applyAlignment="1">
      <alignment vertical="center"/>
    </xf>
    <xf numFmtId="165" fontId="3" fillId="11" borderId="1" xfId="0" applyNumberFormat="1" applyFont="1" applyFill="1" applyBorder="1" applyAlignment="1">
      <alignment vertical="center"/>
    </xf>
    <xf numFmtId="9" fontId="0" fillId="0" borderId="1" xfId="5" applyFont="1" applyBorder="1" applyAlignment="1">
      <alignment vertical="center"/>
    </xf>
    <xf numFmtId="6" fontId="3" fillId="13" borderId="1" xfId="0" applyNumberFormat="1" applyFont="1" applyFill="1" applyBorder="1" applyAlignment="1">
      <alignment vertical="center"/>
    </xf>
    <xf numFmtId="6" fontId="0" fillId="0" borderId="1" xfId="0" applyNumberFormat="1" applyBorder="1" applyAlignment="1">
      <alignment horizontal="left" vertical="center"/>
    </xf>
    <xf numFmtId="0" fontId="8" fillId="10" borderId="1" xfId="0" applyFont="1" applyFill="1" applyBorder="1" applyAlignment="1">
      <alignment vertical="center"/>
    </xf>
    <xf numFmtId="0" fontId="3" fillId="13" borderId="1" xfId="0" applyFont="1" applyFill="1" applyBorder="1" applyAlignment="1">
      <alignment vertical="center"/>
    </xf>
    <xf numFmtId="0" fontId="27" fillId="13" borderId="1" xfId="0" applyFont="1" applyFill="1" applyBorder="1" applyAlignment="1">
      <alignment vertical="center"/>
    </xf>
    <xf numFmtId="168" fontId="27" fillId="13" borderId="1" xfId="0" applyNumberFormat="1" applyFont="1" applyFill="1" applyBorder="1" applyAlignment="1">
      <alignment vertical="center"/>
    </xf>
    <xf numFmtId="164" fontId="27" fillId="13" borderId="1" xfId="0" applyNumberFormat="1" applyFont="1" applyFill="1" applyBorder="1" applyAlignment="1">
      <alignment vertical="center"/>
    </xf>
    <xf numFmtId="168" fontId="8" fillId="0" borderId="7" xfId="0" applyNumberFormat="1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4" fontId="0" fillId="0" borderId="1" xfId="0" applyNumberFormat="1" applyBorder="1" applyAlignment="1">
      <alignment horizontal="left" vertical="center"/>
    </xf>
    <xf numFmtId="0" fontId="32" fillId="0" borderId="32" xfId="0" applyFont="1" applyBorder="1" applyAlignment="1">
      <alignment vertical="center"/>
    </xf>
    <xf numFmtId="168" fontId="32" fillId="0" borderId="32" xfId="0" applyNumberFormat="1" applyFont="1" applyBorder="1" applyAlignment="1">
      <alignment vertical="center"/>
    </xf>
    <xf numFmtId="168" fontId="32" fillId="0" borderId="0" xfId="0" applyNumberFormat="1" applyFont="1" applyAlignment="1">
      <alignment vertical="center"/>
    </xf>
    <xf numFmtId="0" fontId="3" fillId="15" borderId="24" xfId="0" applyFont="1" applyFill="1" applyBorder="1" applyAlignment="1">
      <alignment vertical="center"/>
    </xf>
    <xf numFmtId="164" fontId="3" fillId="15" borderId="1" xfId="0" applyNumberFormat="1" applyFont="1" applyFill="1" applyBorder="1" applyAlignment="1">
      <alignment vertical="center"/>
    </xf>
    <xf numFmtId="10" fontId="3" fillId="0" borderId="1" xfId="5" applyNumberFormat="1" applyFont="1" applyBorder="1" applyAlignment="1">
      <alignment vertical="center"/>
    </xf>
    <xf numFmtId="9" fontId="7" fillId="8" borderId="31" xfId="0" applyNumberFormat="1" applyFont="1" applyFill="1" applyBorder="1" applyAlignment="1">
      <alignment vertical="center"/>
    </xf>
    <xf numFmtId="4" fontId="3" fillId="15" borderId="1" xfId="0" applyNumberFormat="1" applyFont="1" applyFill="1" applyBorder="1" applyAlignment="1">
      <alignment vertical="center"/>
    </xf>
    <xf numFmtId="168" fontId="33" fillId="22" borderId="24" xfId="0" applyNumberFormat="1" applyFont="1" applyFill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168" fontId="7" fillId="0" borderId="1" xfId="0" applyNumberFormat="1" applyFont="1" applyBorder="1" applyAlignment="1">
      <alignment vertical="center"/>
    </xf>
    <xf numFmtId="168" fontId="6" fillId="15" borderId="1" xfId="0" applyNumberFormat="1" applyFont="1" applyFill="1" applyBorder="1" applyAlignment="1">
      <alignment vertical="center"/>
    </xf>
    <xf numFmtId="168" fontId="6" fillId="0" borderId="1" xfId="0" applyNumberFormat="1" applyFont="1" applyBorder="1" applyAlignment="1">
      <alignment vertical="center"/>
    </xf>
    <xf numFmtId="0" fontId="3" fillId="25" borderId="1" xfId="0" applyFont="1" applyFill="1" applyBorder="1" applyAlignment="1">
      <alignment vertical="center" wrapText="1"/>
    </xf>
    <xf numFmtId="9" fontId="17" fillId="6" borderId="17" xfId="5" applyFont="1" applyFill="1" applyBorder="1" applyAlignment="1" applyProtection="1">
      <alignment horizontal="right"/>
    </xf>
    <xf numFmtId="0" fontId="3" fillId="14" borderId="3" xfId="0" applyFont="1" applyFill="1" applyBorder="1" applyAlignment="1">
      <alignment horizontal="center" vertical="center"/>
    </xf>
    <xf numFmtId="0" fontId="37" fillId="14" borderId="28" xfId="0" applyFont="1" applyFill="1" applyBorder="1" applyAlignment="1">
      <alignment vertical="center"/>
    </xf>
    <xf numFmtId="0" fontId="3" fillId="14" borderId="3" xfId="0" applyFont="1" applyFill="1" applyBorder="1" applyAlignment="1">
      <alignment vertical="center"/>
    </xf>
    <xf numFmtId="0" fontId="0" fillId="14" borderId="4" xfId="0" applyFill="1" applyBorder="1" applyAlignment="1">
      <alignment horizontal="left" vertical="center"/>
    </xf>
    <xf numFmtId="0" fontId="5" fillId="14" borderId="2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" fillId="26" borderId="1" xfId="0" applyFont="1" applyFill="1" applyBorder="1" applyAlignment="1">
      <alignment vertical="center"/>
    </xf>
    <xf numFmtId="0" fontId="5" fillId="26" borderId="1" xfId="0" applyFont="1" applyFill="1" applyBorder="1" applyAlignment="1">
      <alignment vertical="center"/>
    </xf>
    <xf numFmtId="0" fontId="3" fillId="20" borderId="1" xfId="0" applyFont="1" applyFill="1" applyBorder="1" applyAlignment="1">
      <alignment horizontal="center" vertical="center"/>
    </xf>
    <xf numFmtId="0" fontId="3" fillId="27" borderId="5" xfId="0" applyFont="1" applyFill="1" applyBorder="1" applyAlignment="1">
      <alignment vertical="center"/>
    </xf>
    <xf numFmtId="0" fontId="3" fillId="27" borderId="1" xfId="0" applyFont="1" applyFill="1" applyBorder="1" applyAlignment="1">
      <alignment vertical="center"/>
    </xf>
    <xf numFmtId="0" fontId="3" fillId="27" borderId="5" xfId="0" applyFont="1" applyFill="1" applyBorder="1" applyAlignment="1">
      <alignment horizontal="center" vertical="center" wrapText="1"/>
    </xf>
    <xf numFmtId="0" fontId="3" fillId="10" borderId="1" xfId="0" applyFont="1" applyFill="1" applyBorder="1" applyAlignment="1">
      <alignment horizontal="center" vertical="center"/>
    </xf>
    <xf numFmtId="0" fontId="6" fillId="8" borderId="3" xfId="0" applyFont="1" applyFill="1" applyBorder="1" applyAlignment="1">
      <alignment horizontal="center" vertical="center" wrapText="1"/>
    </xf>
    <xf numFmtId="0" fontId="6" fillId="14" borderId="1" xfId="0" applyFont="1" applyFill="1" applyBorder="1" applyAlignment="1">
      <alignment horizontal="center" vertical="center"/>
    </xf>
    <xf numFmtId="169" fontId="16" fillId="0" borderId="29" xfId="4" applyNumberFormat="1" applyFont="1" applyBorder="1" applyAlignment="1">
      <alignment horizontal="center"/>
    </xf>
    <xf numFmtId="169" fontId="12" fillId="0" borderId="29" xfId="4" applyNumberFormat="1" applyFont="1" applyBorder="1" applyAlignment="1">
      <alignment horizontal="center"/>
    </xf>
    <xf numFmtId="171" fontId="12" fillId="0" borderId="1" xfId="4" applyFont="1" applyBorder="1" applyAlignment="1">
      <alignment horizontal="center"/>
    </xf>
    <xf numFmtId="171" fontId="12" fillId="0" borderId="1" xfId="4" applyFont="1" applyBorder="1"/>
    <xf numFmtId="171" fontId="12" fillId="0" borderId="24" xfId="4" applyFont="1" applyBorder="1"/>
    <xf numFmtId="169" fontId="12" fillId="0" borderId="1" xfId="4" applyNumberFormat="1" applyFont="1" applyBorder="1" applyAlignment="1">
      <alignment horizontal="right"/>
    </xf>
    <xf numFmtId="171" fontId="12" fillId="0" borderId="1" xfId="4" applyFont="1" applyBorder="1" applyAlignment="1">
      <alignment horizontal="right"/>
    </xf>
    <xf numFmtId="168" fontId="38" fillId="0" borderId="32" xfId="0" applyNumberFormat="1" applyFont="1" applyBorder="1" applyAlignment="1">
      <alignment vertical="center"/>
    </xf>
    <xf numFmtId="0" fontId="3" fillId="0" borderId="29" xfId="0" applyFont="1" applyBorder="1" applyAlignment="1">
      <alignment horizontal="center" vertical="center"/>
    </xf>
    <xf numFmtId="9" fontId="4" fillId="0" borderId="36" xfId="5" applyFont="1" applyBorder="1" applyAlignment="1">
      <alignment horizontal="center" vertical="center"/>
    </xf>
    <xf numFmtId="0" fontId="8" fillId="0" borderId="50" xfId="1" applyNumberFormat="1" applyFont="1" applyBorder="1" applyAlignment="1">
      <alignment horizontal="center" vertical="center"/>
    </xf>
    <xf numFmtId="0" fontId="0" fillId="0" borderId="31" xfId="0" applyBorder="1" applyAlignment="1">
      <alignment horizontal="left" vertical="center" wrapText="1"/>
    </xf>
    <xf numFmtId="0" fontId="0" fillId="0" borderId="24" xfId="0" applyBorder="1" applyAlignment="1">
      <alignment vertical="center"/>
    </xf>
    <xf numFmtId="0" fontId="0" fillId="0" borderId="31" xfId="0" applyBorder="1" applyAlignment="1">
      <alignment vertical="center"/>
    </xf>
    <xf numFmtId="4" fontId="3" fillId="0" borderId="56" xfId="0" applyNumberFormat="1" applyFont="1" applyBorder="1" applyAlignment="1">
      <alignment vertical="center"/>
    </xf>
    <xf numFmtId="4" fontId="8" fillId="0" borderId="0" xfId="0" applyNumberFormat="1" applyFont="1" applyAlignment="1">
      <alignment vertical="center"/>
    </xf>
    <xf numFmtId="4" fontId="0" fillId="14" borderId="1" xfId="0" applyNumberFormat="1" applyFill="1" applyBorder="1" applyAlignment="1">
      <alignment vertical="center"/>
    </xf>
    <xf numFmtId="9" fontId="3" fillId="1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3" fillId="0" borderId="57" xfId="3" applyFont="1" applyBorder="1"/>
    <xf numFmtId="0" fontId="23" fillId="28" borderId="58" xfId="3" applyFont="1" applyFill="1" applyBorder="1" applyAlignment="1">
      <alignment horizontal="center"/>
    </xf>
    <xf numFmtId="0" fontId="23" fillId="28" borderId="59" xfId="3" applyFont="1" applyFill="1" applyBorder="1"/>
    <xf numFmtId="0" fontId="23" fillId="28" borderId="60" xfId="3" applyFont="1" applyFill="1" applyBorder="1"/>
    <xf numFmtId="0" fontId="23" fillId="0" borderId="62" xfId="3" applyFont="1" applyBorder="1"/>
    <xf numFmtId="0" fontId="23" fillId="0" borderId="63" xfId="3" applyFont="1" applyBorder="1" applyAlignment="1">
      <alignment horizontal="center"/>
    </xf>
    <xf numFmtId="0" fontId="23" fillId="0" borderId="64" xfId="3" applyFont="1" applyBorder="1" applyAlignment="1">
      <alignment horizontal="center"/>
    </xf>
    <xf numFmtId="0" fontId="23" fillId="0" borderId="65" xfId="3" applyFont="1" applyBorder="1" applyAlignment="1">
      <alignment horizontal="center"/>
    </xf>
    <xf numFmtId="0" fontId="23" fillId="0" borderId="66" xfId="3" applyFont="1" applyBorder="1"/>
    <xf numFmtId="0" fontId="23" fillId="0" borderId="67" xfId="3" applyFont="1" applyBorder="1"/>
    <xf numFmtId="0" fontId="23" fillId="0" borderId="68" xfId="3" applyFont="1" applyBorder="1"/>
    <xf numFmtId="0" fontId="30" fillId="0" borderId="66" xfId="3" applyFont="1" applyBorder="1"/>
    <xf numFmtId="0" fontId="30" fillId="0" borderId="68" xfId="3" applyFont="1" applyBorder="1"/>
    <xf numFmtId="0" fontId="23" fillId="29" borderId="40" xfId="3" applyFont="1" applyFill="1" applyBorder="1"/>
    <xf numFmtId="168" fontId="23" fillId="29" borderId="41" xfId="3" applyNumberFormat="1" applyFont="1" applyFill="1" applyBorder="1"/>
    <xf numFmtId="168" fontId="23" fillId="29" borderId="42" xfId="3" applyNumberFormat="1" applyFont="1" applyFill="1" applyBorder="1"/>
    <xf numFmtId="10" fontId="2" fillId="31" borderId="69" xfId="6" applyNumberFormat="1" applyFont="1" applyFill="1" applyBorder="1" applyAlignment="1" applyProtection="1"/>
    <xf numFmtId="10" fontId="2" fillId="31" borderId="67" xfId="6" applyNumberFormat="1" applyFont="1" applyFill="1" applyBorder="1" applyAlignment="1" applyProtection="1"/>
    <xf numFmtId="10" fontId="2" fillId="31" borderId="68" xfId="6" applyNumberFormat="1" applyFont="1" applyFill="1" applyBorder="1" applyAlignment="1" applyProtection="1"/>
    <xf numFmtId="181" fontId="2" fillId="31" borderId="66" xfId="3" applyNumberFormat="1" applyFont="1" applyFill="1" applyBorder="1"/>
    <xf numFmtId="181" fontId="2" fillId="31" borderId="68" xfId="3" applyNumberFormat="1" applyFont="1" applyFill="1" applyBorder="1"/>
    <xf numFmtId="168" fontId="2" fillId="0" borderId="1" xfId="3" applyNumberFormat="1" applyFont="1" applyBorder="1"/>
    <xf numFmtId="168" fontId="2" fillId="0" borderId="44" xfId="3" applyNumberFormat="1" applyFont="1" applyBorder="1"/>
    <xf numFmtId="10" fontId="2" fillId="0" borderId="69" xfId="6" applyNumberFormat="1" applyFont="1" applyFill="1" applyBorder="1" applyAlignment="1" applyProtection="1"/>
    <xf numFmtId="10" fontId="2" fillId="0" borderId="67" xfId="6" applyNumberFormat="1" applyFont="1" applyFill="1" applyBorder="1" applyAlignment="1" applyProtection="1"/>
    <xf numFmtId="10" fontId="2" fillId="0" borderId="68" xfId="6" applyNumberFormat="1" applyFont="1" applyFill="1" applyBorder="1" applyAlignment="1" applyProtection="1"/>
    <xf numFmtId="181" fontId="2" fillId="0" borderId="66" xfId="3" applyNumberFormat="1" applyFont="1" applyBorder="1"/>
    <xf numFmtId="181" fontId="2" fillId="0" borderId="68" xfId="3" applyNumberFormat="1" applyFont="1" applyBorder="1"/>
    <xf numFmtId="0" fontId="2" fillId="0" borderId="66" xfId="3" applyFont="1" applyBorder="1"/>
    <xf numFmtId="0" fontId="2" fillId="0" borderId="68" xfId="3" applyFont="1" applyBorder="1"/>
    <xf numFmtId="0" fontId="2" fillId="0" borderId="47" xfId="3" applyFont="1" applyBorder="1"/>
    <xf numFmtId="168" fontId="2" fillId="0" borderId="48" xfId="3" applyNumberFormat="1" applyFont="1" applyBorder="1"/>
    <xf numFmtId="168" fontId="2" fillId="0" borderId="49" xfId="3" applyNumberFormat="1" applyFont="1" applyBorder="1"/>
    <xf numFmtId="0" fontId="23" fillId="29" borderId="70" xfId="3" applyFont="1" applyFill="1" applyBorder="1"/>
    <xf numFmtId="168" fontId="23" fillId="29" borderId="71" xfId="3" applyNumberFormat="1" applyFont="1" applyFill="1" applyBorder="1"/>
    <xf numFmtId="10" fontId="2" fillId="31" borderId="66" xfId="6" applyNumberFormat="1" applyFont="1" applyFill="1" applyBorder="1" applyAlignment="1" applyProtection="1"/>
    <xf numFmtId="0" fontId="2" fillId="0" borderId="57" xfId="3" applyFont="1" applyBorder="1"/>
    <xf numFmtId="168" fontId="2" fillId="0" borderId="66" xfId="3" applyNumberFormat="1" applyFont="1" applyBorder="1"/>
    <xf numFmtId="10" fontId="2" fillId="0" borderId="66" xfId="6" applyNumberFormat="1" applyFont="1" applyFill="1" applyBorder="1" applyAlignment="1" applyProtection="1"/>
    <xf numFmtId="168" fontId="2" fillId="0" borderId="67" xfId="3" applyNumberFormat="1" applyFont="1" applyBorder="1"/>
    <xf numFmtId="168" fontId="2" fillId="0" borderId="68" xfId="3" applyNumberFormat="1" applyFont="1" applyBorder="1"/>
    <xf numFmtId="0" fontId="23" fillId="29" borderId="72" xfId="3" applyFont="1" applyFill="1" applyBorder="1"/>
    <xf numFmtId="168" fontId="23" fillId="29" borderId="73" xfId="3" applyNumberFormat="1" applyFont="1" applyFill="1" applyBorder="1"/>
    <xf numFmtId="0" fontId="2" fillId="0" borderId="67" xfId="3" applyFont="1" applyBorder="1"/>
    <xf numFmtId="168" fontId="23" fillId="0" borderId="66" xfId="3" applyNumberFormat="1" applyFont="1" applyBorder="1" applyAlignment="1">
      <alignment horizontal="center"/>
    </xf>
    <xf numFmtId="168" fontId="23" fillId="0" borderId="67" xfId="3" applyNumberFormat="1" applyFont="1" applyBorder="1" applyAlignment="1">
      <alignment horizontal="center"/>
    </xf>
    <xf numFmtId="168" fontId="23" fillId="0" borderId="68" xfId="3" applyNumberFormat="1" applyFont="1" applyBorder="1" applyAlignment="1">
      <alignment horizontal="center"/>
    </xf>
    <xf numFmtId="168" fontId="2" fillId="0" borderId="0" xfId="3" applyNumberFormat="1" applyFont="1"/>
    <xf numFmtId="168" fontId="23" fillId="0" borderId="66" xfId="3" applyNumberFormat="1" applyFont="1" applyBorder="1"/>
    <xf numFmtId="181" fontId="39" fillId="0" borderId="0" xfId="3" applyNumberFormat="1" applyFont="1" applyAlignment="1">
      <alignment horizontal="center"/>
    </xf>
    <xf numFmtId="0" fontId="23" fillId="28" borderId="57" xfId="3" applyFont="1" applyFill="1" applyBorder="1" applyAlignment="1">
      <alignment horizontal="center"/>
    </xf>
    <xf numFmtId="0" fontId="23" fillId="0" borderId="66" xfId="3" applyFont="1" applyBorder="1" applyAlignment="1">
      <alignment horizontal="center"/>
    </xf>
    <xf numFmtId="0" fontId="23" fillId="0" borderId="74" xfId="3" applyFont="1" applyBorder="1" applyAlignment="1">
      <alignment horizontal="center"/>
    </xf>
    <xf numFmtId="0" fontId="23" fillId="0" borderId="67" xfId="3" applyFont="1" applyBorder="1" applyAlignment="1">
      <alignment horizontal="center"/>
    </xf>
    <xf numFmtId="0" fontId="30" fillId="0" borderId="67" xfId="3" applyFont="1" applyBorder="1"/>
    <xf numFmtId="168" fontId="2" fillId="0" borderId="69" xfId="3" applyNumberFormat="1" applyFont="1" applyBorder="1"/>
    <xf numFmtId="10" fontId="2" fillId="0" borderId="67" xfId="3" applyNumberFormat="1" applyFont="1" applyBorder="1"/>
    <xf numFmtId="181" fontId="2" fillId="0" borderId="67" xfId="3" applyNumberFormat="1" applyFont="1" applyBorder="1"/>
    <xf numFmtId="0" fontId="2" fillId="0" borderId="64" xfId="3" applyFont="1" applyBorder="1"/>
    <xf numFmtId="168" fontId="2" fillId="0" borderId="75" xfId="3" applyNumberFormat="1" applyFont="1" applyBorder="1"/>
    <xf numFmtId="10" fontId="2" fillId="0" borderId="64" xfId="3" applyNumberFormat="1" applyFont="1" applyBorder="1"/>
    <xf numFmtId="181" fontId="2" fillId="0" borderId="64" xfId="3" applyNumberFormat="1" applyFont="1" applyBorder="1"/>
    <xf numFmtId="10" fontId="23" fillId="29" borderId="76" xfId="3" applyNumberFormat="1" applyFont="1" applyFill="1" applyBorder="1"/>
    <xf numFmtId="181" fontId="2" fillId="29" borderId="76" xfId="3" applyNumberFormat="1" applyFont="1" applyFill="1" applyBorder="1"/>
    <xf numFmtId="181" fontId="2" fillId="29" borderId="77" xfId="3" applyNumberFormat="1" applyFont="1" applyFill="1" applyBorder="1"/>
    <xf numFmtId="0" fontId="2" fillId="0" borderId="74" xfId="3" applyFont="1" applyBorder="1"/>
    <xf numFmtId="168" fontId="2" fillId="0" borderId="78" xfId="3" applyNumberFormat="1" applyFont="1" applyBorder="1"/>
    <xf numFmtId="10" fontId="2" fillId="0" borderId="74" xfId="3" applyNumberFormat="1" applyFont="1" applyBorder="1"/>
    <xf numFmtId="181" fontId="2" fillId="0" borderId="74" xfId="3" applyNumberFormat="1" applyFont="1" applyBorder="1"/>
    <xf numFmtId="0" fontId="23" fillId="0" borderId="72" xfId="3" applyFont="1" applyBorder="1"/>
    <xf numFmtId="168" fontId="23" fillId="0" borderId="73" xfId="3" applyNumberFormat="1" applyFont="1" applyBorder="1"/>
    <xf numFmtId="181" fontId="23" fillId="0" borderId="73" xfId="3" applyNumberFormat="1" applyFont="1" applyBorder="1"/>
    <xf numFmtId="0" fontId="23" fillId="29" borderId="79" xfId="3" applyFont="1" applyFill="1" applyBorder="1"/>
    <xf numFmtId="168" fontId="23" fillId="29" borderId="72" xfId="3" applyNumberFormat="1" applyFont="1" applyFill="1" applyBorder="1"/>
    <xf numFmtId="0" fontId="2" fillId="0" borderId="80" xfId="3" applyFont="1" applyBorder="1"/>
    <xf numFmtId="168" fontId="2" fillId="0" borderId="81" xfId="3" applyNumberFormat="1" applyFont="1" applyBorder="1"/>
    <xf numFmtId="10" fontId="2" fillId="0" borderId="80" xfId="3" applyNumberFormat="1" applyFont="1" applyBorder="1"/>
    <xf numFmtId="181" fontId="2" fillId="0" borderId="80" xfId="3" applyNumberFormat="1" applyFont="1" applyBorder="1"/>
    <xf numFmtId="168" fontId="2" fillId="0" borderId="57" xfId="3" applyNumberFormat="1" applyFont="1" applyBorder="1"/>
    <xf numFmtId="10" fontId="23" fillId="0" borderId="73" xfId="3" applyNumberFormat="1" applyFont="1" applyBorder="1"/>
    <xf numFmtId="10" fontId="23" fillId="0" borderId="76" xfId="3" applyNumberFormat="1" applyFont="1" applyBorder="1"/>
    <xf numFmtId="181" fontId="2" fillId="0" borderId="76" xfId="3" applyNumberFormat="1" applyFont="1" applyBorder="1"/>
    <xf numFmtId="181" fontId="2" fillId="0" borderId="77" xfId="3" applyNumberFormat="1" applyFont="1" applyBorder="1"/>
    <xf numFmtId="168" fontId="23" fillId="0" borderId="74" xfId="3" applyNumberFormat="1" applyFont="1" applyBorder="1"/>
    <xf numFmtId="10" fontId="23" fillId="0" borderId="81" xfId="3" applyNumberFormat="1" applyFont="1" applyBorder="1"/>
    <xf numFmtId="10" fontId="23" fillId="0" borderId="80" xfId="3" applyNumberFormat="1" applyFont="1" applyBorder="1"/>
    <xf numFmtId="181" fontId="2" fillId="0" borderId="82" xfId="3" applyNumberFormat="1" applyFont="1" applyBorder="1"/>
    <xf numFmtId="168" fontId="23" fillId="0" borderId="64" xfId="3" applyNumberFormat="1" applyFont="1" applyBorder="1"/>
    <xf numFmtId="168" fontId="23" fillId="0" borderId="76" xfId="3" applyNumberFormat="1" applyFont="1" applyBorder="1"/>
    <xf numFmtId="181" fontId="23" fillId="0" borderId="76" xfId="3" applyNumberFormat="1" applyFont="1" applyBorder="1"/>
    <xf numFmtId="168" fontId="29" fillId="0" borderId="0" xfId="3" applyNumberFormat="1"/>
    <xf numFmtId="168" fontId="2" fillId="0" borderId="74" xfId="3" applyNumberFormat="1" applyFont="1" applyBorder="1"/>
    <xf numFmtId="168" fontId="2" fillId="0" borderId="83" xfId="3" applyNumberFormat="1" applyFont="1" applyBorder="1"/>
    <xf numFmtId="168" fontId="2" fillId="0" borderId="64" xfId="3" applyNumberFormat="1" applyFont="1" applyBorder="1"/>
    <xf numFmtId="168" fontId="2" fillId="0" borderId="62" xfId="3" applyNumberFormat="1" applyFont="1" applyBorder="1"/>
    <xf numFmtId="168" fontId="23" fillId="0" borderId="84" xfId="3" applyNumberFormat="1" applyFont="1" applyBorder="1"/>
    <xf numFmtId="0" fontId="23" fillId="0" borderId="85" xfId="3" applyFont="1" applyBorder="1"/>
    <xf numFmtId="168" fontId="23" fillId="0" borderId="86" xfId="3" applyNumberFormat="1" applyFont="1" applyBorder="1"/>
    <xf numFmtId="10" fontId="23" fillId="0" borderId="87" xfId="3" applyNumberFormat="1" applyFont="1" applyBorder="1"/>
    <xf numFmtId="181" fontId="23" fillId="0" borderId="0" xfId="3" applyNumberFormat="1" applyFont="1"/>
    <xf numFmtId="10" fontId="1" fillId="32" borderId="1" xfId="5" applyNumberFormat="1" applyFill="1" applyBorder="1" applyAlignment="1">
      <alignment horizontal="center"/>
    </xf>
    <xf numFmtId="0" fontId="23" fillId="0" borderId="74" xfId="3" applyFont="1" applyBorder="1"/>
    <xf numFmtId="0" fontId="23" fillId="28" borderId="83" xfId="3" applyFont="1" applyFill="1" applyBorder="1"/>
    <xf numFmtId="0" fontId="23" fillId="28" borderId="88" xfId="3" applyFont="1" applyFill="1" applyBorder="1"/>
    <xf numFmtId="0" fontId="23" fillId="28" borderId="78" xfId="3" applyFont="1" applyFill="1" applyBorder="1"/>
    <xf numFmtId="0" fontId="2" fillId="32" borderId="67" xfId="3" applyFont="1" applyFill="1" applyBorder="1" applyAlignment="1">
      <alignment horizontal="center"/>
    </xf>
    <xf numFmtId="0" fontId="2" fillId="33" borderId="67" xfId="3" applyFont="1" applyFill="1" applyBorder="1"/>
    <xf numFmtId="0" fontId="2" fillId="22" borderId="67" xfId="3" applyFont="1" applyFill="1" applyBorder="1"/>
    <xf numFmtId="0" fontId="2" fillId="33" borderId="67" xfId="3" applyFont="1" applyFill="1" applyBorder="1" applyAlignment="1">
      <alignment wrapText="1"/>
    </xf>
    <xf numFmtId="0" fontId="23" fillId="28" borderId="57" xfId="3" applyFont="1" applyFill="1" applyBorder="1"/>
    <xf numFmtId="0" fontId="23" fillId="28" borderId="89" xfId="3" applyFont="1" applyFill="1" applyBorder="1"/>
    <xf numFmtId="0" fontId="23" fillId="28" borderId="69" xfId="3" applyFont="1" applyFill="1" applyBorder="1"/>
    <xf numFmtId="0" fontId="32" fillId="31" borderId="67" xfId="3" applyFont="1" applyFill="1" applyBorder="1"/>
    <xf numFmtId="0" fontId="40" fillId="0" borderId="67" xfId="3" applyFont="1" applyBorder="1"/>
    <xf numFmtId="0" fontId="32" fillId="0" borderId="74" xfId="3" applyFont="1" applyBorder="1" applyAlignment="1">
      <alignment vertical="center"/>
    </xf>
    <xf numFmtId="10" fontId="2" fillId="0" borderId="67" xfId="6" applyNumberFormat="1" applyFont="1" applyFill="1" applyBorder="1" applyAlignment="1" applyProtection="1">
      <alignment vertical="center"/>
    </xf>
    <xf numFmtId="0" fontId="2" fillId="0" borderId="67" xfId="3" applyFont="1" applyBorder="1" applyAlignment="1">
      <alignment vertical="center"/>
    </xf>
    <xf numFmtId="0" fontId="32" fillId="0" borderId="67" xfId="3" applyFont="1" applyBorder="1"/>
    <xf numFmtId="10" fontId="2" fillId="0" borderId="0" xfId="3" applyNumberFormat="1" applyFont="1"/>
    <xf numFmtId="0" fontId="23" fillId="0" borderId="69" xfId="3" applyFont="1" applyBorder="1"/>
    <xf numFmtId="0" fontId="2" fillId="0" borderId="74" xfId="3" applyFont="1" applyBorder="1" applyAlignment="1">
      <alignment horizontal="left" vertical="center"/>
    </xf>
    <xf numFmtId="0" fontId="2" fillId="0" borderId="0" xfId="3" applyFont="1" applyAlignment="1">
      <alignment horizontal="center" vertical="center" wrapText="1"/>
    </xf>
    <xf numFmtId="2" fontId="2" fillId="0" borderId="67" xfId="3" applyNumberFormat="1" applyFont="1" applyBorder="1"/>
    <xf numFmtId="0" fontId="40" fillId="0" borderId="0" xfId="3" applyFont="1"/>
    <xf numFmtId="182" fontId="2" fillId="0" borderId="67" xfId="3" applyNumberFormat="1" applyFont="1" applyBorder="1"/>
    <xf numFmtId="10" fontId="2" fillId="0" borderId="67" xfId="5" applyNumberFormat="1" applyFont="1" applyFill="1" applyBorder="1" applyAlignment="1" applyProtection="1"/>
    <xf numFmtId="0" fontId="32" fillId="31" borderId="90" xfId="3" applyFont="1" applyFill="1" applyBorder="1"/>
    <xf numFmtId="0" fontId="23" fillId="0" borderId="69" xfId="3" applyFont="1" applyBorder="1" applyAlignment="1">
      <alignment horizontal="center"/>
    </xf>
    <xf numFmtId="166" fontId="2" fillId="0" borderId="67" xfId="3" applyNumberFormat="1" applyFont="1" applyBorder="1"/>
    <xf numFmtId="0" fontId="2" fillId="0" borderId="57" xfId="3" applyFont="1" applyBorder="1" applyAlignment="1">
      <alignment wrapText="1"/>
    </xf>
    <xf numFmtId="0" fontId="2" fillId="0" borderId="0" xfId="3" applyFont="1" applyAlignment="1">
      <alignment wrapText="1"/>
    </xf>
    <xf numFmtId="181" fontId="2" fillId="0" borderId="0" xfId="3" applyNumberFormat="1" applyFont="1"/>
    <xf numFmtId="10" fontId="2" fillId="0" borderId="74" xfId="3" applyNumberFormat="1" applyFont="1" applyBorder="1" applyAlignment="1">
      <alignment horizontal="center"/>
    </xf>
    <xf numFmtId="10" fontId="2" fillId="0" borderId="67" xfId="6" applyNumberFormat="1" applyFont="1" applyFill="1" applyBorder="1" applyAlignment="1" applyProtection="1">
      <alignment horizontal="center"/>
    </xf>
    <xf numFmtId="10" fontId="2" fillId="0" borderId="67" xfId="3" applyNumberFormat="1" applyFont="1" applyBorder="1" applyAlignment="1">
      <alignment horizontal="center"/>
    </xf>
    <xf numFmtId="0" fontId="2" fillId="0" borderId="67" xfId="3" applyFont="1" applyBorder="1" applyAlignment="1">
      <alignment horizontal="center"/>
    </xf>
    <xf numFmtId="0" fontId="2" fillId="0" borderId="0" xfId="3" applyFont="1" applyAlignment="1">
      <alignment horizontal="center"/>
    </xf>
    <xf numFmtId="181" fontId="2" fillId="0" borderId="67" xfId="3" applyNumberFormat="1" applyFont="1" applyBorder="1" applyAlignment="1">
      <alignment horizontal="right"/>
    </xf>
    <xf numFmtId="0" fontId="2" fillId="0" borderId="64" xfId="3" applyFont="1" applyBorder="1" applyAlignment="1">
      <alignment horizontal="center"/>
    </xf>
    <xf numFmtId="0" fontId="2" fillId="0" borderId="67" xfId="3" applyFont="1" applyBorder="1" applyAlignment="1">
      <alignment wrapText="1"/>
    </xf>
    <xf numFmtId="183" fontId="2" fillId="0" borderId="67" xfId="3" applyNumberFormat="1" applyFont="1" applyBorder="1" applyAlignment="1">
      <alignment horizontal="center"/>
    </xf>
    <xf numFmtId="183" fontId="23" fillId="0" borderId="67" xfId="3" applyNumberFormat="1" applyFont="1" applyBorder="1" applyAlignment="1">
      <alignment horizontal="center"/>
    </xf>
    <xf numFmtId="0" fontId="29" fillId="0" borderId="67" xfId="3" applyBorder="1"/>
    <xf numFmtId="0" fontId="41" fillId="0" borderId="0" xfId="3" applyFont="1"/>
    <xf numFmtId="0" fontId="23" fillId="28" borderId="62" xfId="3" applyFont="1" applyFill="1" applyBorder="1" applyAlignment="1">
      <alignment horizontal="center"/>
    </xf>
    <xf numFmtId="0" fontId="42" fillId="34" borderId="1" xfId="0" applyFont="1" applyFill="1" applyBorder="1" applyAlignment="1">
      <alignment vertical="center" wrapText="1"/>
    </xf>
    <xf numFmtId="10" fontId="1" fillId="0" borderId="1" xfId="5" applyNumberFormat="1" applyBorder="1" applyAlignment="1">
      <alignment vertical="center" wrapText="1"/>
    </xf>
    <xf numFmtId="0" fontId="2" fillId="10" borderId="1" xfId="3" applyFont="1" applyFill="1" applyBorder="1"/>
    <xf numFmtId="10" fontId="0" fillId="10" borderId="1" xfId="0" applyNumberFormat="1" applyFill="1" applyBorder="1"/>
    <xf numFmtId="0" fontId="43" fillId="0" borderId="1" xfId="0" applyFont="1" applyBorder="1" applyAlignment="1">
      <alignment horizontal="center"/>
    </xf>
    <xf numFmtId="0" fontId="42" fillId="34" borderId="1" xfId="0" applyFont="1" applyFill="1" applyBorder="1" applyAlignment="1">
      <alignment wrapText="1"/>
    </xf>
    <xf numFmtId="10" fontId="1" fillId="0" borderId="1" xfId="5" applyNumberFormat="1" applyBorder="1" applyAlignment="1">
      <alignment wrapText="1"/>
    </xf>
    <xf numFmtId="10" fontId="43" fillId="0" borderId="1" xfId="5" applyNumberFormat="1" applyFont="1" applyBorder="1" applyAlignment="1">
      <alignment wrapText="1"/>
    </xf>
    <xf numFmtId="0" fontId="43" fillId="0" borderId="0" xfId="0" applyFont="1" applyAlignment="1">
      <alignment horizontal="center"/>
    </xf>
    <xf numFmtId="10" fontId="1" fillId="0" borderId="1" xfId="5" applyNumberFormat="1" applyBorder="1"/>
    <xf numFmtId="0" fontId="42" fillId="35" borderId="1" xfId="0" applyFont="1" applyFill="1" applyBorder="1" applyAlignment="1">
      <alignment wrapText="1"/>
    </xf>
    <xf numFmtId="8" fontId="2" fillId="0" borderId="1" xfId="3" applyNumberFormat="1" applyFont="1" applyBorder="1"/>
    <xf numFmtId="10" fontId="1" fillId="0" borderId="0" xfId="5" applyNumberFormat="1" applyAlignment="1">
      <alignment wrapText="1"/>
    </xf>
    <xf numFmtId="168" fontId="2" fillId="15" borderId="67" xfId="3" applyNumberFormat="1" applyFont="1" applyFill="1" applyBorder="1"/>
    <xf numFmtId="184" fontId="2" fillId="15" borderId="67" xfId="3" applyNumberFormat="1" applyFont="1" applyFill="1" applyBorder="1"/>
    <xf numFmtId="0" fontId="2" fillId="10" borderId="67" xfId="3" applyFont="1" applyFill="1" applyBorder="1" applyAlignment="1">
      <alignment horizontal="center"/>
    </xf>
    <xf numFmtId="184" fontId="2" fillId="10" borderId="67" xfId="3" applyNumberFormat="1" applyFont="1" applyFill="1" applyBorder="1"/>
    <xf numFmtId="168" fontId="2" fillId="10" borderId="81" xfId="3" applyNumberFormat="1" applyFont="1" applyFill="1" applyBorder="1"/>
    <xf numFmtId="0" fontId="23" fillId="29" borderId="85" xfId="3" applyFont="1" applyFill="1" applyBorder="1"/>
    <xf numFmtId="168" fontId="23" fillId="29" borderId="86" xfId="3" applyNumberFormat="1" applyFont="1" applyFill="1" applyBorder="1"/>
    <xf numFmtId="168" fontId="23" fillId="0" borderId="1" xfId="3" applyNumberFormat="1" applyFont="1" applyBorder="1"/>
    <xf numFmtId="168" fontId="2" fillId="10" borderId="66" xfId="3" applyNumberFormat="1" applyFont="1" applyFill="1" applyBorder="1"/>
    <xf numFmtId="168" fontId="2" fillId="10" borderId="67" xfId="3" applyNumberFormat="1" applyFont="1" applyFill="1" applyBorder="1"/>
    <xf numFmtId="168" fontId="2" fillId="10" borderId="68" xfId="3" applyNumberFormat="1" applyFont="1" applyFill="1" applyBorder="1"/>
    <xf numFmtId="0" fontId="41" fillId="0" borderId="57" xfId="3" applyFont="1" applyBorder="1"/>
    <xf numFmtId="10" fontId="0" fillId="0" borderId="1" xfId="5" applyNumberFormat="1" applyFont="1" applyBorder="1" applyAlignment="1">
      <alignment horizontal="center" vertical="center"/>
    </xf>
    <xf numFmtId="10" fontId="8" fillId="0" borderId="1" xfId="5" applyNumberFormat="1" applyFont="1" applyBorder="1" applyAlignment="1">
      <alignment horizontal="center" vertical="center"/>
    </xf>
    <xf numFmtId="0" fontId="5" fillId="23" borderId="0" xfId="0" applyFont="1" applyFill="1" applyAlignment="1">
      <alignment vertical="center"/>
    </xf>
    <xf numFmtId="0" fontId="22" fillId="23" borderId="0" xfId="0" applyFont="1" applyFill="1" applyAlignment="1">
      <alignment vertical="center"/>
    </xf>
    <xf numFmtId="0" fontId="5" fillId="16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/>
    </xf>
    <xf numFmtId="0" fontId="3" fillId="14" borderId="1" xfId="0" applyFont="1" applyFill="1" applyBorder="1" applyAlignment="1">
      <alignment horizontal="center" vertical="center" wrapText="1"/>
    </xf>
    <xf numFmtId="0" fontId="3" fillId="14" borderId="1" xfId="0" applyFont="1" applyFill="1" applyBorder="1" applyAlignment="1">
      <alignment horizontal="center" vertical="center"/>
    </xf>
    <xf numFmtId="9" fontId="0" fillId="0" borderId="29" xfId="5" applyFont="1" applyBorder="1" applyAlignment="1">
      <alignment horizontal="center" vertical="center"/>
    </xf>
    <xf numFmtId="9" fontId="0" fillId="0" borderId="24" xfId="5" applyFont="1" applyBorder="1" applyAlignment="1">
      <alignment horizontal="center" vertical="center"/>
    </xf>
    <xf numFmtId="167" fontId="3" fillId="0" borderId="36" xfId="0" applyNumberFormat="1" applyFont="1" applyBorder="1" applyAlignment="1">
      <alignment horizontal="center" vertical="center"/>
    </xf>
    <xf numFmtId="167" fontId="3" fillId="0" borderId="37" xfId="0" applyNumberFormat="1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23" fillId="29" borderId="61" xfId="3" applyFont="1" applyFill="1" applyBorder="1" applyAlignment="1">
      <alignment horizontal="center"/>
    </xf>
    <xf numFmtId="0" fontId="23" fillId="30" borderId="61" xfId="3" applyFont="1" applyFill="1" applyBorder="1" applyAlignment="1">
      <alignment horizontal="center"/>
    </xf>
    <xf numFmtId="0" fontId="23" fillId="29" borderId="60" xfId="3" applyFont="1" applyFill="1" applyBorder="1" applyAlignment="1">
      <alignment horizontal="center"/>
    </xf>
  </cellXfs>
  <cellStyles count="8">
    <cellStyle name="Migliaia [0]" xfId="1" builtinId="6"/>
    <cellStyle name="Migliaia 2" xfId="2" xr:uid="{00000000-0005-0000-0000-000001000000}"/>
    <cellStyle name="Normale" xfId="0" builtinId="0"/>
    <cellStyle name="Normale 2" xfId="3" xr:uid="{00000000-0005-0000-0000-000003000000}"/>
    <cellStyle name="Normale_PIANO_AMMORT" xfId="4" xr:uid="{00000000-0005-0000-0000-000004000000}"/>
    <cellStyle name="Percentuale" xfId="5" builtinId="5"/>
    <cellStyle name="Percentuale 2" xfId="6" xr:uid="{00000000-0005-0000-0000-000006000000}"/>
    <cellStyle name="Valore valido" xfId="7" builtinId="26"/>
  </cellStyles>
  <dxfs count="0"/>
  <tableStyles count="0" defaultTableStyle="TableStyleMedium9" defaultPivotStyle="PivotStyleLight16"/>
  <colors>
    <mruColors>
      <color rgb="FF66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 baseline="0"/>
              <a:t>"EL PICOLO NIO" ANDAMENTO VALORE AGGIUNTO E M.O.L  ANNI 1-20 </a:t>
            </a:r>
            <a:endParaRPr lang="en-US" b="1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'tabelle e grafici'!$A$4</c:f>
              <c:strCache>
                <c:ptCount val="1"/>
                <c:pt idx="0">
                  <c:v>VALORE AGGIUNTO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'tabelle e grafici'!$B$3:$U$3</c:f>
              <c:strCache>
                <c:ptCount val="20"/>
                <c:pt idx="0">
                  <c:v>1 anno</c:v>
                </c:pt>
                <c:pt idx="1">
                  <c:v>2 anno</c:v>
                </c:pt>
                <c:pt idx="2">
                  <c:v>3 anno</c:v>
                </c:pt>
                <c:pt idx="3">
                  <c:v>4 anno</c:v>
                </c:pt>
                <c:pt idx="4">
                  <c:v>5 anno</c:v>
                </c:pt>
                <c:pt idx="5">
                  <c:v>6 anno</c:v>
                </c:pt>
                <c:pt idx="6">
                  <c:v>7 anno</c:v>
                </c:pt>
                <c:pt idx="7">
                  <c:v>8 anno</c:v>
                </c:pt>
                <c:pt idx="8">
                  <c:v>9 anno</c:v>
                </c:pt>
                <c:pt idx="9">
                  <c:v>10 anno</c:v>
                </c:pt>
                <c:pt idx="10">
                  <c:v>11 anno</c:v>
                </c:pt>
                <c:pt idx="11">
                  <c:v>12 anno</c:v>
                </c:pt>
                <c:pt idx="12">
                  <c:v>13 anno</c:v>
                </c:pt>
                <c:pt idx="13">
                  <c:v>14 anno</c:v>
                </c:pt>
                <c:pt idx="14">
                  <c:v>15 anno</c:v>
                </c:pt>
                <c:pt idx="15">
                  <c:v>16 anno</c:v>
                </c:pt>
                <c:pt idx="16">
                  <c:v>17 anno</c:v>
                </c:pt>
                <c:pt idx="17">
                  <c:v>18 anno</c:v>
                </c:pt>
                <c:pt idx="18">
                  <c:v>19 anno</c:v>
                </c:pt>
                <c:pt idx="19">
                  <c:v>20 anno</c:v>
                </c:pt>
              </c:strCache>
            </c:strRef>
          </c:cat>
          <c:val>
            <c:numRef>
              <c:f>'tabelle e grafici'!$B$4:$U$4</c:f>
              <c:numCache>
                <c:formatCode>"€"#,##0_);[Red]\("€"#,##0\)</c:formatCode>
                <c:ptCount val="20"/>
                <c:pt idx="0">
                  <c:v>134158</c:v>
                </c:pt>
                <c:pt idx="1">
                  <c:v>147314</c:v>
                </c:pt>
                <c:pt idx="2">
                  <c:v>161133.59999999998</c:v>
                </c:pt>
                <c:pt idx="3">
                  <c:v>175578.83199999999</c:v>
                </c:pt>
                <c:pt idx="4">
                  <c:v>188929.72863999999</c:v>
                </c:pt>
                <c:pt idx="5">
                  <c:v>193004.32321280002</c:v>
                </c:pt>
                <c:pt idx="6">
                  <c:v>197143.649677056</c:v>
                </c:pt>
                <c:pt idx="7">
                  <c:v>201567.7426705971</c:v>
                </c:pt>
                <c:pt idx="8">
                  <c:v>205904.63752400904</c:v>
                </c:pt>
                <c:pt idx="9">
                  <c:v>208315.37027448922</c:v>
                </c:pt>
                <c:pt idx="10">
                  <c:v>210777.97767997906</c:v>
                </c:pt>
                <c:pt idx="11">
                  <c:v>188111.49723357859</c:v>
                </c:pt>
                <c:pt idx="12">
                  <c:v>194576.9671782502</c:v>
                </c:pt>
                <c:pt idx="13">
                  <c:v>196581.42652181518</c:v>
                </c:pt>
                <c:pt idx="14">
                  <c:v>198585.91505225148</c:v>
                </c:pt>
                <c:pt idx="15">
                  <c:v>200603.47335329652</c:v>
                </c:pt>
                <c:pt idx="16">
                  <c:v>202670.14282036247</c:v>
                </c:pt>
                <c:pt idx="17">
                  <c:v>204737.96567676967</c:v>
                </c:pt>
                <c:pt idx="18">
                  <c:v>206856.98499030509</c:v>
                </c:pt>
                <c:pt idx="19">
                  <c:v>208975.2446901112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90-4942-8EC2-BF8414D3D64F}"/>
            </c:ext>
          </c:extLst>
        </c:ser>
        <c:ser>
          <c:idx val="1"/>
          <c:order val="1"/>
          <c:tx>
            <c:strRef>
              <c:f>'tabelle e grafici'!$A$5</c:f>
              <c:strCache>
                <c:ptCount val="1"/>
                <c:pt idx="0">
                  <c:v>MARGINE OPERATIVO LORDO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'tabelle e grafici'!$B$3:$U$3</c:f>
              <c:strCache>
                <c:ptCount val="20"/>
                <c:pt idx="0">
                  <c:v>1 anno</c:v>
                </c:pt>
                <c:pt idx="1">
                  <c:v>2 anno</c:v>
                </c:pt>
                <c:pt idx="2">
                  <c:v>3 anno</c:v>
                </c:pt>
                <c:pt idx="3">
                  <c:v>4 anno</c:v>
                </c:pt>
                <c:pt idx="4">
                  <c:v>5 anno</c:v>
                </c:pt>
                <c:pt idx="5">
                  <c:v>6 anno</c:v>
                </c:pt>
                <c:pt idx="6">
                  <c:v>7 anno</c:v>
                </c:pt>
                <c:pt idx="7">
                  <c:v>8 anno</c:v>
                </c:pt>
                <c:pt idx="8">
                  <c:v>9 anno</c:v>
                </c:pt>
                <c:pt idx="9">
                  <c:v>10 anno</c:v>
                </c:pt>
                <c:pt idx="10">
                  <c:v>11 anno</c:v>
                </c:pt>
                <c:pt idx="11">
                  <c:v>12 anno</c:v>
                </c:pt>
                <c:pt idx="12">
                  <c:v>13 anno</c:v>
                </c:pt>
                <c:pt idx="13">
                  <c:v>14 anno</c:v>
                </c:pt>
                <c:pt idx="14">
                  <c:v>15 anno</c:v>
                </c:pt>
                <c:pt idx="15">
                  <c:v>16 anno</c:v>
                </c:pt>
                <c:pt idx="16">
                  <c:v>17 anno</c:v>
                </c:pt>
                <c:pt idx="17">
                  <c:v>18 anno</c:v>
                </c:pt>
                <c:pt idx="18">
                  <c:v>19 anno</c:v>
                </c:pt>
                <c:pt idx="19">
                  <c:v>20 anno</c:v>
                </c:pt>
              </c:strCache>
            </c:strRef>
          </c:cat>
          <c:val>
            <c:numRef>
              <c:f>'tabelle e grafici'!$B$5:$U$5</c:f>
              <c:numCache>
                <c:formatCode>"€"#,##0_);[Red]\("€"#,##0\)</c:formatCode>
                <c:ptCount val="20"/>
                <c:pt idx="0">
                  <c:v>28096.800000000003</c:v>
                </c:pt>
                <c:pt idx="1">
                  <c:v>41252.800000000003</c:v>
                </c:pt>
                <c:pt idx="2">
                  <c:v>33860.159999999974</c:v>
                </c:pt>
                <c:pt idx="3">
                  <c:v>48305.391999999993</c:v>
                </c:pt>
                <c:pt idx="4">
                  <c:v>61656.288639999984</c:v>
                </c:pt>
                <c:pt idx="5">
                  <c:v>59670.243212800007</c:v>
                </c:pt>
                <c:pt idx="6">
                  <c:v>63809.569677055988</c:v>
                </c:pt>
                <c:pt idx="7">
                  <c:v>68233.662670597085</c:v>
                </c:pt>
                <c:pt idx="8">
                  <c:v>66509.917524009041</c:v>
                </c:pt>
                <c:pt idx="9">
                  <c:v>68920.65027448922</c:v>
                </c:pt>
                <c:pt idx="10">
                  <c:v>71383.257679979055</c:v>
                </c:pt>
                <c:pt idx="11">
                  <c:v>48716.777233578585</c:v>
                </c:pt>
                <c:pt idx="12">
                  <c:v>49121.607178250211</c:v>
                </c:pt>
                <c:pt idx="13">
                  <c:v>51126.066521815199</c:v>
                </c:pt>
                <c:pt idx="14">
                  <c:v>53130.555052251497</c:v>
                </c:pt>
                <c:pt idx="15">
                  <c:v>49087.473353296518</c:v>
                </c:pt>
                <c:pt idx="16">
                  <c:v>51154.142820362467</c:v>
                </c:pt>
                <c:pt idx="17">
                  <c:v>53221.965676769672</c:v>
                </c:pt>
                <c:pt idx="18">
                  <c:v>49280.344990305079</c:v>
                </c:pt>
                <c:pt idx="19">
                  <c:v>51398.604690111184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B90-4942-8EC2-BF8414D3D6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47704448"/>
        <c:axId val="1"/>
      </c:barChart>
      <c:catAx>
        <c:axId val="10477044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€&quot;#,##0_);[Red]\(&quot;€&quot;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04770444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'tabelle e grafici'!$A$228</c:f>
              <c:strCache>
                <c:ptCount val="1"/>
                <c:pt idx="0">
                  <c:v>MARGINE DI SICUREZZA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'tabelle e grafici'!$B$221:$U$221</c:f>
              <c:strCache>
                <c:ptCount val="20"/>
                <c:pt idx="0">
                  <c:v>1 anno</c:v>
                </c:pt>
                <c:pt idx="1">
                  <c:v>2 anno</c:v>
                </c:pt>
                <c:pt idx="2">
                  <c:v>3 anno</c:v>
                </c:pt>
                <c:pt idx="3">
                  <c:v>4 anno</c:v>
                </c:pt>
                <c:pt idx="4">
                  <c:v>5 anno</c:v>
                </c:pt>
                <c:pt idx="5">
                  <c:v>6 anno</c:v>
                </c:pt>
                <c:pt idx="6">
                  <c:v>7 anno</c:v>
                </c:pt>
                <c:pt idx="7">
                  <c:v>8 anno</c:v>
                </c:pt>
                <c:pt idx="8">
                  <c:v>9 anno</c:v>
                </c:pt>
                <c:pt idx="9">
                  <c:v>10 anno</c:v>
                </c:pt>
                <c:pt idx="10">
                  <c:v>11 anno</c:v>
                </c:pt>
                <c:pt idx="11">
                  <c:v>12 anno</c:v>
                </c:pt>
                <c:pt idx="12">
                  <c:v>13 anno</c:v>
                </c:pt>
                <c:pt idx="13">
                  <c:v>14 anno</c:v>
                </c:pt>
                <c:pt idx="14">
                  <c:v>15 anno</c:v>
                </c:pt>
                <c:pt idx="15">
                  <c:v>16 anno</c:v>
                </c:pt>
                <c:pt idx="16">
                  <c:v>17 anno</c:v>
                </c:pt>
                <c:pt idx="17">
                  <c:v>18 anno</c:v>
                </c:pt>
                <c:pt idx="18">
                  <c:v>19 anno</c:v>
                </c:pt>
                <c:pt idx="19">
                  <c:v>20 anno</c:v>
                </c:pt>
              </c:strCache>
            </c:strRef>
          </c:cat>
          <c:val>
            <c:numRef>
              <c:f>'tabelle e grafici'!$B$228:$U$228</c:f>
              <c:numCache>
                <c:formatCode>0.00%</c:formatCode>
                <c:ptCount val="20"/>
                <c:pt idx="0">
                  <c:v>8.7300000000000003E-2</c:v>
                </c:pt>
                <c:pt idx="1">
                  <c:v>0.14069999999999999</c:v>
                </c:pt>
                <c:pt idx="2">
                  <c:v>7.9699999999999993E-2</c:v>
                </c:pt>
                <c:pt idx="3">
                  <c:v>0.1326</c:v>
                </c:pt>
                <c:pt idx="4">
                  <c:v>0.17849999999999999</c:v>
                </c:pt>
                <c:pt idx="5">
                  <c:v>0.1678</c:v>
                </c:pt>
                <c:pt idx="6">
                  <c:v>0.19040000000000001</c:v>
                </c:pt>
                <c:pt idx="7">
                  <c:v>0.21679999999999999</c:v>
                </c:pt>
                <c:pt idx="8">
                  <c:v>0.2132</c:v>
                </c:pt>
                <c:pt idx="9">
                  <c:v>0.22359999999999999</c:v>
                </c:pt>
                <c:pt idx="10">
                  <c:v>0.26960000000000001</c:v>
                </c:pt>
                <c:pt idx="11">
                  <c:v>0.18940000000000001</c:v>
                </c:pt>
                <c:pt idx="12">
                  <c:v>0.18509999999999999</c:v>
                </c:pt>
                <c:pt idx="13">
                  <c:v>0.19120000000000001</c:v>
                </c:pt>
                <c:pt idx="14">
                  <c:v>0.1973</c:v>
                </c:pt>
                <c:pt idx="15">
                  <c:v>0.19359999999999999</c:v>
                </c:pt>
                <c:pt idx="16">
                  <c:v>0.19969999999999999</c:v>
                </c:pt>
                <c:pt idx="17">
                  <c:v>0.2056</c:v>
                </c:pt>
                <c:pt idx="18">
                  <c:v>0.1885</c:v>
                </c:pt>
                <c:pt idx="19">
                  <c:v>0.1946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507-4E59-AA4E-C83596ADF0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02660768"/>
        <c:axId val="1"/>
      </c:lineChart>
      <c:catAx>
        <c:axId val="1102660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1026607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areaChart>
        <c:grouping val="stacked"/>
        <c:varyColors val="0"/>
        <c:ser>
          <c:idx val="0"/>
          <c:order val="0"/>
          <c:tx>
            <c:strRef>
              <c:f>'tabelle e grafici'!$A$6</c:f>
              <c:strCache>
                <c:ptCount val="1"/>
                <c:pt idx="0">
                  <c:v>MARGINE OPERATIVO NETTO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strRef>
              <c:f>'tabelle e grafici'!$B$3:$U$3</c:f>
              <c:strCache>
                <c:ptCount val="20"/>
                <c:pt idx="0">
                  <c:v>1 anno</c:v>
                </c:pt>
                <c:pt idx="1">
                  <c:v>2 anno</c:v>
                </c:pt>
                <c:pt idx="2">
                  <c:v>3 anno</c:v>
                </c:pt>
                <c:pt idx="3">
                  <c:v>4 anno</c:v>
                </c:pt>
                <c:pt idx="4">
                  <c:v>5 anno</c:v>
                </c:pt>
                <c:pt idx="5">
                  <c:v>6 anno</c:v>
                </c:pt>
                <c:pt idx="6">
                  <c:v>7 anno</c:v>
                </c:pt>
                <c:pt idx="7">
                  <c:v>8 anno</c:v>
                </c:pt>
                <c:pt idx="8">
                  <c:v>9 anno</c:v>
                </c:pt>
                <c:pt idx="9">
                  <c:v>10 anno</c:v>
                </c:pt>
                <c:pt idx="10">
                  <c:v>11 anno</c:v>
                </c:pt>
                <c:pt idx="11">
                  <c:v>12 anno</c:v>
                </c:pt>
                <c:pt idx="12">
                  <c:v>13 anno</c:v>
                </c:pt>
                <c:pt idx="13">
                  <c:v>14 anno</c:v>
                </c:pt>
                <c:pt idx="14">
                  <c:v>15 anno</c:v>
                </c:pt>
                <c:pt idx="15">
                  <c:v>16 anno</c:v>
                </c:pt>
                <c:pt idx="16">
                  <c:v>17 anno</c:v>
                </c:pt>
                <c:pt idx="17">
                  <c:v>18 anno</c:v>
                </c:pt>
                <c:pt idx="18">
                  <c:v>19 anno</c:v>
                </c:pt>
                <c:pt idx="19">
                  <c:v>20 anno</c:v>
                </c:pt>
              </c:strCache>
            </c:strRef>
          </c:cat>
          <c:val>
            <c:numRef>
              <c:f>'tabelle e grafici'!$B$6:$U$6</c:f>
              <c:numCache>
                <c:formatCode>"€"\ #,##0;[Red]\-"€"\ #,##0</c:formatCode>
                <c:ptCount val="20"/>
                <c:pt idx="0">
                  <c:v>18096.800000000003</c:v>
                </c:pt>
                <c:pt idx="1">
                  <c:v>29252.800000000003</c:v>
                </c:pt>
                <c:pt idx="2">
                  <c:v>18860.159999999974</c:v>
                </c:pt>
                <c:pt idx="3">
                  <c:v>31705.391999999993</c:v>
                </c:pt>
                <c:pt idx="4">
                  <c:v>44456.288639999984</c:v>
                </c:pt>
                <c:pt idx="5">
                  <c:v>42470.243212800007</c:v>
                </c:pt>
                <c:pt idx="6">
                  <c:v>48609.569677055988</c:v>
                </c:pt>
                <c:pt idx="7">
                  <c:v>56033.662670597085</c:v>
                </c:pt>
                <c:pt idx="8">
                  <c:v>55909.917524009041</c:v>
                </c:pt>
                <c:pt idx="9">
                  <c:v>58920.65027448922</c:v>
                </c:pt>
                <c:pt idx="10">
                  <c:v>71383.257679979055</c:v>
                </c:pt>
                <c:pt idx="11">
                  <c:v>45116.777233578585</c:v>
                </c:pt>
                <c:pt idx="12">
                  <c:v>45521.607178250211</c:v>
                </c:pt>
                <c:pt idx="13">
                  <c:v>47526.066521815199</c:v>
                </c:pt>
                <c:pt idx="14">
                  <c:v>49530.555052251497</c:v>
                </c:pt>
                <c:pt idx="15">
                  <c:v>49087.473353296518</c:v>
                </c:pt>
                <c:pt idx="16">
                  <c:v>51154.142820362467</c:v>
                </c:pt>
                <c:pt idx="17">
                  <c:v>53221.965676769672</c:v>
                </c:pt>
                <c:pt idx="18">
                  <c:v>49280.344990305079</c:v>
                </c:pt>
                <c:pt idx="19">
                  <c:v>51398.604690111184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93-41B2-8B5B-9FEB9B28A6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47700608"/>
        <c:axId val="1"/>
      </c:areaChart>
      <c:catAx>
        <c:axId val="10477006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€&quot;\ #,##0;[Red]\-&quot;€&quot;\ 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047700608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'tabelle e grafici'!$A$7</c:f>
              <c:strCache>
                <c:ptCount val="1"/>
                <c:pt idx="0">
                  <c:v>UTILE NETTO DELL'ESERCIZIO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'tabelle e grafici'!$B$3:$U$3</c:f>
              <c:strCache>
                <c:ptCount val="20"/>
                <c:pt idx="0">
                  <c:v>1 anno</c:v>
                </c:pt>
                <c:pt idx="1">
                  <c:v>2 anno</c:v>
                </c:pt>
                <c:pt idx="2">
                  <c:v>3 anno</c:v>
                </c:pt>
                <c:pt idx="3">
                  <c:v>4 anno</c:v>
                </c:pt>
                <c:pt idx="4">
                  <c:v>5 anno</c:v>
                </c:pt>
                <c:pt idx="5">
                  <c:v>6 anno</c:v>
                </c:pt>
                <c:pt idx="6">
                  <c:v>7 anno</c:v>
                </c:pt>
                <c:pt idx="7">
                  <c:v>8 anno</c:v>
                </c:pt>
                <c:pt idx="8">
                  <c:v>9 anno</c:v>
                </c:pt>
                <c:pt idx="9">
                  <c:v>10 anno</c:v>
                </c:pt>
                <c:pt idx="10">
                  <c:v>11 anno</c:v>
                </c:pt>
                <c:pt idx="11">
                  <c:v>12 anno</c:v>
                </c:pt>
                <c:pt idx="12">
                  <c:v>13 anno</c:v>
                </c:pt>
                <c:pt idx="13">
                  <c:v>14 anno</c:v>
                </c:pt>
                <c:pt idx="14">
                  <c:v>15 anno</c:v>
                </c:pt>
                <c:pt idx="15">
                  <c:v>16 anno</c:v>
                </c:pt>
                <c:pt idx="16">
                  <c:v>17 anno</c:v>
                </c:pt>
                <c:pt idx="17">
                  <c:v>18 anno</c:v>
                </c:pt>
                <c:pt idx="18">
                  <c:v>19 anno</c:v>
                </c:pt>
                <c:pt idx="19">
                  <c:v>20 anno</c:v>
                </c:pt>
              </c:strCache>
            </c:strRef>
          </c:cat>
          <c:val>
            <c:numRef>
              <c:f>'tabelle e grafici'!$B$7:$U$7</c:f>
              <c:numCache>
                <c:formatCode>"€"\ #,##0;[Red]\-"€"\ #,##0</c:formatCode>
                <c:ptCount val="20"/>
                <c:pt idx="0">
                  <c:v>14547</c:v>
                </c:pt>
                <c:pt idx="1">
                  <c:v>25607</c:v>
                </c:pt>
                <c:pt idx="2">
                  <c:v>15777</c:v>
                </c:pt>
                <c:pt idx="3">
                  <c:v>28501</c:v>
                </c:pt>
                <c:pt idx="4">
                  <c:v>41146</c:v>
                </c:pt>
                <c:pt idx="5">
                  <c:v>39510</c:v>
                </c:pt>
                <c:pt idx="6">
                  <c:v>45770</c:v>
                </c:pt>
                <c:pt idx="7">
                  <c:v>53292</c:v>
                </c:pt>
                <c:pt idx="8">
                  <c:v>53508</c:v>
                </c:pt>
                <c:pt idx="9">
                  <c:v>56782</c:v>
                </c:pt>
                <c:pt idx="10">
                  <c:v>69242</c:v>
                </c:pt>
                <c:pt idx="11">
                  <c:v>43763</c:v>
                </c:pt>
                <c:pt idx="12">
                  <c:v>44156</c:v>
                </c:pt>
                <c:pt idx="13">
                  <c:v>46100</c:v>
                </c:pt>
                <c:pt idx="14">
                  <c:v>48045</c:v>
                </c:pt>
                <c:pt idx="15">
                  <c:v>47614</c:v>
                </c:pt>
                <c:pt idx="16">
                  <c:v>49619</c:v>
                </c:pt>
                <c:pt idx="17">
                  <c:v>51625</c:v>
                </c:pt>
                <c:pt idx="18">
                  <c:v>47802</c:v>
                </c:pt>
                <c:pt idx="19">
                  <c:v>49857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BC-4277-9897-443C7BE590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69871008"/>
        <c:axId val="1"/>
      </c:lineChart>
      <c:catAx>
        <c:axId val="1369871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€&quot;\ #,##0;[Red]\-&quot;€&quot;\ 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36987100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'tabelle e grafici'!$A$8</c:f>
              <c:strCache>
                <c:ptCount val="1"/>
                <c:pt idx="0">
                  <c:v>MARGINE OPERATIVO LORDO CUMULATO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'tabelle e grafici'!$B$3:$U$3</c:f>
              <c:strCache>
                <c:ptCount val="20"/>
                <c:pt idx="0">
                  <c:v>1 anno</c:v>
                </c:pt>
                <c:pt idx="1">
                  <c:v>2 anno</c:v>
                </c:pt>
                <c:pt idx="2">
                  <c:v>3 anno</c:v>
                </c:pt>
                <c:pt idx="3">
                  <c:v>4 anno</c:v>
                </c:pt>
                <c:pt idx="4">
                  <c:v>5 anno</c:v>
                </c:pt>
                <c:pt idx="5">
                  <c:v>6 anno</c:v>
                </c:pt>
                <c:pt idx="6">
                  <c:v>7 anno</c:v>
                </c:pt>
                <c:pt idx="7">
                  <c:v>8 anno</c:v>
                </c:pt>
                <c:pt idx="8">
                  <c:v>9 anno</c:v>
                </c:pt>
                <c:pt idx="9">
                  <c:v>10 anno</c:v>
                </c:pt>
                <c:pt idx="10">
                  <c:v>11 anno</c:v>
                </c:pt>
                <c:pt idx="11">
                  <c:v>12 anno</c:v>
                </c:pt>
                <c:pt idx="12">
                  <c:v>13 anno</c:v>
                </c:pt>
                <c:pt idx="13">
                  <c:v>14 anno</c:v>
                </c:pt>
                <c:pt idx="14">
                  <c:v>15 anno</c:v>
                </c:pt>
                <c:pt idx="15">
                  <c:v>16 anno</c:v>
                </c:pt>
                <c:pt idx="16">
                  <c:v>17 anno</c:v>
                </c:pt>
                <c:pt idx="17">
                  <c:v>18 anno</c:v>
                </c:pt>
                <c:pt idx="18">
                  <c:v>19 anno</c:v>
                </c:pt>
                <c:pt idx="19">
                  <c:v>20 anno</c:v>
                </c:pt>
              </c:strCache>
            </c:strRef>
          </c:cat>
          <c:val>
            <c:numRef>
              <c:f>'tabelle e grafici'!$B$8:$U$8</c:f>
              <c:numCache>
                <c:formatCode>"€"#,##0_);[Red]\("€"#,##0\)</c:formatCode>
                <c:ptCount val="20"/>
                <c:pt idx="0">
                  <c:v>28096.800000000003</c:v>
                </c:pt>
                <c:pt idx="1">
                  <c:v>69349.600000000006</c:v>
                </c:pt>
                <c:pt idx="2">
                  <c:v>103209.75999999998</c:v>
                </c:pt>
                <c:pt idx="3">
                  <c:v>151515.15199999997</c:v>
                </c:pt>
                <c:pt idx="4">
                  <c:v>213171.44063999996</c:v>
                </c:pt>
                <c:pt idx="5">
                  <c:v>272841.68385279994</c:v>
                </c:pt>
                <c:pt idx="6">
                  <c:v>336651.25352985592</c:v>
                </c:pt>
                <c:pt idx="7">
                  <c:v>404884.91620045301</c:v>
                </c:pt>
                <c:pt idx="8">
                  <c:v>471394.83372446208</c:v>
                </c:pt>
                <c:pt idx="9">
                  <c:v>540315.48399895127</c:v>
                </c:pt>
                <c:pt idx="10">
                  <c:v>611698.74167893035</c:v>
                </c:pt>
                <c:pt idx="11">
                  <c:v>660415.51891250897</c:v>
                </c:pt>
                <c:pt idx="12">
                  <c:v>709537.12609075918</c:v>
                </c:pt>
                <c:pt idx="13">
                  <c:v>760663.19261257444</c:v>
                </c:pt>
                <c:pt idx="14">
                  <c:v>813793.74766482599</c:v>
                </c:pt>
                <c:pt idx="15">
                  <c:v>862881.22101812251</c:v>
                </c:pt>
                <c:pt idx="16">
                  <c:v>914035.36383848498</c:v>
                </c:pt>
                <c:pt idx="17">
                  <c:v>967257.32951525459</c:v>
                </c:pt>
                <c:pt idx="18">
                  <c:v>1016537.6745055597</c:v>
                </c:pt>
                <c:pt idx="19">
                  <c:v>1067936.279195671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9F-4819-8B74-CCBBB71A58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69873888"/>
        <c:axId val="1"/>
      </c:barChart>
      <c:catAx>
        <c:axId val="13698738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€&quot;#,##0_);[Red]\(&quot;€&quot;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36987388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areaChart>
        <c:grouping val="stacked"/>
        <c:varyColors val="0"/>
        <c:ser>
          <c:idx val="0"/>
          <c:order val="0"/>
          <c:tx>
            <c:strRef>
              <c:f>'tabelle e grafici'!$A$9</c:f>
              <c:strCache>
                <c:ptCount val="1"/>
                <c:pt idx="0">
                  <c:v>CASH FLOW CUMULATO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strRef>
              <c:f>'tabelle e grafici'!$B$3:$U$3</c:f>
              <c:strCache>
                <c:ptCount val="20"/>
                <c:pt idx="0">
                  <c:v>1 anno</c:v>
                </c:pt>
                <c:pt idx="1">
                  <c:v>2 anno</c:v>
                </c:pt>
                <c:pt idx="2">
                  <c:v>3 anno</c:v>
                </c:pt>
                <c:pt idx="3">
                  <c:v>4 anno</c:v>
                </c:pt>
                <c:pt idx="4">
                  <c:v>5 anno</c:v>
                </c:pt>
                <c:pt idx="5">
                  <c:v>6 anno</c:v>
                </c:pt>
                <c:pt idx="6">
                  <c:v>7 anno</c:v>
                </c:pt>
                <c:pt idx="7">
                  <c:v>8 anno</c:v>
                </c:pt>
                <c:pt idx="8">
                  <c:v>9 anno</c:v>
                </c:pt>
                <c:pt idx="9">
                  <c:v>10 anno</c:v>
                </c:pt>
                <c:pt idx="10">
                  <c:v>11 anno</c:v>
                </c:pt>
                <c:pt idx="11">
                  <c:v>12 anno</c:v>
                </c:pt>
                <c:pt idx="12">
                  <c:v>13 anno</c:v>
                </c:pt>
                <c:pt idx="13">
                  <c:v>14 anno</c:v>
                </c:pt>
                <c:pt idx="14">
                  <c:v>15 anno</c:v>
                </c:pt>
                <c:pt idx="15">
                  <c:v>16 anno</c:v>
                </c:pt>
                <c:pt idx="16">
                  <c:v>17 anno</c:v>
                </c:pt>
                <c:pt idx="17">
                  <c:v>18 anno</c:v>
                </c:pt>
                <c:pt idx="18">
                  <c:v>19 anno</c:v>
                </c:pt>
                <c:pt idx="19">
                  <c:v>20 anno</c:v>
                </c:pt>
              </c:strCache>
            </c:strRef>
          </c:cat>
          <c:val>
            <c:numRef>
              <c:f>'tabelle e grafici'!$B$9:$U$9</c:f>
              <c:numCache>
                <c:formatCode>"€"#,##0_);[Red]\("€"#,##0\)</c:formatCode>
                <c:ptCount val="20"/>
                <c:pt idx="0">
                  <c:v>20107.620055845415</c:v>
                </c:pt>
                <c:pt idx="1">
                  <c:v>40492.440111690783</c:v>
                </c:pt>
                <c:pt idx="2">
                  <c:v>47927.390537906555</c:v>
                </c:pt>
                <c:pt idx="3">
                  <c:v>78409.220964122331</c:v>
                </c:pt>
                <c:pt idx="4">
                  <c:v>127713.93139033811</c:v>
                </c:pt>
                <c:pt idx="5">
                  <c:v>156544.02848322049</c:v>
                </c:pt>
                <c:pt idx="6">
                  <c:v>211405.28557610291</c:v>
                </c:pt>
                <c:pt idx="7">
                  <c:v>270382.06266898534</c:v>
                </c:pt>
                <c:pt idx="8">
                  <c:v>327600.82642853446</c:v>
                </c:pt>
                <c:pt idx="9">
                  <c:v>387120.6701880836</c:v>
                </c:pt>
                <c:pt idx="10">
                  <c:v>456925.23759549105</c:v>
                </c:pt>
                <c:pt idx="11">
                  <c:v>503914.28500289848</c:v>
                </c:pt>
                <c:pt idx="12">
                  <c:v>552252.5190769725</c:v>
                </c:pt>
                <c:pt idx="13">
                  <c:v>602459.79315104662</c:v>
                </c:pt>
                <c:pt idx="14">
                  <c:v>654486.10722512065</c:v>
                </c:pt>
                <c:pt idx="15">
                  <c:v>702603.68796586141</c:v>
                </c:pt>
                <c:pt idx="16">
                  <c:v>752670.38870660216</c:v>
                </c:pt>
                <c:pt idx="17">
                  <c:v>804610.28944734286</c:v>
                </c:pt>
                <c:pt idx="18">
                  <c:v>852732.29685475025</c:v>
                </c:pt>
                <c:pt idx="19">
                  <c:v>902954.3842621576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F8-453D-A156-447FFE5DC6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87513264"/>
        <c:axId val="1"/>
      </c:areaChart>
      <c:catAx>
        <c:axId val="12875132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€&quot;#,##0_);[Red]\(&quot;€&quot;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287513264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iNVESTIMENTO INIZIALE</a:t>
            </a:r>
            <a:r>
              <a:rPr lang="en-US" baseline="0"/>
              <a:t> E DISCOUNTED </a:t>
            </a:r>
            <a:r>
              <a:rPr lang="en-US"/>
              <a:t> CASH FLOW </a:t>
            </a:r>
            <a:r>
              <a:rPr lang="en-US" baseline="0"/>
              <a:t> CUMULATO </a:t>
            </a:r>
            <a:endParaRPr lang="en-US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'tabelle e grafici'!$A$9</c:f>
              <c:strCache>
                <c:ptCount val="1"/>
                <c:pt idx="0">
                  <c:v>CASH FLOW CUMULATO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'tabelle e grafici'!$B$3:$U$3</c:f>
              <c:strCache>
                <c:ptCount val="20"/>
                <c:pt idx="0">
                  <c:v>1 anno</c:v>
                </c:pt>
                <c:pt idx="1">
                  <c:v>2 anno</c:v>
                </c:pt>
                <c:pt idx="2">
                  <c:v>3 anno</c:v>
                </c:pt>
                <c:pt idx="3">
                  <c:v>4 anno</c:v>
                </c:pt>
                <c:pt idx="4">
                  <c:v>5 anno</c:v>
                </c:pt>
                <c:pt idx="5">
                  <c:v>6 anno</c:v>
                </c:pt>
                <c:pt idx="6">
                  <c:v>7 anno</c:v>
                </c:pt>
                <c:pt idx="7">
                  <c:v>8 anno</c:v>
                </c:pt>
                <c:pt idx="8">
                  <c:v>9 anno</c:v>
                </c:pt>
                <c:pt idx="9">
                  <c:v>10 anno</c:v>
                </c:pt>
                <c:pt idx="10">
                  <c:v>11 anno</c:v>
                </c:pt>
                <c:pt idx="11">
                  <c:v>12 anno</c:v>
                </c:pt>
                <c:pt idx="12">
                  <c:v>13 anno</c:v>
                </c:pt>
                <c:pt idx="13">
                  <c:v>14 anno</c:v>
                </c:pt>
                <c:pt idx="14">
                  <c:v>15 anno</c:v>
                </c:pt>
                <c:pt idx="15">
                  <c:v>16 anno</c:v>
                </c:pt>
                <c:pt idx="16">
                  <c:v>17 anno</c:v>
                </c:pt>
                <c:pt idx="17">
                  <c:v>18 anno</c:v>
                </c:pt>
                <c:pt idx="18">
                  <c:v>19 anno</c:v>
                </c:pt>
                <c:pt idx="19">
                  <c:v>20 anno</c:v>
                </c:pt>
              </c:strCache>
            </c:strRef>
          </c:cat>
          <c:val>
            <c:numRef>
              <c:f>'tabelle e grafici'!$B$9:$U$9</c:f>
              <c:numCache>
                <c:formatCode>"€"#,##0_);[Red]\("€"#,##0\)</c:formatCode>
                <c:ptCount val="20"/>
                <c:pt idx="0">
                  <c:v>20107.620055845415</c:v>
                </c:pt>
                <c:pt idx="1">
                  <c:v>40492.440111690783</c:v>
                </c:pt>
                <c:pt idx="2">
                  <c:v>47927.390537906555</c:v>
                </c:pt>
                <c:pt idx="3">
                  <c:v>78409.220964122331</c:v>
                </c:pt>
                <c:pt idx="4">
                  <c:v>127713.93139033811</c:v>
                </c:pt>
                <c:pt idx="5">
                  <c:v>156544.02848322049</c:v>
                </c:pt>
                <c:pt idx="6">
                  <c:v>211405.28557610291</c:v>
                </c:pt>
                <c:pt idx="7">
                  <c:v>270382.06266898534</c:v>
                </c:pt>
                <c:pt idx="8">
                  <c:v>327600.82642853446</c:v>
                </c:pt>
                <c:pt idx="9">
                  <c:v>387120.6701880836</c:v>
                </c:pt>
                <c:pt idx="10">
                  <c:v>456925.23759549105</c:v>
                </c:pt>
                <c:pt idx="11">
                  <c:v>503914.28500289848</c:v>
                </c:pt>
                <c:pt idx="12">
                  <c:v>552252.5190769725</c:v>
                </c:pt>
                <c:pt idx="13">
                  <c:v>602459.79315104662</c:v>
                </c:pt>
                <c:pt idx="14">
                  <c:v>654486.10722512065</c:v>
                </c:pt>
                <c:pt idx="15">
                  <c:v>702603.68796586141</c:v>
                </c:pt>
                <c:pt idx="16">
                  <c:v>752670.38870660216</c:v>
                </c:pt>
                <c:pt idx="17">
                  <c:v>804610.28944734286</c:v>
                </c:pt>
                <c:pt idx="18">
                  <c:v>852732.29685475025</c:v>
                </c:pt>
                <c:pt idx="19">
                  <c:v>902954.3842621576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02-40FA-AEBE-5425ECC7551F}"/>
            </c:ext>
          </c:extLst>
        </c:ser>
        <c:ser>
          <c:idx val="1"/>
          <c:order val="1"/>
          <c:tx>
            <c:strRef>
              <c:f>'tabelle e grafici'!$A$12</c:f>
              <c:strCache>
                <c:ptCount val="1"/>
                <c:pt idx="0">
                  <c:v>DISCONUTED CASH FLOW CUMULATO  ATTUALIZZATO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'tabelle e grafici'!$B$3:$U$3</c:f>
              <c:strCache>
                <c:ptCount val="20"/>
                <c:pt idx="0">
                  <c:v>1 anno</c:v>
                </c:pt>
                <c:pt idx="1">
                  <c:v>2 anno</c:v>
                </c:pt>
                <c:pt idx="2">
                  <c:v>3 anno</c:v>
                </c:pt>
                <c:pt idx="3">
                  <c:v>4 anno</c:v>
                </c:pt>
                <c:pt idx="4">
                  <c:v>5 anno</c:v>
                </c:pt>
                <c:pt idx="5">
                  <c:v>6 anno</c:v>
                </c:pt>
                <c:pt idx="6">
                  <c:v>7 anno</c:v>
                </c:pt>
                <c:pt idx="7">
                  <c:v>8 anno</c:v>
                </c:pt>
                <c:pt idx="8">
                  <c:v>9 anno</c:v>
                </c:pt>
                <c:pt idx="9">
                  <c:v>10 anno</c:v>
                </c:pt>
                <c:pt idx="10">
                  <c:v>11 anno</c:v>
                </c:pt>
                <c:pt idx="11">
                  <c:v>12 anno</c:v>
                </c:pt>
                <c:pt idx="12">
                  <c:v>13 anno</c:v>
                </c:pt>
                <c:pt idx="13">
                  <c:v>14 anno</c:v>
                </c:pt>
                <c:pt idx="14">
                  <c:v>15 anno</c:v>
                </c:pt>
                <c:pt idx="15">
                  <c:v>16 anno</c:v>
                </c:pt>
                <c:pt idx="16">
                  <c:v>17 anno</c:v>
                </c:pt>
                <c:pt idx="17">
                  <c:v>18 anno</c:v>
                </c:pt>
                <c:pt idx="18">
                  <c:v>19 anno</c:v>
                </c:pt>
                <c:pt idx="19">
                  <c:v>20 anno</c:v>
                </c:pt>
              </c:strCache>
            </c:strRef>
          </c:cat>
          <c:val>
            <c:numRef>
              <c:f>'tabelle e grafici'!$B$12:$U$12</c:f>
              <c:numCache>
                <c:formatCode>_(* #,##0_);_(* \(#,##0\);_(* "-"_);_(@_)</c:formatCode>
                <c:ptCount val="20"/>
                <c:pt idx="0">
                  <c:v>23596.446753246757</c:v>
                </c:pt>
                <c:pt idx="1">
                  <c:v>53592.298405202309</c:v>
                </c:pt>
                <c:pt idx="2">
                  <c:v>74908.995693159508</c:v>
                </c:pt>
                <c:pt idx="3">
                  <c:v>101238.39303313731</c:v>
                </c:pt>
                <c:pt idx="4">
                  <c:v>130334.91665087303</c:v>
                </c:pt>
                <c:pt idx="5">
                  <c:v>154715.00552699616</c:v>
                </c:pt>
                <c:pt idx="6">
                  <c:v>177287.83729229638</c:v>
                </c:pt>
                <c:pt idx="7">
                  <c:v>198186.38863110048</c:v>
                </c:pt>
                <c:pt idx="8">
                  <c:v>215823.30487043445</c:v>
                </c:pt>
                <c:pt idx="9">
                  <c:v>231646.67274955133</c:v>
                </c:pt>
                <c:pt idx="10">
                  <c:v>245836.15036687721</c:v>
                </c:pt>
                <c:pt idx="11">
                  <c:v>254220.358318296</c:v>
                </c:pt>
                <c:pt idx="12">
                  <c:v>261539.8141974404</c:v>
                </c:pt>
                <c:pt idx="13">
                  <c:v>268135.54181997373</c:v>
                </c:pt>
                <c:pt idx="14">
                  <c:v>274070.0812293975</c:v>
                </c:pt>
                <c:pt idx="15">
                  <c:v>278817.16042580531</c:v>
                </c:pt>
                <c:pt idx="16">
                  <c:v>283100.2543831644</c:v>
                </c:pt>
                <c:pt idx="17">
                  <c:v>286958.47634493717</c:v>
                </c:pt>
                <c:pt idx="18">
                  <c:v>290051.53321862966</c:v>
                </c:pt>
                <c:pt idx="19">
                  <c:v>292844.59994814725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B02-40FA-AEBE-5425ECC7551F}"/>
            </c:ext>
          </c:extLst>
        </c:ser>
        <c:ser>
          <c:idx val="2"/>
          <c:order val="2"/>
          <c:tx>
            <c:strRef>
              <c:f>'tabelle e grafici'!$A$15</c:f>
              <c:strCache>
                <c:ptCount val="1"/>
                <c:pt idx="0">
                  <c:v>INVESTIMENTO INIZIALE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'tabelle e grafici'!$B$3:$U$3</c:f>
              <c:strCache>
                <c:ptCount val="20"/>
                <c:pt idx="0">
                  <c:v>1 anno</c:v>
                </c:pt>
                <c:pt idx="1">
                  <c:v>2 anno</c:v>
                </c:pt>
                <c:pt idx="2">
                  <c:v>3 anno</c:v>
                </c:pt>
                <c:pt idx="3">
                  <c:v>4 anno</c:v>
                </c:pt>
                <c:pt idx="4">
                  <c:v>5 anno</c:v>
                </c:pt>
                <c:pt idx="5">
                  <c:v>6 anno</c:v>
                </c:pt>
                <c:pt idx="6">
                  <c:v>7 anno</c:v>
                </c:pt>
                <c:pt idx="7">
                  <c:v>8 anno</c:v>
                </c:pt>
                <c:pt idx="8">
                  <c:v>9 anno</c:v>
                </c:pt>
                <c:pt idx="9">
                  <c:v>10 anno</c:v>
                </c:pt>
                <c:pt idx="10">
                  <c:v>11 anno</c:v>
                </c:pt>
                <c:pt idx="11">
                  <c:v>12 anno</c:v>
                </c:pt>
                <c:pt idx="12">
                  <c:v>13 anno</c:v>
                </c:pt>
                <c:pt idx="13">
                  <c:v>14 anno</c:v>
                </c:pt>
                <c:pt idx="14">
                  <c:v>15 anno</c:v>
                </c:pt>
                <c:pt idx="15">
                  <c:v>16 anno</c:v>
                </c:pt>
                <c:pt idx="16">
                  <c:v>17 anno</c:v>
                </c:pt>
                <c:pt idx="17">
                  <c:v>18 anno</c:v>
                </c:pt>
                <c:pt idx="18">
                  <c:v>19 anno</c:v>
                </c:pt>
                <c:pt idx="19">
                  <c:v>20 anno</c:v>
                </c:pt>
              </c:strCache>
            </c:strRef>
          </c:cat>
          <c:val>
            <c:numRef>
              <c:f>'tabelle e grafici'!$B$15:$U$15</c:f>
              <c:numCache>
                <c:formatCode>_(* #,##0_);_(* \(#,##0\);_(* "-"_);_(@_)</c:formatCode>
                <c:ptCount val="20"/>
                <c:pt idx="0">
                  <c:v>100000</c:v>
                </c:pt>
                <c:pt idx="1">
                  <c:v>100000</c:v>
                </c:pt>
                <c:pt idx="2">
                  <c:v>100000</c:v>
                </c:pt>
                <c:pt idx="3">
                  <c:v>100000</c:v>
                </c:pt>
                <c:pt idx="4">
                  <c:v>100000</c:v>
                </c:pt>
                <c:pt idx="5">
                  <c:v>100000</c:v>
                </c:pt>
                <c:pt idx="6">
                  <c:v>100000</c:v>
                </c:pt>
                <c:pt idx="7">
                  <c:v>100000</c:v>
                </c:pt>
                <c:pt idx="8">
                  <c:v>100000</c:v>
                </c:pt>
                <c:pt idx="9">
                  <c:v>100000</c:v>
                </c:pt>
                <c:pt idx="10">
                  <c:v>100000</c:v>
                </c:pt>
                <c:pt idx="11">
                  <c:v>100000</c:v>
                </c:pt>
                <c:pt idx="12">
                  <c:v>100000</c:v>
                </c:pt>
                <c:pt idx="13">
                  <c:v>100000</c:v>
                </c:pt>
                <c:pt idx="14">
                  <c:v>100000</c:v>
                </c:pt>
                <c:pt idx="15">
                  <c:v>100000</c:v>
                </c:pt>
                <c:pt idx="16">
                  <c:v>100000</c:v>
                </c:pt>
                <c:pt idx="17">
                  <c:v>100000</c:v>
                </c:pt>
                <c:pt idx="18">
                  <c:v>100000</c:v>
                </c:pt>
                <c:pt idx="19">
                  <c:v>100000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B02-40FA-AEBE-5425ECC755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54569968"/>
        <c:axId val="1"/>
      </c:lineChart>
      <c:catAx>
        <c:axId val="854569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€&quot;#,##0_);[Red]\(&quot;€&quot;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5456996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INVESTIMENTI CUMULATI /DISCONTED</a:t>
            </a:r>
            <a:r>
              <a:rPr lang="it-IT" baseline="0"/>
              <a:t> CASH FLOW CUMULATO - PERIODO 20 ANNI</a:t>
            </a:r>
            <a:endParaRPr lang="it-IT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'tabelle e grafici'!$A$11</c:f>
              <c:strCache>
                <c:ptCount val="1"/>
                <c:pt idx="0">
                  <c:v>EBIDA ( CASH FLOW GES. COR.) cumulato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'tabelle e grafici'!$B$11:$U$11</c:f>
              <c:numCache>
                <c:formatCode>#,##0_ ;[Red]\-#,##0\ </c:formatCode>
                <c:ptCount val="20"/>
                <c:pt idx="0">
                  <c:v>27253.896000000004</c:v>
                </c:pt>
                <c:pt idx="1">
                  <c:v>67269.112000000008</c:v>
                </c:pt>
                <c:pt idx="2">
                  <c:v>100113.85520000001</c:v>
                </c:pt>
                <c:pt idx="3">
                  <c:v>146970.24840000001</c:v>
                </c:pt>
                <c:pt idx="4">
                  <c:v>206777.1116</c:v>
                </c:pt>
                <c:pt idx="5">
                  <c:v>264656.93400000001</c:v>
                </c:pt>
                <c:pt idx="6">
                  <c:v>326552.5564</c:v>
                </c:pt>
                <c:pt idx="7">
                  <c:v>392739.45879999996</c:v>
                </c:pt>
                <c:pt idx="8">
                  <c:v>457254.43039999995</c:v>
                </c:pt>
                <c:pt idx="9">
                  <c:v>524107.10199999996</c:v>
                </c:pt>
                <c:pt idx="10">
                  <c:v>593348.88359999994</c:v>
                </c:pt>
                <c:pt idx="11">
                  <c:v>640603.67519999994</c:v>
                </c:pt>
                <c:pt idx="12">
                  <c:v>688251.66599999997</c:v>
                </c:pt>
                <c:pt idx="13">
                  <c:v>737843.5368</c:v>
                </c:pt>
                <c:pt idx="14">
                  <c:v>789380.25760000001</c:v>
                </c:pt>
                <c:pt idx="15">
                  <c:v>836994.64760000003</c:v>
                </c:pt>
                <c:pt idx="16">
                  <c:v>886614.02760000003</c:v>
                </c:pt>
                <c:pt idx="17">
                  <c:v>938239.3676</c:v>
                </c:pt>
                <c:pt idx="18">
                  <c:v>986041.31680000003</c:v>
                </c:pt>
                <c:pt idx="19">
                  <c:v>1035897.726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5F1-4285-BBFF-255B2676977D}"/>
            </c:ext>
          </c:extLst>
        </c:ser>
        <c:ser>
          <c:idx val="1"/>
          <c:order val="1"/>
          <c:tx>
            <c:strRef>
              <c:f>'tabelle e grafici'!$A$14</c:f>
              <c:strCache>
                <c:ptCount val="1"/>
                <c:pt idx="0">
                  <c:v>INVESTIMENTI CUMULATI</c:v>
                </c:pt>
              </c:strCache>
            </c:strRef>
          </c:tx>
          <c:marker>
            <c:symbol val="none"/>
          </c:marker>
          <c:val>
            <c:numRef>
              <c:f>'tabelle e grafici'!$B$14:$U$14</c:f>
              <c:numCache>
                <c:formatCode>#,##0\ "€"</c:formatCode>
                <c:ptCount val="20"/>
                <c:pt idx="0" formatCode="_(* #,##0_);_(* \(#,##0\);_(* &quot;-&quot;_);_(@_)">
                  <c:v>100000</c:v>
                </c:pt>
                <c:pt idx="1">
                  <c:v>110000</c:v>
                </c:pt>
                <c:pt idx="2">
                  <c:v>125000</c:v>
                </c:pt>
                <c:pt idx="3">
                  <c:v>133000</c:v>
                </c:pt>
                <c:pt idx="4">
                  <c:v>136000</c:v>
                </c:pt>
                <c:pt idx="5">
                  <c:v>154000</c:v>
                </c:pt>
                <c:pt idx="6">
                  <c:v>154000</c:v>
                </c:pt>
                <c:pt idx="7">
                  <c:v>154000</c:v>
                </c:pt>
                <c:pt idx="8">
                  <c:v>154000</c:v>
                </c:pt>
                <c:pt idx="9">
                  <c:v>154000</c:v>
                </c:pt>
                <c:pt idx="10">
                  <c:v>154000</c:v>
                </c:pt>
                <c:pt idx="11">
                  <c:v>154000</c:v>
                </c:pt>
                <c:pt idx="12">
                  <c:v>154000</c:v>
                </c:pt>
                <c:pt idx="13">
                  <c:v>154000</c:v>
                </c:pt>
                <c:pt idx="14">
                  <c:v>154000</c:v>
                </c:pt>
                <c:pt idx="15">
                  <c:v>154000</c:v>
                </c:pt>
                <c:pt idx="16">
                  <c:v>154000</c:v>
                </c:pt>
                <c:pt idx="17">
                  <c:v>154000</c:v>
                </c:pt>
                <c:pt idx="18">
                  <c:v>154000</c:v>
                </c:pt>
                <c:pt idx="19">
                  <c:v>154000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5F1-4285-BBFF-255B267697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153936"/>
        <c:axId val="1"/>
      </c:lineChart>
      <c:catAx>
        <c:axId val="1245153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2451539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rgbClr val="FF0000"/>
                </a:solidFill>
              </a:rPr>
              <a:t>INVESTIMENTI CUMULATI</a:t>
            </a:r>
            <a:r>
              <a:rPr lang="en-US" sz="1200" b="1" baseline="0">
                <a:solidFill>
                  <a:srgbClr val="FF0000"/>
                </a:solidFill>
              </a:rPr>
              <a:t> / CASH FLOW CUMULATO AL VAL. NOM / DISCOUNTED CASH FLOW CUMULATO</a:t>
            </a:r>
            <a:endParaRPr lang="en-US" sz="1200" b="1">
              <a:solidFill>
                <a:srgbClr val="FF0000"/>
              </a:solidFill>
            </a:endParaRP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'tabelle e grafici'!$A$12</c:f>
              <c:strCache>
                <c:ptCount val="1"/>
                <c:pt idx="0">
                  <c:v>DISCONUTED CASH FLOW CUMULATO  ATTUALIZZATO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'tabelle e grafici'!$B$12:$U$12</c:f>
              <c:numCache>
                <c:formatCode>_(* #,##0_);_(* \(#,##0\);_(* "-"_);_(@_)</c:formatCode>
                <c:ptCount val="20"/>
                <c:pt idx="0">
                  <c:v>23596.446753246757</c:v>
                </c:pt>
                <c:pt idx="1">
                  <c:v>53592.298405202309</c:v>
                </c:pt>
                <c:pt idx="2">
                  <c:v>74908.995693159508</c:v>
                </c:pt>
                <c:pt idx="3">
                  <c:v>101238.39303313731</c:v>
                </c:pt>
                <c:pt idx="4">
                  <c:v>130334.91665087303</c:v>
                </c:pt>
                <c:pt idx="5">
                  <c:v>154715.00552699616</c:v>
                </c:pt>
                <c:pt idx="6">
                  <c:v>177287.83729229638</c:v>
                </c:pt>
                <c:pt idx="7">
                  <c:v>198186.38863110048</c:v>
                </c:pt>
                <c:pt idx="8">
                  <c:v>215823.30487043445</c:v>
                </c:pt>
                <c:pt idx="9">
                  <c:v>231646.67274955133</c:v>
                </c:pt>
                <c:pt idx="10">
                  <c:v>245836.15036687721</c:v>
                </c:pt>
                <c:pt idx="11">
                  <c:v>254220.358318296</c:v>
                </c:pt>
                <c:pt idx="12">
                  <c:v>261539.8141974404</c:v>
                </c:pt>
                <c:pt idx="13">
                  <c:v>268135.54181997373</c:v>
                </c:pt>
                <c:pt idx="14">
                  <c:v>274070.0812293975</c:v>
                </c:pt>
                <c:pt idx="15">
                  <c:v>278817.16042580531</c:v>
                </c:pt>
                <c:pt idx="16">
                  <c:v>283100.2543831644</c:v>
                </c:pt>
                <c:pt idx="17">
                  <c:v>286958.47634493717</c:v>
                </c:pt>
                <c:pt idx="18">
                  <c:v>290051.53321862966</c:v>
                </c:pt>
                <c:pt idx="19">
                  <c:v>292844.59994814725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83-4AF5-BCAA-60B2D66EEEC4}"/>
            </c:ext>
          </c:extLst>
        </c:ser>
        <c:ser>
          <c:idx val="1"/>
          <c:order val="1"/>
          <c:tx>
            <c:strRef>
              <c:f>'tabelle e grafici'!$A$14</c:f>
              <c:strCache>
                <c:ptCount val="1"/>
                <c:pt idx="0">
                  <c:v>INVESTIMENTI CUMULATI</c:v>
                </c:pt>
              </c:strCache>
            </c:strRef>
          </c:tx>
          <c:invertIfNegative val="0"/>
          <c:val>
            <c:numRef>
              <c:f>'tabelle e grafici'!$B$14:$U$14</c:f>
              <c:numCache>
                <c:formatCode>#,##0\ "€"</c:formatCode>
                <c:ptCount val="20"/>
                <c:pt idx="0" formatCode="_(* #,##0_);_(* \(#,##0\);_(* &quot;-&quot;_);_(@_)">
                  <c:v>100000</c:v>
                </c:pt>
                <c:pt idx="1">
                  <c:v>110000</c:v>
                </c:pt>
                <c:pt idx="2">
                  <c:v>125000</c:v>
                </c:pt>
                <c:pt idx="3">
                  <c:v>133000</c:v>
                </c:pt>
                <c:pt idx="4">
                  <c:v>136000</c:v>
                </c:pt>
                <c:pt idx="5">
                  <c:v>154000</c:v>
                </c:pt>
                <c:pt idx="6">
                  <c:v>154000</c:v>
                </c:pt>
                <c:pt idx="7">
                  <c:v>154000</c:v>
                </c:pt>
                <c:pt idx="8">
                  <c:v>154000</c:v>
                </c:pt>
                <c:pt idx="9">
                  <c:v>154000</c:v>
                </c:pt>
                <c:pt idx="10">
                  <c:v>154000</c:v>
                </c:pt>
                <c:pt idx="11">
                  <c:v>154000</c:v>
                </c:pt>
                <c:pt idx="12">
                  <c:v>154000</c:v>
                </c:pt>
                <c:pt idx="13">
                  <c:v>154000</c:v>
                </c:pt>
                <c:pt idx="14">
                  <c:v>154000</c:v>
                </c:pt>
                <c:pt idx="15">
                  <c:v>154000</c:v>
                </c:pt>
                <c:pt idx="16">
                  <c:v>154000</c:v>
                </c:pt>
                <c:pt idx="17">
                  <c:v>154000</c:v>
                </c:pt>
                <c:pt idx="18">
                  <c:v>154000</c:v>
                </c:pt>
                <c:pt idx="19">
                  <c:v>154000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083-4AF5-BCAA-60B2D66EEE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02660288"/>
        <c:axId val="1"/>
      </c:barChart>
      <c:catAx>
        <c:axId val="1102660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10266028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RICAVI E PUNTO</a:t>
            </a:r>
            <a:r>
              <a:rPr lang="it-IT" baseline="0"/>
              <a:t> DI EQUILIBRIO B.E.P.</a:t>
            </a:r>
            <a:endParaRPr lang="it-IT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'tabelle e grafici'!$A$222</c:f>
              <c:strCache>
                <c:ptCount val="1"/>
                <c:pt idx="0">
                  <c:v>RICAVI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'tabelle e grafici'!$B$221:$U$221</c:f>
              <c:strCache>
                <c:ptCount val="20"/>
                <c:pt idx="0">
                  <c:v>1 anno</c:v>
                </c:pt>
                <c:pt idx="1">
                  <c:v>2 anno</c:v>
                </c:pt>
                <c:pt idx="2">
                  <c:v>3 anno</c:v>
                </c:pt>
                <c:pt idx="3">
                  <c:v>4 anno</c:v>
                </c:pt>
                <c:pt idx="4">
                  <c:v>5 anno</c:v>
                </c:pt>
                <c:pt idx="5">
                  <c:v>6 anno</c:v>
                </c:pt>
                <c:pt idx="6">
                  <c:v>7 anno</c:v>
                </c:pt>
                <c:pt idx="7">
                  <c:v>8 anno</c:v>
                </c:pt>
                <c:pt idx="8">
                  <c:v>9 anno</c:v>
                </c:pt>
                <c:pt idx="9">
                  <c:v>10 anno</c:v>
                </c:pt>
                <c:pt idx="10">
                  <c:v>11 anno</c:v>
                </c:pt>
                <c:pt idx="11">
                  <c:v>12 anno</c:v>
                </c:pt>
                <c:pt idx="12">
                  <c:v>13 anno</c:v>
                </c:pt>
                <c:pt idx="13">
                  <c:v>14 anno</c:v>
                </c:pt>
                <c:pt idx="14">
                  <c:v>15 anno</c:v>
                </c:pt>
                <c:pt idx="15">
                  <c:v>16 anno</c:v>
                </c:pt>
                <c:pt idx="16">
                  <c:v>17 anno</c:v>
                </c:pt>
                <c:pt idx="17">
                  <c:v>18 anno</c:v>
                </c:pt>
                <c:pt idx="18">
                  <c:v>19 anno</c:v>
                </c:pt>
                <c:pt idx="19">
                  <c:v>20 anno</c:v>
                </c:pt>
              </c:strCache>
            </c:strRef>
          </c:cat>
          <c:val>
            <c:numRef>
              <c:f>'tabelle e grafici'!$B$222:$U$222</c:f>
              <c:numCache>
                <c:formatCode>"€"#,##0_);[Red]\("€"#,##0\)</c:formatCode>
                <c:ptCount val="20"/>
                <c:pt idx="0">
                  <c:v>244380</c:v>
                </c:pt>
                <c:pt idx="1">
                  <c:v>266975</c:v>
                </c:pt>
                <c:pt idx="2">
                  <c:v>290706.59999999998</c:v>
                </c:pt>
                <c:pt idx="3">
                  <c:v>315675.83199999999</c:v>
                </c:pt>
                <c:pt idx="4">
                  <c:v>338621.72863999999</c:v>
                </c:pt>
                <c:pt idx="5">
                  <c:v>345775.32321280002</c:v>
                </c:pt>
                <c:pt idx="6">
                  <c:v>353040.649677056</c:v>
                </c:pt>
                <c:pt idx="7">
                  <c:v>360724.7426705971</c:v>
                </c:pt>
                <c:pt idx="8">
                  <c:v>368328.63752400904</c:v>
                </c:pt>
                <c:pt idx="9">
                  <c:v>372448.37027448922</c:v>
                </c:pt>
                <c:pt idx="10">
                  <c:v>376661.97767997906</c:v>
                </c:pt>
                <c:pt idx="11">
                  <c:v>337915.49723357859</c:v>
                </c:pt>
                <c:pt idx="12">
                  <c:v>348966.9671782502</c:v>
                </c:pt>
                <c:pt idx="13">
                  <c:v>352531.42652181518</c:v>
                </c:pt>
                <c:pt idx="14">
                  <c:v>356097.91505225148</c:v>
                </c:pt>
                <c:pt idx="15">
                  <c:v>359681.47335329652</c:v>
                </c:pt>
                <c:pt idx="16">
                  <c:v>363353.14282036247</c:v>
                </c:pt>
                <c:pt idx="17">
                  <c:v>367027.96567676967</c:v>
                </c:pt>
                <c:pt idx="18">
                  <c:v>370790.98499030509</c:v>
                </c:pt>
                <c:pt idx="19">
                  <c:v>374556.2446901112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C5-4CA6-818D-B02ECF33E258}"/>
            </c:ext>
          </c:extLst>
        </c:ser>
        <c:ser>
          <c:idx val="1"/>
          <c:order val="1"/>
          <c:tx>
            <c:strRef>
              <c:f>'tabelle e grafici'!$A$227</c:f>
              <c:strCache>
                <c:ptCount val="1"/>
                <c:pt idx="0">
                  <c:v>FATTURATO DI EQUILIBRIO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'tabelle e grafici'!$B$221:$U$221</c:f>
              <c:strCache>
                <c:ptCount val="20"/>
                <c:pt idx="0">
                  <c:v>1 anno</c:v>
                </c:pt>
                <c:pt idx="1">
                  <c:v>2 anno</c:v>
                </c:pt>
                <c:pt idx="2">
                  <c:v>3 anno</c:v>
                </c:pt>
                <c:pt idx="3">
                  <c:v>4 anno</c:v>
                </c:pt>
                <c:pt idx="4">
                  <c:v>5 anno</c:v>
                </c:pt>
                <c:pt idx="5">
                  <c:v>6 anno</c:v>
                </c:pt>
                <c:pt idx="6">
                  <c:v>7 anno</c:v>
                </c:pt>
                <c:pt idx="7">
                  <c:v>8 anno</c:v>
                </c:pt>
                <c:pt idx="8">
                  <c:v>9 anno</c:v>
                </c:pt>
                <c:pt idx="9">
                  <c:v>10 anno</c:v>
                </c:pt>
                <c:pt idx="10">
                  <c:v>11 anno</c:v>
                </c:pt>
                <c:pt idx="11">
                  <c:v>12 anno</c:v>
                </c:pt>
                <c:pt idx="12">
                  <c:v>13 anno</c:v>
                </c:pt>
                <c:pt idx="13">
                  <c:v>14 anno</c:v>
                </c:pt>
                <c:pt idx="14">
                  <c:v>15 anno</c:v>
                </c:pt>
                <c:pt idx="15">
                  <c:v>16 anno</c:v>
                </c:pt>
                <c:pt idx="16">
                  <c:v>17 anno</c:v>
                </c:pt>
                <c:pt idx="17">
                  <c:v>18 anno</c:v>
                </c:pt>
                <c:pt idx="18">
                  <c:v>19 anno</c:v>
                </c:pt>
                <c:pt idx="19">
                  <c:v>20 anno</c:v>
                </c:pt>
              </c:strCache>
            </c:strRef>
          </c:cat>
          <c:val>
            <c:numRef>
              <c:f>'tabelle e grafici'!$B$227:$U$227</c:f>
              <c:numCache>
                <c:formatCode>"€"#,##0_);[Red]\("€"#,##0\)</c:formatCode>
                <c:ptCount val="20"/>
                <c:pt idx="0">
                  <c:v>223050</c:v>
                </c:pt>
                <c:pt idx="1">
                  <c:v>229403</c:v>
                </c:pt>
                <c:pt idx="2">
                  <c:v>267544</c:v>
                </c:pt>
                <c:pt idx="3">
                  <c:v>273817</c:v>
                </c:pt>
                <c:pt idx="4">
                  <c:v>278168</c:v>
                </c:pt>
                <c:pt idx="5">
                  <c:v>287742</c:v>
                </c:pt>
                <c:pt idx="6">
                  <c:v>285831</c:v>
                </c:pt>
                <c:pt idx="7">
                  <c:v>282504</c:v>
                </c:pt>
                <c:pt idx="8">
                  <c:v>289812</c:v>
                </c:pt>
                <c:pt idx="9">
                  <c:v>289157</c:v>
                </c:pt>
                <c:pt idx="10">
                  <c:v>275128</c:v>
                </c:pt>
                <c:pt idx="11">
                  <c:v>273917</c:v>
                </c:pt>
                <c:pt idx="12">
                  <c:v>284390</c:v>
                </c:pt>
                <c:pt idx="13">
                  <c:v>285114</c:v>
                </c:pt>
                <c:pt idx="14">
                  <c:v>285841</c:v>
                </c:pt>
                <c:pt idx="15">
                  <c:v>290058</c:v>
                </c:pt>
                <c:pt idx="16">
                  <c:v>290803</c:v>
                </c:pt>
                <c:pt idx="17">
                  <c:v>291550</c:v>
                </c:pt>
                <c:pt idx="18">
                  <c:v>300907</c:v>
                </c:pt>
                <c:pt idx="19">
                  <c:v>301673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5C5-4CA6-818D-B02ECF33E2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02661728"/>
        <c:axId val="1"/>
      </c:barChart>
      <c:catAx>
        <c:axId val="1102661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€&quot;#,##0_);[Red]\(&quot;€&quot;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10266172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1285875</xdr:colOff>
      <xdr:row>110</xdr:row>
      <xdr:rowOff>38100</xdr:rowOff>
    </xdr:from>
    <xdr:to>
      <xdr:col>0</xdr:col>
      <xdr:colOff>1285875</xdr:colOff>
      <xdr:row>112</xdr:row>
      <xdr:rowOff>66675</xdr:rowOff>
    </xdr:to>
    <xdr:cxnSp macro="">
      <xdr:nvCxnSpPr>
        <xdr:cNvPr id="2" name="Connettore 2 2">
          <a:extLst>
            <a:ext uri="{FF2B5EF4-FFF2-40B4-BE49-F238E27FC236}">
              <a16:creationId xmlns:a16="http://schemas.microsoft.com/office/drawing/2014/main" id="{69B4C737-E26E-4B88-95E2-820200299DED}"/>
            </a:ext>
          </a:extLst>
        </xdr:cNvPr>
        <xdr:cNvCxnSpPr>
          <a:cxnSpLocks noChangeShapeType="1"/>
        </xdr:cNvCxnSpPr>
      </xdr:nvCxnSpPr>
      <xdr:spPr bwMode="auto">
        <a:xfrm flipH="1">
          <a:off x="1285875" y="17878425"/>
          <a:ext cx="0" cy="352425"/>
        </a:xfrm>
        <a:prstGeom prst="straightConnector1">
          <a:avLst/>
        </a:prstGeom>
        <a:noFill/>
        <a:ln w="9360" cap="flat">
          <a:solidFill>
            <a:srgbClr val="4A7EBB"/>
          </a:solidFill>
          <a:miter lim="800000"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0</xdr:col>
      <xdr:colOff>1962150</xdr:colOff>
      <xdr:row>111</xdr:row>
      <xdr:rowOff>133350</xdr:rowOff>
    </xdr:from>
    <xdr:to>
      <xdr:col>0</xdr:col>
      <xdr:colOff>1981200</xdr:colOff>
      <xdr:row>113</xdr:row>
      <xdr:rowOff>47625</xdr:rowOff>
    </xdr:to>
    <xdr:cxnSp macro="">
      <xdr:nvCxnSpPr>
        <xdr:cNvPr id="3" name="Connettore 2 4">
          <a:extLst>
            <a:ext uri="{FF2B5EF4-FFF2-40B4-BE49-F238E27FC236}">
              <a16:creationId xmlns:a16="http://schemas.microsoft.com/office/drawing/2014/main" id="{994DD5BA-DB73-4AB1-9669-02F0B91803AC}"/>
            </a:ext>
          </a:extLst>
        </xdr:cNvPr>
        <xdr:cNvCxnSpPr>
          <a:cxnSpLocks noChangeShapeType="1"/>
        </xdr:cNvCxnSpPr>
      </xdr:nvCxnSpPr>
      <xdr:spPr bwMode="auto">
        <a:xfrm flipH="1">
          <a:off x="1962150" y="18135600"/>
          <a:ext cx="19050" cy="238125"/>
        </a:xfrm>
        <a:prstGeom prst="straightConnector1">
          <a:avLst/>
        </a:prstGeom>
        <a:noFill/>
        <a:ln w="9360" cap="flat">
          <a:solidFill>
            <a:srgbClr val="4A7EBB"/>
          </a:solidFill>
          <a:miter lim="800000"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213360</xdr:colOff>
      <xdr:row>0</xdr:row>
      <xdr:rowOff>0</xdr:rowOff>
    </xdr:from>
    <xdr:to>
      <xdr:col>0</xdr:col>
      <xdr:colOff>409816</xdr:colOff>
      <xdr:row>0</xdr:row>
      <xdr:rowOff>0</xdr:rowOff>
    </xdr:to>
    <xdr:sp macro="" textlink="">
      <xdr:nvSpPr>
        <xdr:cNvPr id="1025" name="AutoShape 1">
          <a:extLst>
            <a:ext uri="{FF2B5EF4-FFF2-40B4-BE49-F238E27FC236}">
              <a16:creationId xmlns:a16="http://schemas.microsoft.com/office/drawing/2014/main" id="{1C47AC83-8F2E-9A01-18EC-3A8111826111}"/>
            </a:ext>
          </a:extLst>
        </xdr:cNvPr>
        <xdr:cNvSpPr>
          <a:spLocks noChangeArrowheads="1"/>
        </xdr:cNvSpPr>
      </xdr:nvSpPr>
      <xdr:spPr bwMode="auto">
        <a:xfrm>
          <a:off x="220980" y="0"/>
          <a:ext cx="213360" cy="0"/>
        </a:xfrm>
        <a:prstGeom prst="star5">
          <a:avLst/>
        </a:prstGeom>
        <a:solidFill>
          <a:srgbClr val="FFFF00"/>
        </a:solidFill>
        <a:ln w="9525">
          <a:solidFill>
            <a:srgbClr val="0000FF"/>
          </a:solidFill>
          <a:miter lim="800000"/>
          <a:headEnd/>
          <a:tailEnd/>
        </a:ln>
      </xdr:spPr>
      <xdr:txBody>
        <a:bodyPr/>
        <a:lstStyle/>
        <a:p>
          <a:endParaRPr lang="it-IT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144780</xdr:colOff>
      <xdr:row>0</xdr:row>
      <xdr:rowOff>0</xdr:rowOff>
    </xdr:to>
    <xdr:sp macro="" textlink="">
      <xdr:nvSpPr>
        <xdr:cNvPr id="1026" name="AutoShape 2">
          <a:extLst>
            <a:ext uri="{FF2B5EF4-FFF2-40B4-BE49-F238E27FC236}">
              <a16:creationId xmlns:a16="http://schemas.microsoft.com/office/drawing/2014/main" id="{C8F91D43-CFD0-4030-C8C0-5FEC10AFDD0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44780" cy="0"/>
        </a:xfrm>
        <a:prstGeom prst="star5">
          <a:avLst/>
        </a:prstGeom>
        <a:solidFill>
          <a:srgbClr val="FFFF00"/>
        </a:solidFill>
        <a:ln w="9525">
          <a:solidFill>
            <a:srgbClr val="0000FF"/>
          </a:solidFill>
          <a:miter lim="800000"/>
          <a:headEnd/>
          <a:tailEnd/>
        </a:ln>
      </xdr:spPr>
      <xdr:txBody>
        <a:bodyPr/>
        <a:lstStyle/>
        <a:p>
          <a:endParaRPr lang="it-IT"/>
        </a:p>
      </xdr:txBody>
    </xdr:sp>
    <xdr:clientData/>
  </xdr:twoCellAnchor>
  <xdr:twoCellAnchor>
    <xdr:from>
      <xdr:col>0</xdr:col>
      <xdr:colOff>22860</xdr:colOff>
      <xdr:row>0</xdr:row>
      <xdr:rowOff>0</xdr:rowOff>
    </xdr:from>
    <xdr:to>
      <xdr:col>1</xdr:col>
      <xdr:colOff>379709</xdr:colOff>
      <xdr:row>0</xdr:row>
      <xdr:rowOff>0</xdr:rowOff>
    </xdr:to>
    <xdr:sp macro="" textlink="">
      <xdr:nvSpPr>
        <xdr:cNvPr id="1027" name="WordArt 3">
          <a:extLst>
            <a:ext uri="{FF2B5EF4-FFF2-40B4-BE49-F238E27FC236}">
              <a16:creationId xmlns:a16="http://schemas.microsoft.com/office/drawing/2014/main" id="{BA3A4320-3AC3-96BF-F379-6912581B534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860" y="0"/>
          <a:ext cx="82296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45134"/>
            </a:avLst>
          </a:prstTxWarp>
        </a:bodyPr>
        <a:lstStyle/>
        <a:p>
          <a:pPr algn="ctr" rtl="0"/>
          <a:r>
            <a:rPr lang="it-IT" sz="2000" kern="10" spc="0">
              <a:ln w="9525">
                <a:solidFill>
                  <a:srgbClr val="0000FF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C0C0C0"/>
                </a:outerShdw>
              </a:effectLst>
              <a:latin typeface="Times New Roman"/>
              <a:cs typeface="Times New Roman"/>
            </a:rPr>
            <a:t>EuroProject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60960</xdr:colOff>
      <xdr:row>0</xdr:row>
      <xdr:rowOff>0</xdr:rowOff>
    </xdr:to>
    <xdr:sp macro="" textlink="">
      <xdr:nvSpPr>
        <xdr:cNvPr id="1028" name="AutoShape 4">
          <a:extLst>
            <a:ext uri="{FF2B5EF4-FFF2-40B4-BE49-F238E27FC236}">
              <a16:creationId xmlns:a16="http://schemas.microsoft.com/office/drawing/2014/main" id="{B4C19C3D-95B9-28BE-CDF4-FB084B999C5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60960" cy="0"/>
        </a:xfrm>
        <a:prstGeom prst="star5">
          <a:avLst/>
        </a:prstGeom>
        <a:solidFill>
          <a:srgbClr val="FFFF00"/>
        </a:solidFill>
        <a:ln w="9525">
          <a:solidFill>
            <a:srgbClr val="0000FF"/>
          </a:solidFill>
          <a:miter lim="800000"/>
          <a:headEnd/>
          <a:tailEnd/>
        </a:ln>
      </xdr:spPr>
      <xdr:txBody>
        <a:bodyPr/>
        <a:lstStyle/>
        <a:p>
          <a:endParaRPr lang="it-IT"/>
        </a:p>
      </xdr:txBody>
    </xdr:sp>
    <xdr:clientData/>
  </xdr:twoCellAnchor>
  <xdr:twoCellAnchor>
    <xdr:from>
      <xdr:col>3</xdr:col>
      <xdr:colOff>146685</xdr:colOff>
      <xdr:row>0</xdr:row>
      <xdr:rowOff>0</xdr:rowOff>
    </xdr:from>
    <xdr:to>
      <xdr:col>7</xdr:col>
      <xdr:colOff>588621</xdr:colOff>
      <xdr:row>0</xdr:row>
      <xdr:rowOff>0</xdr:rowOff>
    </xdr:to>
    <xdr:sp macro="" textlink="">
      <xdr:nvSpPr>
        <xdr:cNvPr id="1029" name="Text Box 5">
          <a:extLst>
            <a:ext uri="{FF2B5EF4-FFF2-40B4-BE49-F238E27FC236}">
              <a16:creationId xmlns:a16="http://schemas.microsoft.com/office/drawing/2014/main" id="{EA26B486-020E-1AB2-5D5B-C6C1C3150832}"/>
            </a:ext>
          </a:extLst>
        </xdr:cNvPr>
        <xdr:cNvSpPr txBox="1">
          <a:spLocks noChangeArrowheads="1"/>
        </xdr:cNvSpPr>
      </xdr:nvSpPr>
      <xdr:spPr bwMode="auto">
        <a:xfrm>
          <a:off x="1996440" y="0"/>
          <a:ext cx="3848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it-IT" sz="1000" b="1" i="1" u="none" strike="noStrike" baseline="0">
              <a:solidFill>
                <a:srgbClr val="0000FF"/>
              </a:solidFill>
              <a:latin typeface="Times New Roman"/>
              <a:cs typeface="Times New Roman"/>
            </a:rPr>
            <a:t>                                            </a:t>
          </a:r>
          <a:r>
            <a:rPr lang="it-IT" sz="1300" b="1" i="1" u="none" strike="noStrike" baseline="0">
              <a:solidFill>
                <a:srgbClr val="0000FF"/>
              </a:solidFill>
              <a:latin typeface="Times New Roman"/>
              <a:cs typeface="Times New Roman"/>
            </a:rPr>
            <a:t>Consulenza Agevolazioni Aziendali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213360</xdr:colOff>
      <xdr:row>0</xdr:row>
      <xdr:rowOff>0</xdr:rowOff>
    </xdr:from>
    <xdr:to>
      <xdr:col>0</xdr:col>
      <xdr:colOff>409816</xdr:colOff>
      <xdr:row>0</xdr:row>
      <xdr:rowOff>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E93C3475-784A-E7B4-DCFB-9924FADFECB6}"/>
            </a:ext>
          </a:extLst>
        </xdr:cNvPr>
        <xdr:cNvSpPr>
          <a:spLocks noChangeArrowheads="1"/>
        </xdr:cNvSpPr>
      </xdr:nvSpPr>
      <xdr:spPr bwMode="auto">
        <a:xfrm>
          <a:off x="219075" y="0"/>
          <a:ext cx="211102" cy="0"/>
        </a:xfrm>
        <a:prstGeom prst="star5">
          <a:avLst/>
        </a:prstGeom>
        <a:solidFill>
          <a:srgbClr val="FFFF00"/>
        </a:solidFill>
        <a:ln w="9525">
          <a:solidFill>
            <a:srgbClr val="0000FF"/>
          </a:solidFill>
          <a:miter lim="800000"/>
          <a:headEnd/>
          <a:tailEnd/>
        </a:ln>
      </xdr:spPr>
      <xdr:txBody>
        <a:bodyPr/>
        <a:lstStyle/>
        <a:p>
          <a:endParaRPr lang="it-IT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144780</xdr:colOff>
      <xdr:row>0</xdr:row>
      <xdr:rowOff>0</xdr:rowOff>
    </xdr:to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B7322F4A-D1B2-45BB-A8BA-7EC7DDC5CCA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44780" cy="0"/>
        </a:xfrm>
        <a:prstGeom prst="star5">
          <a:avLst/>
        </a:prstGeom>
        <a:solidFill>
          <a:srgbClr val="FFFF00"/>
        </a:solidFill>
        <a:ln w="9525">
          <a:solidFill>
            <a:srgbClr val="0000FF"/>
          </a:solidFill>
          <a:miter lim="800000"/>
          <a:headEnd/>
          <a:tailEnd/>
        </a:ln>
      </xdr:spPr>
      <xdr:txBody>
        <a:bodyPr/>
        <a:lstStyle/>
        <a:p>
          <a:endParaRPr lang="it-IT"/>
        </a:p>
      </xdr:txBody>
    </xdr:sp>
    <xdr:clientData/>
  </xdr:twoCellAnchor>
  <xdr:twoCellAnchor>
    <xdr:from>
      <xdr:col>0</xdr:col>
      <xdr:colOff>22860</xdr:colOff>
      <xdr:row>0</xdr:row>
      <xdr:rowOff>0</xdr:rowOff>
    </xdr:from>
    <xdr:to>
      <xdr:col>1</xdr:col>
      <xdr:colOff>379709</xdr:colOff>
      <xdr:row>0</xdr:row>
      <xdr:rowOff>0</xdr:rowOff>
    </xdr:to>
    <xdr:sp macro="" textlink="">
      <xdr:nvSpPr>
        <xdr:cNvPr id="4" name="WordArt 3">
          <a:extLst>
            <a:ext uri="{FF2B5EF4-FFF2-40B4-BE49-F238E27FC236}">
              <a16:creationId xmlns:a16="http://schemas.microsoft.com/office/drawing/2014/main" id="{96286CB9-5658-E429-B59B-36039EB9BD8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860" y="0"/>
          <a:ext cx="819261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45134"/>
            </a:avLst>
          </a:prstTxWarp>
        </a:bodyPr>
        <a:lstStyle/>
        <a:p>
          <a:pPr algn="ctr" rtl="0"/>
          <a:r>
            <a:rPr lang="it-IT" sz="2000" kern="10" spc="0">
              <a:ln w="9525">
                <a:solidFill>
                  <a:srgbClr val="0000FF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C0C0C0"/>
                </a:outerShdw>
              </a:effectLst>
              <a:latin typeface="Times New Roman"/>
              <a:cs typeface="Times New Roman"/>
            </a:rPr>
            <a:t>EuroProject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60960</xdr:colOff>
      <xdr:row>0</xdr:row>
      <xdr:rowOff>0</xdr:rowOff>
    </xdr:to>
    <xdr:sp macro="" textlink="">
      <xdr:nvSpPr>
        <xdr:cNvPr id="5" name="AutoShape 4">
          <a:extLst>
            <a:ext uri="{FF2B5EF4-FFF2-40B4-BE49-F238E27FC236}">
              <a16:creationId xmlns:a16="http://schemas.microsoft.com/office/drawing/2014/main" id="{37BA7641-BBE2-6EEA-BCE4-EC322E2DBF7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60960" cy="0"/>
        </a:xfrm>
        <a:prstGeom prst="star5">
          <a:avLst/>
        </a:prstGeom>
        <a:solidFill>
          <a:srgbClr val="FFFF00"/>
        </a:solidFill>
        <a:ln w="9525">
          <a:solidFill>
            <a:srgbClr val="0000FF"/>
          </a:solidFill>
          <a:miter lim="800000"/>
          <a:headEnd/>
          <a:tailEnd/>
        </a:ln>
      </xdr:spPr>
      <xdr:txBody>
        <a:bodyPr/>
        <a:lstStyle/>
        <a:p>
          <a:endParaRPr lang="it-IT"/>
        </a:p>
      </xdr:txBody>
    </xdr:sp>
    <xdr:clientData/>
  </xdr:twoCellAnchor>
  <xdr:twoCellAnchor>
    <xdr:from>
      <xdr:col>3</xdr:col>
      <xdr:colOff>146685</xdr:colOff>
      <xdr:row>0</xdr:row>
      <xdr:rowOff>0</xdr:rowOff>
    </xdr:from>
    <xdr:to>
      <xdr:col>7</xdr:col>
      <xdr:colOff>588621</xdr:colOff>
      <xdr:row>0</xdr:row>
      <xdr:rowOff>0</xdr:rowOff>
    </xdr:to>
    <xdr:sp macro="" textlink="">
      <xdr:nvSpPr>
        <xdr:cNvPr id="6" name="Text Box 5">
          <a:extLst>
            <a:ext uri="{FF2B5EF4-FFF2-40B4-BE49-F238E27FC236}">
              <a16:creationId xmlns:a16="http://schemas.microsoft.com/office/drawing/2014/main" id="{880F328A-6E49-205D-44FE-2FAB6CE27AE5}"/>
            </a:ext>
          </a:extLst>
        </xdr:cNvPr>
        <xdr:cNvSpPr txBox="1">
          <a:spLocks noChangeArrowheads="1"/>
        </xdr:cNvSpPr>
      </xdr:nvSpPr>
      <xdr:spPr bwMode="auto">
        <a:xfrm>
          <a:off x="1994535" y="0"/>
          <a:ext cx="385573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it-IT" sz="1000" b="1" i="1" u="none" strike="noStrike" baseline="0">
              <a:solidFill>
                <a:srgbClr val="0000FF"/>
              </a:solidFill>
              <a:latin typeface="Times New Roman"/>
              <a:cs typeface="Times New Roman"/>
            </a:rPr>
            <a:t>                                            </a:t>
          </a:r>
          <a:r>
            <a:rPr lang="it-IT" sz="1300" b="1" i="1" u="none" strike="noStrike" baseline="0">
              <a:solidFill>
                <a:srgbClr val="0000FF"/>
              </a:solidFill>
              <a:latin typeface="Times New Roman"/>
              <a:cs typeface="Times New Roman"/>
            </a:rPr>
            <a:t>Consulenza Agevolazioni Aziendali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28575</xdr:colOff>
      <xdr:row>16</xdr:row>
      <xdr:rowOff>47625</xdr:rowOff>
    </xdr:from>
    <xdr:to>
      <xdr:col>16</xdr:col>
      <xdr:colOff>533400</xdr:colOff>
      <xdr:row>43</xdr:row>
      <xdr:rowOff>95250</xdr:rowOff>
    </xdr:to>
    <xdr:graphicFrame macro="">
      <xdr:nvGraphicFramePr>
        <xdr:cNvPr id="7276" name="Grafico 1">
          <a:extLst>
            <a:ext uri="{FF2B5EF4-FFF2-40B4-BE49-F238E27FC236}">
              <a16:creationId xmlns:a16="http://schemas.microsoft.com/office/drawing/2014/main" id="{8153E6FF-53ED-DF33-C8C4-211E442CDF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66675</xdr:colOff>
      <xdr:row>44</xdr:row>
      <xdr:rowOff>28575</xdr:rowOff>
    </xdr:from>
    <xdr:to>
      <xdr:col>16</xdr:col>
      <xdr:colOff>333375</xdr:colOff>
      <xdr:row>61</xdr:row>
      <xdr:rowOff>19050</xdr:rowOff>
    </xdr:to>
    <xdr:graphicFrame macro="">
      <xdr:nvGraphicFramePr>
        <xdr:cNvPr id="7277" name="Grafico 2">
          <a:extLst>
            <a:ext uri="{FF2B5EF4-FFF2-40B4-BE49-F238E27FC236}">
              <a16:creationId xmlns:a16="http://schemas.microsoft.com/office/drawing/2014/main" id="{C30FFE0B-8C89-ACBC-CA02-9A633B2C88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600075</xdr:colOff>
      <xdr:row>62</xdr:row>
      <xdr:rowOff>19050</xdr:rowOff>
    </xdr:from>
    <xdr:to>
      <xdr:col>15</xdr:col>
      <xdr:colOff>581025</xdr:colOff>
      <xdr:row>79</xdr:row>
      <xdr:rowOff>9525</xdr:rowOff>
    </xdr:to>
    <xdr:graphicFrame macro="">
      <xdr:nvGraphicFramePr>
        <xdr:cNvPr id="7278" name="Grafico 3">
          <a:extLst>
            <a:ext uri="{FF2B5EF4-FFF2-40B4-BE49-F238E27FC236}">
              <a16:creationId xmlns:a16="http://schemas.microsoft.com/office/drawing/2014/main" id="{34930E8A-8D3C-EFB8-2E7C-9E881C07DB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66675</xdr:colOff>
      <xdr:row>81</xdr:row>
      <xdr:rowOff>152400</xdr:rowOff>
    </xdr:from>
    <xdr:to>
      <xdr:col>14</xdr:col>
      <xdr:colOff>323850</xdr:colOff>
      <xdr:row>101</xdr:row>
      <xdr:rowOff>152400</xdr:rowOff>
    </xdr:to>
    <xdr:graphicFrame macro="">
      <xdr:nvGraphicFramePr>
        <xdr:cNvPr id="7279" name="Grafico 4">
          <a:extLst>
            <a:ext uri="{FF2B5EF4-FFF2-40B4-BE49-F238E27FC236}">
              <a16:creationId xmlns:a16="http://schemas.microsoft.com/office/drawing/2014/main" id="{0E8DA4EE-97DF-CF84-5EB0-9B16CAC8D0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47625</xdr:colOff>
      <xdr:row>103</xdr:row>
      <xdr:rowOff>76200</xdr:rowOff>
    </xdr:from>
    <xdr:to>
      <xdr:col>15</xdr:col>
      <xdr:colOff>428625</xdr:colOff>
      <xdr:row>120</xdr:row>
      <xdr:rowOff>66675</xdr:rowOff>
    </xdr:to>
    <xdr:graphicFrame macro="">
      <xdr:nvGraphicFramePr>
        <xdr:cNvPr id="7280" name="Grafico 5">
          <a:extLst>
            <a:ext uri="{FF2B5EF4-FFF2-40B4-BE49-F238E27FC236}">
              <a16:creationId xmlns:a16="http://schemas.microsoft.com/office/drawing/2014/main" id="{8CD99C61-35E1-1EC9-7749-04B39A2271D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2686050</xdr:colOff>
      <xdr:row>123</xdr:row>
      <xdr:rowOff>19050</xdr:rowOff>
    </xdr:from>
    <xdr:to>
      <xdr:col>15</xdr:col>
      <xdr:colOff>419100</xdr:colOff>
      <xdr:row>156</xdr:row>
      <xdr:rowOff>133350</xdr:rowOff>
    </xdr:to>
    <xdr:graphicFrame macro="">
      <xdr:nvGraphicFramePr>
        <xdr:cNvPr id="7281" name="Grafico 7">
          <a:extLst>
            <a:ext uri="{FF2B5EF4-FFF2-40B4-BE49-F238E27FC236}">
              <a16:creationId xmlns:a16="http://schemas.microsoft.com/office/drawing/2014/main" id="{D4D260B8-0985-6DF5-F918-5B2B454AF3F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28575</xdr:colOff>
      <xdr:row>159</xdr:row>
      <xdr:rowOff>133350</xdr:rowOff>
    </xdr:from>
    <xdr:to>
      <xdr:col>15</xdr:col>
      <xdr:colOff>361950</xdr:colOff>
      <xdr:row>185</xdr:row>
      <xdr:rowOff>76200</xdr:rowOff>
    </xdr:to>
    <xdr:graphicFrame macro="">
      <xdr:nvGraphicFramePr>
        <xdr:cNvPr id="7282" name="Grafico 8">
          <a:extLst>
            <a:ext uri="{FF2B5EF4-FFF2-40B4-BE49-F238E27FC236}">
              <a16:creationId xmlns:a16="http://schemas.microsoft.com/office/drawing/2014/main" id="{35F01D64-929C-7716-72AC-B0FCB2BAE4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19050</xdr:colOff>
      <xdr:row>188</xdr:row>
      <xdr:rowOff>85725</xdr:rowOff>
    </xdr:from>
    <xdr:to>
      <xdr:col>15</xdr:col>
      <xdr:colOff>333375</xdr:colOff>
      <xdr:row>216</xdr:row>
      <xdr:rowOff>152400</xdr:rowOff>
    </xdr:to>
    <xdr:graphicFrame macro="">
      <xdr:nvGraphicFramePr>
        <xdr:cNvPr id="7283" name="Grafico 9">
          <a:extLst>
            <a:ext uri="{FF2B5EF4-FFF2-40B4-BE49-F238E27FC236}">
              <a16:creationId xmlns:a16="http://schemas.microsoft.com/office/drawing/2014/main" id="{C57E823F-3515-037A-8450-36FBD845DD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</xdr:col>
      <xdr:colOff>38100</xdr:colOff>
      <xdr:row>233</xdr:row>
      <xdr:rowOff>28575</xdr:rowOff>
    </xdr:from>
    <xdr:to>
      <xdr:col>13</xdr:col>
      <xdr:colOff>190500</xdr:colOff>
      <xdr:row>255</xdr:row>
      <xdr:rowOff>133350</xdr:rowOff>
    </xdr:to>
    <xdr:graphicFrame macro="">
      <xdr:nvGraphicFramePr>
        <xdr:cNvPr id="7284" name="Grafico 11">
          <a:extLst>
            <a:ext uri="{FF2B5EF4-FFF2-40B4-BE49-F238E27FC236}">
              <a16:creationId xmlns:a16="http://schemas.microsoft.com/office/drawing/2014/main" id="{C9FD236B-9778-EE5B-59FB-726E3D6520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</xdr:col>
      <xdr:colOff>47625</xdr:colOff>
      <xdr:row>256</xdr:row>
      <xdr:rowOff>152400</xdr:rowOff>
    </xdr:from>
    <xdr:to>
      <xdr:col>12</xdr:col>
      <xdr:colOff>609600</xdr:colOff>
      <xdr:row>278</xdr:row>
      <xdr:rowOff>47625</xdr:rowOff>
    </xdr:to>
    <xdr:graphicFrame macro="">
      <xdr:nvGraphicFramePr>
        <xdr:cNvPr id="7285" name="Grafico 12">
          <a:extLst>
            <a:ext uri="{FF2B5EF4-FFF2-40B4-BE49-F238E27FC236}">
              <a16:creationId xmlns:a16="http://schemas.microsoft.com/office/drawing/2014/main" id="{DB9EB7C6-DDE2-F4A8-CD9C-88C7F2DB4C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X:\DOC%20MAURI\DOVIER%20MAURIZIO\UNIVERSITA'%20TS%20CORSO%20IMPRENDITORE%20SOCIALE\001%20%20LEZIONII\010%20BILANCIO%20D'ESERCIZIO%20%20-%20ANALISI%20BILANCIO\ANALISI%20BILANCIO%20E%20INDICI%20CRISI.xlsx" TargetMode="External"/><Relationship Id="rId1" Type="http://schemas.openxmlformats.org/officeDocument/2006/relationships/externalLinkPath" Target="/DOC%20MAURI/DOVIER%20MAURIZIO/UNIVERSITA'%20TS%20CORSO%20IMPRENDITORE%20SOCIALE/001%20%20LEZIONII/010%20BILANCIO%20D'ESERCIZIO%20%20-%20ANALISI%20BILANCIO/ANALISI%20BILANCIO%20E%20INDICI%20CRIS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P"/>
      <sheetName val="CE"/>
      <sheetName val="ANALISI BILANCIO 20-22"/>
      <sheetName val="ANALISI BILANCIO VUOTO"/>
    </sheetNames>
    <sheetDataSet>
      <sheetData sheetId="0">
        <row r="74">
          <cell r="C74">
            <v>0</v>
          </cell>
          <cell r="D74">
            <v>0</v>
          </cell>
          <cell r="E74">
            <v>0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I190"/>
  <sheetViews>
    <sheetView zoomScale="93" zoomScaleNormal="93" workbookViewId="0">
      <selection activeCell="B149" sqref="B149"/>
    </sheetView>
  </sheetViews>
  <sheetFormatPr defaultRowHeight="12.75" x14ac:dyDescent="0.2"/>
  <cols>
    <col min="1" max="1" width="54" style="1" customWidth="1"/>
    <col min="2" max="2" width="14.28515625" style="1" customWidth="1"/>
    <col min="3" max="3" width="15" style="1" customWidth="1"/>
    <col min="4" max="4" width="15.28515625" style="1" bestFit="1" customWidth="1"/>
    <col min="5" max="5" width="14.28515625" style="6" customWidth="1"/>
    <col min="6" max="6" width="13" style="1" customWidth="1"/>
    <col min="7" max="22" width="12.28515625" style="1" customWidth="1"/>
    <col min="23" max="32" width="12.28515625" style="1" hidden="1" customWidth="1"/>
    <col min="33" max="16384" width="9.140625" style="1"/>
  </cols>
  <sheetData>
    <row r="1" spans="1:32" ht="20.25" customHeight="1" x14ac:dyDescent="0.2">
      <c r="A1" s="603"/>
      <c r="B1" s="603"/>
      <c r="C1" s="603"/>
      <c r="D1" s="603"/>
      <c r="E1" s="603"/>
    </row>
    <row r="2" spans="1:32" ht="13.5" thickBot="1" x14ac:dyDescent="0.25">
      <c r="A2" s="22"/>
      <c r="B2" s="22"/>
      <c r="C2" s="22"/>
      <c r="D2" s="22"/>
      <c r="E2" s="23"/>
    </row>
    <row r="3" spans="1:32" ht="15.75" customHeight="1" thickBot="1" x14ac:dyDescent="0.25">
      <c r="A3" s="397" t="s">
        <v>12</v>
      </c>
      <c r="B3" s="393"/>
      <c r="C3" s="394" t="s">
        <v>328</v>
      </c>
      <c r="D3" s="395"/>
      <c r="E3" s="396"/>
    </row>
    <row r="4" spans="1:32" ht="18" hidden="1" customHeight="1" x14ac:dyDescent="0.2">
      <c r="A4" s="70" t="s">
        <v>7</v>
      </c>
      <c r="B4" s="70"/>
      <c r="C4" s="71">
        <v>100000</v>
      </c>
      <c r="D4" s="72" t="s">
        <v>0</v>
      </c>
      <c r="E4" s="73"/>
    </row>
    <row r="5" spans="1:32" ht="13.5" hidden="1" thickBot="1" x14ac:dyDescent="0.25">
      <c r="A5" s="604" t="s">
        <v>10</v>
      </c>
      <c r="B5" s="129"/>
      <c r="C5" s="74" t="e">
        <f>+C4/#REF!</f>
        <v>#REF!</v>
      </c>
      <c r="D5" s="75" t="s">
        <v>1</v>
      </c>
      <c r="E5" s="76" t="s">
        <v>2</v>
      </c>
    </row>
    <row r="6" spans="1:32" hidden="1" x14ac:dyDescent="0.2">
      <c r="A6" s="605"/>
      <c r="B6" s="130"/>
      <c r="C6" s="74" t="e">
        <f>+C5*#REF!</f>
        <v>#REF!</v>
      </c>
      <c r="D6" s="75" t="s">
        <v>4</v>
      </c>
      <c r="E6" s="76" t="s">
        <v>3</v>
      </c>
    </row>
    <row r="7" spans="1:32" hidden="1" x14ac:dyDescent="0.2">
      <c r="A7" s="605"/>
      <c r="B7" s="130"/>
      <c r="C7" s="77" t="e">
        <f>+C5*#REF!</f>
        <v>#REF!</v>
      </c>
      <c r="D7" s="75" t="s">
        <v>6</v>
      </c>
      <c r="E7" s="76" t="s">
        <v>5</v>
      </c>
    </row>
    <row r="8" spans="1:32" ht="18" customHeight="1" x14ac:dyDescent="0.2">
      <c r="A8" s="78"/>
      <c r="C8" s="3"/>
      <c r="D8" s="20" t="s">
        <v>250</v>
      </c>
      <c r="E8" s="263">
        <v>0.22</v>
      </c>
      <c r="F8" s="20" t="s">
        <v>224</v>
      </c>
    </row>
    <row r="9" spans="1:32" hidden="1" x14ac:dyDescent="0.2">
      <c r="A9" s="606" t="s">
        <v>43</v>
      </c>
      <c r="B9" s="131"/>
      <c r="C9" s="5" t="e">
        <f>+#REF!*#REF!</f>
        <v>#REF!</v>
      </c>
      <c r="D9" s="9" t="s">
        <v>4</v>
      </c>
      <c r="E9" s="10" t="s">
        <v>8</v>
      </c>
    </row>
    <row r="10" spans="1:32" x14ac:dyDescent="0.2">
      <c r="A10" s="607"/>
      <c r="B10" s="11"/>
      <c r="C10" s="224">
        <v>100000</v>
      </c>
      <c r="D10" s="224">
        <f>ROUND(C10*E8,0)</f>
        <v>22000</v>
      </c>
      <c r="E10" s="88" t="s">
        <v>43</v>
      </c>
      <c r="F10" s="227"/>
    </row>
    <row r="11" spans="1:32" ht="38.25" x14ac:dyDescent="0.2">
      <c r="A11" s="607"/>
      <c r="B11" s="11"/>
      <c r="C11" s="4"/>
      <c r="D11" s="4"/>
      <c r="E11" s="89" t="s">
        <v>332</v>
      </c>
    </row>
    <row r="12" spans="1:32" ht="38.25" x14ac:dyDescent="0.2">
      <c r="A12" s="607"/>
      <c r="B12" s="417"/>
      <c r="C12" s="82">
        <f>+C79+D79+E79</f>
        <v>0</v>
      </c>
      <c r="D12" s="4"/>
      <c r="E12" s="89" t="s">
        <v>60</v>
      </c>
    </row>
    <row r="13" spans="1:32" hidden="1" x14ac:dyDescent="0.2">
      <c r="A13" s="607"/>
      <c r="B13" s="417"/>
      <c r="C13" s="608">
        <f>+C10/C4</f>
        <v>1</v>
      </c>
      <c r="D13" s="609"/>
      <c r="E13" s="7" t="s">
        <v>9</v>
      </c>
    </row>
    <row r="14" spans="1:32" x14ac:dyDescent="0.2">
      <c r="A14" s="607"/>
      <c r="B14" s="11"/>
      <c r="C14" s="12">
        <f>SUM(C10:C12)</f>
        <v>100000</v>
      </c>
      <c r="D14" s="9" t="s">
        <v>6</v>
      </c>
      <c r="E14" s="10" t="s">
        <v>44</v>
      </c>
    </row>
    <row r="15" spans="1:32" ht="25.5" x14ac:dyDescent="0.2">
      <c r="A15" s="607"/>
      <c r="B15" s="417"/>
      <c r="C15" s="418">
        <f>+D15/100</f>
        <v>0.1</v>
      </c>
      <c r="D15" s="419">
        <v>10</v>
      </c>
      <c r="E15" s="420" t="s">
        <v>41</v>
      </c>
    </row>
    <row r="16" spans="1:32" x14ac:dyDescent="0.2">
      <c r="A16" s="231"/>
      <c r="B16" s="231"/>
      <c r="C16" s="199" t="s">
        <v>62</v>
      </c>
      <c r="D16" s="199" t="s">
        <v>63</v>
      </c>
      <c r="E16" s="199" t="s">
        <v>64</v>
      </c>
      <c r="F16" s="199" t="s">
        <v>69</v>
      </c>
      <c r="G16" s="199" t="s">
        <v>70</v>
      </c>
      <c r="H16" s="199" t="s">
        <v>71</v>
      </c>
      <c r="I16" s="199" t="s">
        <v>72</v>
      </c>
      <c r="J16" s="199" t="s">
        <v>73</v>
      </c>
      <c r="K16" s="199" t="s">
        <v>74</v>
      </c>
      <c r="L16" s="199" t="s">
        <v>75</v>
      </c>
      <c r="M16" s="199" t="s">
        <v>76</v>
      </c>
      <c r="N16" s="199" t="s">
        <v>77</v>
      </c>
      <c r="O16" s="199" t="s">
        <v>78</v>
      </c>
      <c r="P16" s="199" t="s">
        <v>79</v>
      </c>
      <c r="Q16" s="199" t="s">
        <v>80</v>
      </c>
      <c r="R16" s="199" t="s">
        <v>81</v>
      </c>
      <c r="S16" s="199" t="s">
        <v>82</v>
      </c>
      <c r="T16" s="199" t="s">
        <v>83</v>
      </c>
      <c r="U16" s="199" t="s">
        <v>84</v>
      </c>
      <c r="V16" s="199" t="s">
        <v>86</v>
      </c>
      <c r="W16" s="399" t="s">
        <v>87</v>
      </c>
      <c r="X16" s="399" t="s">
        <v>88</v>
      </c>
      <c r="Y16" s="399" t="s">
        <v>89</v>
      </c>
      <c r="Z16" s="399" t="s">
        <v>107</v>
      </c>
      <c r="AA16" s="399" t="s">
        <v>108</v>
      </c>
      <c r="AB16" s="399" t="s">
        <v>109</v>
      </c>
      <c r="AC16" s="399" t="s">
        <v>110</v>
      </c>
      <c r="AD16" s="399" t="s">
        <v>111</v>
      </c>
      <c r="AE16" s="399" t="s">
        <v>112</v>
      </c>
      <c r="AF16" s="399" t="s">
        <v>113</v>
      </c>
    </row>
    <row r="17" spans="1:22" x14ac:dyDescent="0.2">
      <c r="A17" s="231"/>
      <c r="B17" s="253">
        <f>SUM(C17:L17)</f>
        <v>100000</v>
      </c>
      <c r="C17" s="228">
        <f>ROUND($C$10*$C$15,0)</f>
        <v>10000</v>
      </c>
      <c r="D17" s="228">
        <f t="shared" ref="D17:L17" si="0">ROUND($C$10*$C$15,0)</f>
        <v>10000</v>
      </c>
      <c r="E17" s="228">
        <f t="shared" si="0"/>
        <v>10000</v>
      </c>
      <c r="F17" s="228">
        <f t="shared" si="0"/>
        <v>10000</v>
      </c>
      <c r="G17" s="228">
        <f t="shared" si="0"/>
        <v>10000</v>
      </c>
      <c r="H17" s="228">
        <f t="shared" si="0"/>
        <v>10000</v>
      </c>
      <c r="I17" s="228">
        <f t="shared" si="0"/>
        <v>10000</v>
      </c>
      <c r="J17" s="228">
        <f t="shared" si="0"/>
        <v>10000</v>
      </c>
      <c r="K17" s="228">
        <f t="shared" si="0"/>
        <v>10000</v>
      </c>
      <c r="L17" s="228">
        <f t="shared" si="0"/>
        <v>10000</v>
      </c>
      <c r="M17" s="4"/>
      <c r="N17" s="4"/>
      <c r="O17" s="4"/>
      <c r="P17" s="4"/>
      <c r="Q17" s="4"/>
      <c r="R17" s="4"/>
      <c r="S17" s="4"/>
      <c r="T17" s="4"/>
      <c r="U17" s="4"/>
      <c r="V17" s="4"/>
    </row>
    <row r="18" spans="1:22" x14ac:dyDescent="0.2">
      <c r="A18" s="231" t="s">
        <v>249</v>
      </c>
      <c r="B18" s="231"/>
      <c r="C18" s="232"/>
      <c r="D18" s="233"/>
      <c r="E18" s="138"/>
      <c r="F18" s="190"/>
    </row>
    <row r="19" spans="1:22" x14ac:dyDescent="0.2">
      <c r="A19" s="135"/>
      <c r="B19" s="135"/>
      <c r="C19" s="136"/>
      <c r="D19" s="137"/>
      <c r="E19" s="138"/>
    </row>
    <row r="20" spans="1:22" ht="15" x14ac:dyDescent="0.2">
      <c r="A20" s="95"/>
      <c r="B20" s="9" t="s">
        <v>196</v>
      </c>
      <c r="C20" s="103">
        <f>+C69</f>
        <v>0</v>
      </c>
      <c r="D20" s="11" t="s">
        <v>102</v>
      </c>
      <c r="E20" s="11" t="s">
        <v>103</v>
      </c>
      <c r="F20" s="11" t="s">
        <v>106</v>
      </c>
      <c r="G20" s="147" t="s">
        <v>139</v>
      </c>
    </row>
    <row r="21" spans="1:22" x14ac:dyDescent="0.2">
      <c r="A21" s="9" t="s">
        <v>197</v>
      </c>
      <c r="B21" s="9"/>
      <c r="C21" s="140">
        <f>+C14+C20</f>
        <v>100000</v>
      </c>
      <c r="D21" s="141">
        <f>+C21</f>
        <v>100000</v>
      </c>
      <c r="E21" s="141">
        <f>+D68</f>
        <v>0</v>
      </c>
      <c r="F21" s="141">
        <f>+E68</f>
        <v>0</v>
      </c>
      <c r="G21" s="148">
        <f>SUM(D21:F21)</f>
        <v>100000</v>
      </c>
      <c r="H21" s="149" t="str">
        <f>IF(C21=G21,"ok","ctrl!!")</f>
        <v>ok</v>
      </c>
    </row>
    <row r="22" spans="1:22" x14ac:dyDescent="0.2">
      <c r="A22" s="9" t="s">
        <v>137</v>
      </c>
      <c r="B22" s="9"/>
      <c r="C22" s="140"/>
      <c r="D22" s="335"/>
      <c r="E22" s="336"/>
      <c r="F22" s="336"/>
      <c r="G22" s="148">
        <f t="shared" ref="G22:G28" si="1">SUM(D22:F22)</f>
        <v>0</v>
      </c>
      <c r="H22" s="149" t="str">
        <f t="shared" ref="H22:H28" si="2">IF(C22=G22,"ok","ctrl!!")</f>
        <v>ok</v>
      </c>
    </row>
    <row r="23" spans="1:22" x14ac:dyDescent="0.2">
      <c r="A23" s="95" t="s">
        <v>133</v>
      </c>
      <c r="B23" s="142">
        <f>C23/C21</f>
        <v>0.6</v>
      </c>
      <c r="C23" s="225">
        <v>60000</v>
      </c>
      <c r="D23" s="127">
        <v>60000</v>
      </c>
      <c r="E23" s="127"/>
      <c r="F23" s="127"/>
      <c r="G23" s="148">
        <f t="shared" si="1"/>
        <v>60000</v>
      </c>
      <c r="H23" s="149" t="str">
        <f t="shared" si="2"/>
        <v>ok</v>
      </c>
    </row>
    <row r="24" spans="1:22" x14ac:dyDescent="0.2">
      <c r="A24" s="95" t="s">
        <v>134</v>
      </c>
      <c r="B24" s="226">
        <v>0</v>
      </c>
      <c r="C24" s="143">
        <f>+C21*B24</f>
        <v>0</v>
      </c>
      <c r="D24" s="127"/>
      <c r="E24" s="127"/>
      <c r="F24" s="127"/>
      <c r="G24" s="148">
        <f t="shared" si="1"/>
        <v>0</v>
      </c>
      <c r="H24" s="149" t="str">
        <f t="shared" si="2"/>
        <v>ok</v>
      </c>
    </row>
    <row r="25" spans="1:22" x14ac:dyDescent="0.2">
      <c r="A25" s="95" t="s">
        <v>131</v>
      </c>
      <c r="B25" s="144">
        <v>0</v>
      </c>
      <c r="C25" s="145">
        <f>+C21-C23-C24-C26</f>
        <v>-22000</v>
      </c>
      <c r="D25" s="127"/>
      <c r="E25" s="127"/>
      <c r="F25" s="127"/>
      <c r="G25" s="148">
        <f t="shared" si="1"/>
        <v>0</v>
      </c>
      <c r="H25" s="149" t="str">
        <f t="shared" si="2"/>
        <v>ctrl!!</v>
      </c>
    </row>
    <row r="26" spans="1:22" x14ac:dyDescent="0.2">
      <c r="A26" s="9" t="s">
        <v>49</v>
      </c>
      <c r="B26" s="9"/>
      <c r="C26" s="146">
        <f>+D32</f>
        <v>62000</v>
      </c>
      <c r="D26" s="127">
        <v>62000</v>
      </c>
      <c r="E26" s="337"/>
      <c r="F26" s="338"/>
      <c r="G26" s="148">
        <f t="shared" si="1"/>
        <v>62000</v>
      </c>
      <c r="H26" s="149" t="str">
        <f t="shared" si="2"/>
        <v>ok</v>
      </c>
    </row>
    <row r="27" spans="1:22" x14ac:dyDescent="0.2">
      <c r="A27" s="9" t="s">
        <v>132</v>
      </c>
      <c r="B27" s="9"/>
      <c r="C27" s="146">
        <f>SUM(C22:C26)</f>
        <v>100000</v>
      </c>
      <c r="D27" s="146">
        <f t="shared" ref="D27:F27" si="3">SUM(D22:D26)</f>
        <v>122000</v>
      </c>
      <c r="E27" s="146">
        <f t="shared" si="3"/>
        <v>0</v>
      </c>
      <c r="F27" s="146">
        <f t="shared" si="3"/>
        <v>0</v>
      </c>
      <c r="G27" s="148">
        <f t="shared" si="1"/>
        <v>122000</v>
      </c>
      <c r="H27" s="149" t="str">
        <f t="shared" si="2"/>
        <v>ctrl!!</v>
      </c>
    </row>
    <row r="28" spans="1:22" x14ac:dyDescent="0.2">
      <c r="A28" s="9" t="s">
        <v>68</v>
      </c>
      <c r="B28" s="9"/>
      <c r="C28" s="128">
        <f>+C21-C27</f>
        <v>0</v>
      </c>
      <c r="D28" s="128">
        <f>+D21-D27</f>
        <v>-22000</v>
      </c>
      <c r="E28" s="128">
        <f>+E21-E27</f>
        <v>0</v>
      </c>
      <c r="F28" s="128">
        <f>+F21-F27</f>
        <v>0</v>
      </c>
      <c r="G28" s="148">
        <f t="shared" si="1"/>
        <v>-22000</v>
      </c>
      <c r="H28" s="149" t="str">
        <f t="shared" si="2"/>
        <v>ctrl!!</v>
      </c>
    </row>
    <row r="29" spans="1:22" x14ac:dyDescent="0.2">
      <c r="A29" s="2" t="s">
        <v>177</v>
      </c>
      <c r="B29" s="2"/>
      <c r="D29" s="8"/>
    </row>
    <row r="30" spans="1:22" ht="15.75" x14ac:dyDescent="0.2">
      <c r="A30" s="602" t="s">
        <v>45</v>
      </c>
      <c r="B30" s="374"/>
      <c r="C30" s="13" t="s">
        <v>13</v>
      </c>
      <c r="D30" s="14">
        <v>10</v>
      </c>
      <c r="E30" s="7" t="s">
        <v>11</v>
      </c>
    </row>
    <row r="31" spans="1:22" ht="15.75" x14ac:dyDescent="0.2">
      <c r="A31" s="602"/>
      <c r="B31" s="375"/>
      <c r="C31" s="610" t="s">
        <v>14</v>
      </c>
      <c r="D31" s="21">
        <f>+C26/C14</f>
        <v>0.62</v>
      </c>
      <c r="E31" s="7" t="s">
        <v>26</v>
      </c>
    </row>
    <row r="32" spans="1:22" ht="15.75" x14ac:dyDescent="0.2">
      <c r="A32" s="602"/>
      <c r="B32" s="376"/>
      <c r="C32" s="611"/>
      <c r="D32" s="104">
        <v>62000</v>
      </c>
      <c r="E32" s="7" t="s">
        <v>15</v>
      </c>
    </row>
    <row r="33" spans="1:32" ht="15.75" x14ac:dyDescent="0.2">
      <c r="A33" s="602"/>
      <c r="B33" s="374"/>
      <c r="C33" s="13" t="s">
        <v>16</v>
      </c>
      <c r="D33" s="15">
        <v>0</v>
      </c>
      <c r="E33" s="7" t="s">
        <v>15</v>
      </c>
    </row>
    <row r="34" spans="1:32" ht="15.75" x14ac:dyDescent="0.2">
      <c r="A34" s="602"/>
      <c r="B34" s="374"/>
      <c r="C34" s="13" t="s">
        <v>17</v>
      </c>
      <c r="D34" s="125">
        <v>0.05</v>
      </c>
      <c r="E34" s="7"/>
    </row>
    <row r="35" spans="1:32" ht="20.25" customHeight="1" x14ac:dyDescent="0.2"/>
    <row r="36" spans="1:32" x14ac:dyDescent="0.2">
      <c r="C36" s="79"/>
    </row>
    <row r="37" spans="1:32" x14ac:dyDescent="0.2">
      <c r="B37" s="20"/>
      <c r="C37" s="422"/>
      <c r="D37" s="422"/>
    </row>
    <row r="38" spans="1:32" x14ac:dyDescent="0.2">
      <c r="A38" s="9" t="s">
        <v>42</v>
      </c>
      <c r="B38" s="9"/>
      <c r="C38" s="199" t="s">
        <v>62</v>
      </c>
      <c r="D38" s="199" t="s">
        <v>63</v>
      </c>
      <c r="E38" s="199" t="s">
        <v>64</v>
      </c>
      <c r="F38" s="199" t="s">
        <v>69</v>
      </c>
      <c r="G38" s="199" t="s">
        <v>70</v>
      </c>
      <c r="H38" s="199" t="s">
        <v>71</v>
      </c>
      <c r="I38" s="199" t="s">
        <v>72</v>
      </c>
      <c r="J38" s="199" t="s">
        <v>73</v>
      </c>
      <c r="K38" s="199" t="s">
        <v>74</v>
      </c>
      <c r="L38" s="199" t="s">
        <v>75</v>
      </c>
      <c r="M38" s="199" t="s">
        <v>76</v>
      </c>
      <c r="N38" s="199" t="s">
        <v>77</v>
      </c>
      <c r="O38" s="199" t="s">
        <v>78</v>
      </c>
      <c r="P38" s="199" t="s">
        <v>79</v>
      </c>
      <c r="Q38" s="199" t="s">
        <v>80</v>
      </c>
      <c r="R38" s="199" t="s">
        <v>81</v>
      </c>
      <c r="S38" s="199" t="s">
        <v>82</v>
      </c>
      <c r="T38" s="199" t="s">
        <v>83</v>
      </c>
      <c r="U38" s="199" t="s">
        <v>84</v>
      </c>
      <c r="V38" s="199" t="s">
        <v>86</v>
      </c>
      <c r="W38" s="399" t="s">
        <v>87</v>
      </c>
      <c r="X38" s="399" t="s">
        <v>88</v>
      </c>
      <c r="Y38" s="399" t="s">
        <v>89</v>
      </c>
      <c r="Z38" s="399" t="s">
        <v>107</v>
      </c>
      <c r="AA38" s="399" t="s">
        <v>108</v>
      </c>
      <c r="AB38" s="399" t="s">
        <v>109</v>
      </c>
      <c r="AC38" s="399" t="s">
        <v>110</v>
      </c>
      <c r="AD38" s="399" t="s">
        <v>111</v>
      </c>
      <c r="AE38" s="399" t="s">
        <v>112</v>
      </c>
      <c r="AF38" s="399" t="s">
        <v>113</v>
      </c>
    </row>
    <row r="39" spans="1:32" x14ac:dyDescent="0.2">
      <c r="A39" s="95" t="s">
        <v>322</v>
      </c>
      <c r="B39" s="4"/>
      <c r="C39" s="128"/>
      <c r="D39" s="128"/>
      <c r="E39" s="377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21"/>
      <c r="X39" s="4"/>
      <c r="Y39" s="4"/>
      <c r="Z39" s="4"/>
      <c r="AA39" s="4"/>
      <c r="AB39" s="4"/>
      <c r="AC39" s="4"/>
      <c r="AD39" s="4"/>
      <c r="AE39" s="4"/>
      <c r="AF39" s="4"/>
    </row>
    <row r="40" spans="1:32" x14ac:dyDescent="0.2">
      <c r="A40" s="4" t="s">
        <v>48</v>
      </c>
      <c r="B40" s="4"/>
      <c r="C40" s="128"/>
      <c r="D40" s="128"/>
      <c r="E40" s="7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21"/>
      <c r="X40" s="4"/>
      <c r="Y40" s="4"/>
      <c r="Z40" s="4"/>
      <c r="AA40" s="4"/>
      <c r="AB40" s="4"/>
      <c r="AC40" s="4"/>
      <c r="AD40" s="4"/>
      <c r="AE40" s="4"/>
      <c r="AF40" s="4"/>
    </row>
    <row r="41" spans="1:32" x14ac:dyDescent="0.2">
      <c r="C41" s="80"/>
      <c r="D41" s="80"/>
    </row>
    <row r="42" spans="1:32" ht="38.25" x14ac:dyDescent="0.2">
      <c r="A42" s="600" t="s">
        <v>226</v>
      </c>
      <c r="B42" s="234"/>
      <c r="C42" s="427" t="s">
        <v>345</v>
      </c>
      <c r="D42" s="80"/>
      <c r="AB42" s="84">
        <v>0.2</v>
      </c>
    </row>
    <row r="43" spans="1:32" ht="15" x14ac:dyDescent="0.2">
      <c r="A43" s="601"/>
      <c r="B43" s="235"/>
      <c r="C43" s="426">
        <v>0.2</v>
      </c>
      <c r="H43" s="20"/>
      <c r="M43" s="20"/>
      <c r="Q43" s="20"/>
      <c r="V43" s="20"/>
      <c r="AB43" s="20"/>
    </row>
    <row r="44" spans="1:32" ht="15" x14ac:dyDescent="0.2">
      <c r="A44" s="601"/>
      <c r="B44" s="235"/>
      <c r="C44" s="398" t="s">
        <v>55</v>
      </c>
      <c r="D44" s="398" t="s">
        <v>56</v>
      </c>
      <c r="E44" s="398" t="s">
        <v>57</v>
      </c>
      <c r="F44" s="398" t="s">
        <v>58</v>
      </c>
      <c r="G44" s="398" t="s">
        <v>59</v>
      </c>
      <c r="H44" s="398" t="s">
        <v>198</v>
      </c>
      <c r="I44" s="398" t="s">
        <v>199</v>
      </c>
      <c r="J44" s="398" t="s">
        <v>200</v>
      </c>
      <c r="K44" s="398" t="s">
        <v>201</v>
      </c>
      <c r="L44" s="398" t="s">
        <v>202</v>
      </c>
      <c r="M44" s="398" t="s">
        <v>203</v>
      </c>
      <c r="N44" s="398" t="s">
        <v>204</v>
      </c>
      <c r="O44" s="398" t="s">
        <v>205</v>
      </c>
      <c r="P44" s="398" t="s">
        <v>206</v>
      </c>
      <c r="Q44" s="398" t="s">
        <v>207</v>
      </c>
      <c r="R44" s="398" t="s">
        <v>208</v>
      </c>
      <c r="S44" s="398" t="s">
        <v>209</v>
      </c>
      <c r="T44" s="398" t="s">
        <v>210</v>
      </c>
      <c r="U44" s="398" t="s">
        <v>211</v>
      </c>
      <c r="V44" s="398" t="s">
        <v>212</v>
      </c>
      <c r="W44" s="85" t="s">
        <v>213</v>
      </c>
      <c r="X44" s="85" t="s">
        <v>214</v>
      </c>
      <c r="Y44" s="85" t="s">
        <v>215</v>
      </c>
      <c r="Z44" s="85" t="s">
        <v>216</v>
      </c>
      <c r="AA44" s="85" t="s">
        <v>217</v>
      </c>
      <c r="AB44" s="85" t="s">
        <v>218</v>
      </c>
      <c r="AC44" s="85" t="s">
        <v>219</v>
      </c>
      <c r="AD44" s="85" t="s">
        <v>220</v>
      </c>
      <c r="AE44" s="85" t="s">
        <v>221</v>
      </c>
      <c r="AF44" s="85" t="s">
        <v>222</v>
      </c>
    </row>
    <row r="45" spans="1:32" x14ac:dyDescent="0.2">
      <c r="A45" s="20" t="s">
        <v>94</v>
      </c>
      <c r="B45" s="20"/>
      <c r="C45" s="128"/>
      <c r="D45" s="128"/>
      <c r="E45" s="128"/>
      <c r="F45" s="128"/>
      <c r="G45" s="128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</row>
    <row r="46" spans="1:32" x14ac:dyDescent="0.2">
      <c r="A46" s="20" t="s">
        <v>95</v>
      </c>
      <c r="B46" s="20"/>
      <c r="C46" s="128"/>
      <c r="D46" s="128"/>
      <c r="E46" s="128"/>
      <c r="F46" s="128"/>
      <c r="G46" s="128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</row>
    <row r="47" spans="1:32" x14ac:dyDescent="0.2">
      <c r="A47" s="363" t="s">
        <v>334</v>
      </c>
      <c r="B47" s="424">
        <f>SUM(C47:V47)</f>
        <v>10000</v>
      </c>
      <c r="C47" s="128"/>
      <c r="D47" s="425">
        <v>10000</v>
      </c>
      <c r="E47" s="128"/>
      <c r="F47" s="128"/>
      <c r="G47" s="128"/>
      <c r="H47" s="211"/>
      <c r="I47" s="211"/>
      <c r="J47" s="211"/>
      <c r="K47" s="211"/>
      <c r="L47" s="211"/>
      <c r="M47" s="211"/>
      <c r="N47" s="211"/>
      <c r="O47" s="211"/>
      <c r="P47" s="211"/>
      <c r="Q47" s="211"/>
      <c r="R47" s="211"/>
      <c r="S47" s="211"/>
      <c r="T47" s="211"/>
      <c r="U47" s="211"/>
      <c r="V47" s="211"/>
      <c r="W47" s="230"/>
      <c r="X47" s="230"/>
      <c r="Y47" s="230"/>
      <c r="Z47" s="230"/>
      <c r="AA47" s="230"/>
      <c r="AB47" s="230"/>
      <c r="AC47" s="230"/>
      <c r="AD47" s="230"/>
      <c r="AE47" s="230"/>
      <c r="AF47" s="230"/>
    </row>
    <row r="48" spans="1:32" x14ac:dyDescent="0.2">
      <c r="A48" s="363" t="s">
        <v>335</v>
      </c>
      <c r="B48" s="424">
        <v>15000</v>
      </c>
      <c r="C48" s="128"/>
      <c r="D48" s="128"/>
      <c r="E48" s="425">
        <f>+B48</f>
        <v>15000</v>
      </c>
      <c r="F48" s="128"/>
      <c r="G48" s="128"/>
      <c r="H48" s="211"/>
      <c r="I48" s="211"/>
      <c r="J48" s="211"/>
      <c r="K48" s="211"/>
      <c r="L48" s="211"/>
      <c r="M48" s="211"/>
      <c r="N48" s="211"/>
      <c r="O48" s="211"/>
      <c r="P48" s="211"/>
      <c r="Q48" s="211"/>
      <c r="R48" s="211"/>
      <c r="S48" s="211"/>
      <c r="T48" s="211"/>
      <c r="U48" s="211"/>
      <c r="V48" s="211"/>
      <c r="W48" s="230"/>
      <c r="X48" s="230"/>
      <c r="Y48" s="230"/>
      <c r="Z48" s="230"/>
      <c r="AA48" s="230"/>
      <c r="AB48" s="230"/>
      <c r="AC48" s="230"/>
      <c r="AD48" s="230"/>
      <c r="AE48" s="230"/>
      <c r="AF48" s="230"/>
    </row>
    <row r="49" spans="1:32" x14ac:dyDescent="0.2">
      <c r="A49" s="363" t="s">
        <v>336</v>
      </c>
      <c r="B49" s="424">
        <v>8000</v>
      </c>
      <c r="C49" s="128"/>
      <c r="D49" s="128"/>
      <c r="E49" s="128"/>
      <c r="F49" s="425">
        <f>+B49</f>
        <v>8000</v>
      </c>
      <c r="G49" s="128"/>
      <c r="H49" s="211"/>
      <c r="I49" s="211"/>
      <c r="J49" s="211"/>
      <c r="K49" s="211"/>
      <c r="L49" s="211"/>
      <c r="M49" s="211"/>
      <c r="N49" s="211"/>
      <c r="O49" s="211"/>
      <c r="P49" s="211"/>
      <c r="Q49" s="211"/>
      <c r="R49" s="211"/>
      <c r="S49" s="211"/>
      <c r="T49" s="211"/>
      <c r="U49" s="211"/>
      <c r="V49" s="211"/>
      <c r="W49" s="230"/>
      <c r="X49" s="230"/>
      <c r="Y49" s="230"/>
      <c r="Z49" s="230"/>
      <c r="AA49" s="230"/>
      <c r="AB49" s="230"/>
      <c r="AC49" s="230"/>
      <c r="AD49" s="230"/>
      <c r="AE49" s="230"/>
      <c r="AF49" s="230"/>
    </row>
    <row r="50" spans="1:32" x14ac:dyDescent="0.2">
      <c r="A50" s="363" t="s">
        <v>337</v>
      </c>
      <c r="B50" s="424">
        <f t="shared" ref="B50:B52" si="4">SUM(C50:V50)</f>
        <v>3000</v>
      </c>
      <c r="C50" s="128"/>
      <c r="D50" s="128"/>
      <c r="E50" s="128"/>
      <c r="F50" s="128"/>
      <c r="G50" s="425">
        <v>3000</v>
      </c>
      <c r="H50" s="211"/>
      <c r="I50" s="211"/>
      <c r="J50" s="211"/>
      <c r="K50" s="211"/>
      <c r="L50" s="211"/>
      <c r="M50" s="211"/>
      <c r="N50" s="211"/>
      <c r="O50" s="211"/>
      <c r="P50" s="211"/>
      <c r="Q50" s="211"/>
      <c r="R50" s="211"/>
      <c r="S50" s="211"/>
      <c r="T50" s="211"/>
      <c r="U50" s="211"/>
      <c r="V50" s="211"/>
      <c r="W50" s="230"/>
      <c r="X50" s="230"/>
      <c r="Y50" s="230"/>
      <c r="Z50" s="230"/>
      <c r="AA50" s="230"/>
      <c r="AB50" s="230"/>
      <c r="AC50" s="230"/>
      <c r="AD50" s="230"/>
      <c r="AE50" s="230"/>
      <c r="AF50" s="230"/>
    </row>
    <row r="51" spans="1:32" x14ac:dyDescent="0.2">
      <c r="A51" s="363" t="s">
        <v>338</v>
      </c>
      <c r="B51" s="424">
        <v>18000</v>
      </c>
      <c r="C51" s="128"/>
      <c r="D51" s="128"/>
      <c r="E51" s="128"/>
      <c r="F51" s="128"/>
      <c r="G51" s="128"/>
      <c r="H51" s="242">
        <f>+B51</f>
        <v>18000</v>
      </c>
      <c r="I51" s="211"/>
      <c r="J51" s="211"/>
      <c r="K51" s="211"/>
      <c r="L51" s="211"/>
      <c r="M51" s="211"/>
      <c r="N51" s="211"/>
      <c r="O51" s="211"/>
      <c r="P51" s="211"/>
      <c r="Q51" s="211"/>
      <c r="R51" s="211"/>
      <c r="S51" s="211"/>
      <c r="T51" s="211"/>
      <c r="U51" s="211"/>
      <c r="V51" s="211"/>
      <c r="W51" s="230"/>
      <c r="X51" s="230"/>
      <c r="Y51" s="230"/>
      <c r="Z51" s="230"/>
      <c r="AA51" s="230"/>
      <c r="AB51" s="230"/>
      <c r="AC51" s="230"/>
      <c r="AD51" s="230"/>
      <c r="AE51" s="230"/>
      <c r="AF51" s="230"/>
    </row>
    <row r="52" spans="1:32" x14ac:dyDescent="0.2">
      <c r="A52" s="363" t="s">
        <v>339</v>
      </c>
      <c r="B52" s="424">
        <f t="shared" si="4"/>
        <v>0</v>
      </c>
      <c r="C52" s="128"/>
      <c r="D52" s="128"/>
      <c r="E52" s="128"/>
      <c r="F52" s="128"/>
      <c r="G52" s="128"/>
      <c r="H52" s="211"/>
      <c r="I52" s="242">
        <v>0</v>
      </c>
      <c r="J52" s="211"/>
      <c r="K52" s="211"/>
      <c r="L52" s="211"/>
      <c r="M52" s="211"/>
      <c r="N52" s="211"/>
      <c r="O52" s="211"/>
      <c r="P52" s="211"/>
      <c r="Q52" s="211"/>
      <c r="R52" s="211"/>
      <c r="S52" s="211"/>
      <c r="T52" s="211"/>
      <c r="U52" s="211"/>
      <c r="V52" s="211"/>
      <c r="W52" s="230"/>
      <c r="X52" s="230"/>
      <c r="Y52" s="230"/>
      <c r="Z52" s="230"/>
      <c r="AA52" s="230"/>
      <c r="AB52" s="230"/>
      <c r="AC52" s="230"/>
      <c r="AD52" s="230"/>
      <c r="AE52" s="230"/>
      <c r="AF52" s="230"/>
    </row>
    <row r="53" spans="1:32" x14ac:dyDescent="0.2">
      <c r="A53" s="363" t="s">
        <v>340</v>
      </c>
      <c r="C53" s="128"/>
      <c r="D53" s="128"/>
      <c r="E53" s="128"/>
      <c r="F53" s="128"/>
      <c r="G53" s="128"/>
      <c r="H53" s="211"/>
      <c r="I53" s="211"/>
      <c r="J53" s="242">
        <v>0</v>
      </c>
      <c r="K53" s="211"/>
      <c r="L53" s="211"/>
      <c r="M53" s="211"/>
      <c r="N53" s="211"/>
      <c r="O53" s="211"/>
      <c r="P53" s="211"/>
      <c r="Q53" s="211"/>
      <c r="R53" s="211"/>
      <c r="S53" s="211"/>
      <c r="T53" s="211"/>
      <c r="U53" s="211"/>
      <c r="V53" s="211"/>
      <c r="W53" s="230"/>
      <c r="X53" s="230"/>
      <c r="Y53" s="230"/>
      <c r="Z53" s="230"/>
      <c r="AA53" s="230"/>
      <c r="AB53" s="230"/>
      <c r="AC53" s="230"/>
      <c r="AD53" s="230"/>
      <c r="AE53" s="230"/>
      <c r="AF53" s="230"/>
    </row>
    <row r="54" spans="1:32" x14ac:dyDescent="0.2">
      <c r="A54" s="2" t="s">
        <v>225</v>
      </c>
      <c r="B54" s="101" t="s">
        <v>230</v>
      </c>
      <c r="C54" s="330">
        <f>SUM(C45:C53)</f>
        <v>0</v>
      </c>
      <c r="D54" s="330">
        <f t="shared" ref="D54:V54" si="5">SUM(D45:D53)</f>
        <v>10000</v>
      </c>
      <c r="E54" s="330">
        <f t="shared" si="5"/>
        <v>15000</v>
      </c>
      <c r="F54" s="330">
        <f t="shared" si="5"/>
        <v>8000</v>
      </c>
      <c r="G54" s="330">
        <f t="shared" si="5"/>
        <v>3000</v>
      </c>
      <c r="H54" s="330">
        <f t="shared" si="5"/>
        <v>18000</v>
      </c>
      <c r="I54" s="330">
        <f t="shared" si="5"/>
        <v>0</v>
      </c>
      <c r="J54" s="330">
        <f t="shared" si="5"/>
        <v>0</v>
      </c>
      <c r="K54" s="330">
        <f t="shared" si="5"/>
        <v>0</v>
      </c>
      <c r="L54" s="330">
        <f t="shared" si="5"/>
        <v>0</v>
      </c>
      <c r="M54" s="330">
        <f t="shared" si="5"/>
        <v>0</v>
      </c>
      <c r="N54" s="330">
        <f t="shared" si="5"/>
        <v>0</v>
      </c>
      <c r="O54" s="330">
        <f t="shared" si="5"/>
        <v>0</v>
      </c>
      <c r="P54" s="330">
        <f t="shared" si="5"/>
        <v>0</v>
      </c>
      <c r="Q54" s="330">
        <f t="shared" si="5"/>
        <v>0</v>
      </c>
      <c r="R54" s="330">
        <f t="shared" si="5"/>
        <v>0</v>
      </c>
      <c r="S54" s="330">
        <f t="shared" si="5"/>
        <v>0</v>
      </c>
      <c r="T54" s="330">
        <f t="shared" si="5"/>
        <v>0</v>
      </c>
      <c r="U54" s="330">
        <f t="shared" si="5"/>
        <v>0</v>
      </c>
      <c r="V54" s="330">
        <f t="shared" si="5"/>
        <v>0</v>
      </c>
      <c r="W54" s="229">
        <f t="shared" ref="W54:AF54" si="6">SUM(W45:W48)</f>
        <v>0</v>
      </c>
      <c r="X54" s="229">
        <f t="shared" si="6"/>
        <v>0</v>
      </c>
      <c r="Y54" s="229">
        <f t="shared" si="6"/>
        <v>0</v>
      </c>
      <c r="Z54" s="229">
        <f t="shared" si="6"/>
        <v>0</v>
      </c>
      <c r="AA54" s="229">
        <f t="shared" si="6"/>
        <v>0</v>
      </c>
      <c r="AB54" s="229">
        <f t="shared" si="6"/>
        <v>0</v>
      </c>
      <c r="AC54" s="229">
        <f t="shared" si="6"/>
        <v>0</v>
      </c>
      <c r="AD54" s="229">
        <f t="shared" si="6"/>
        <v>0</v>
      </c>
      <c r="AE54" s="229">
        <f t="shared" si="6"/>
        <v>0</v>
      </c>
      <c r="AF54" s="229">
        <f t="shared" si="6"/>
        <v>0</v>
      </c>
    </row>
    <row r="55" spans="1:32" x14ac:dyDescent="0.2">
      <c r="A55" s="363" t="s">
        <v>228</v>
      </c>
      <c r="B55" s="424">
        <f>SUM(C55:V55)</f>
        <v>24400</v>
      </c>
      <c r="C55" s="211"/>
      <c r="D55" s="211">
        <f>+$D$54*$C$43</f>
        <v>2000</v>
      </c>
      <c r="E55" s="211">
        <f>+$D$54*$C$43</f>
        <v>2000</v>
      </c>
      <c r="F55" s="211">
        <f>+$D$54*$C$43</f>
        <v>2000</v>
      </c>
      <c r="G55" s="211">
        <f>+$D$54*$C$43</f>
        <v>2000</v>
      </c>
      <c r="H55" s="211">
        <f>+$D$54*$C$43</f>
        <v>2000</v>
      </c>
      <c r="I55" s="211"/>
      <c r="J55" s="211"/>
      <c r="K55" s="211"/>
      <c r="L55" s="211"/>
      <c r="M55" s="211"/>
      <c r="N55" s="211">
        <f>ROUND($H$54*$C$43,0)</f>
        <v>3600</v>
      </c>
      <c r="O55" s="211">
        <f>ROUND($H$54*$C$43,0)</f>
        <v>3600</v>
      </c>
      <c r="P55" s="211">
        <f>ROUND($H$54*$C$43,0)</f>
        <v>3600</v>
      </c>
      <c r="Q55" s="211">
        <f>ROUND($H$54*$C$43,0)</f>
        <v>3600</v>
      </c>
      <c r="R55" s="211"/>
      <c r="S55" s="211"/>
      <c r="T55" s="211"/>
      <c r="U55" s="211"/>
      <c r="V55" s="211"/>
      <c r="W55" s="230"/>
      <c r="X55" s="230"/>
      <c r="Y55" s="230"/>
      <c r="Z55" s="230"/>
      <c r="AA55" s="230"/>
      <c r="AB55" s="230"/>
      <c r="AC55" s="230"/>
      <c r="AD55" s="230"/>
      <c r="AE55" s="230"/>
      <c r="AF55" s="230"/>
    </row>
    <row r="56" spans="1:32" x14ac:dyDescent="0.2">
      <c r="A56" s="363" t="s">
        <v>229</v>
      </c>
      <c r="B56" s="424">
        <f t="shared" ref="B56:B61" si="7">SUM(C56:V56)</f>
        <v>15000</v>
      </c>
      <c r="C56" s="211">
        <f>ROUND(C47*$C$43,0)</f>
        <v>0</v>
      </c>
      <c r="D56" s="211"/>
      <c r="E56" s="211">
        <f>+$E$48*$C$43</f>
        <v>3000</v>
      </c>
      <c r="F56" s="211">
        <f t="shared" ref="F56:I56" si="8">+$E$48*$C$43</f>
        <v>3000</v>
      </c>
      <c r="G56" s="211">
        <f t="shared" si="8"/>
        <v>3000</v>
      </c>
      <c r="H56" s="211">
        <f t="shared" si="8"/>
        <v>3000</v>
      </c>
      <c r="I56" s="211">
        <f t="shared" si="8"/>
        <v>3000</v>
      </c>
      <c r="J56" s="211"/>
      <c r="K56" s="211"/>
      <c r="L56" s="211"/>
      <c r="M56" s="211"/>
      <c r="N56" s="211"/>
      <c r="O56" s="211">
        <f t="shared" ref="O56:V56" si="9">ROUND($M$54*$C$43,)</f>
        <v>0</v>
      </c>
      <c r="P56" s="211">
        <f t="shared" si="9"/>
        <v>0</v>
      </c>
      <c r="Q56" s="211">
        <f t="shared" si="9"/>
        <v>0</v>
      </c>
      <c r="R56" s="211">
        <f t="shared" si="9"/>
        <v>0</v>
      </c>
      <c r="S56" s="211">
        <f t="shared" si="9"/>
        <v>0</v>
      </c>
      <c r="T56" s="211">
        <f t="shared" si="9"/>
        <v>0</v>
      </c>
      <c r="U56" s="211">
        <f t="shared" si="9"/>
        <v>0</v>
      </c>
      <c r="V56" s="211">
        <f t="shared" si="9"/>
        <v>0</v>
      </c>
      <c r="W56" s="230"/>
      <c r="X56" s="230"/>
      <c r="Y56" s="230"/>
      <c r="Z56" s="230"/>
      <c r="AA56" s="230"/>
      <c r="AB56" s="230"/>
      <c r="AC56" s="230"/>
      <c r="AD56" s="230"/>
      <c r="AE56" s="230"/>
      <c r="AF56" s="230"/>
    </row>
    <row r="57" spans="1:32" x14ac:dyDescent="0.2">
      <c r="A57" s="363" t="s">
        <v>333</v>
      </c>
      <c r="B57" s="424">
        <f t="shared" si="7"/>
        <v>8000</v>
      </c>
      <c r="C57" s="211"/>
      <c r="D57" s="211"/>
      <c r="E57" s="211"/>
      <c r="F57" s="211">
        <f>$F$49*$C$43</f>
        <v>1600</v>
      </c>
      <c r="G57" s="211">
        <f t="shared" ref="G57:J57" si="10">$F$49*$C$43</f>
        <v>1600</v>
      </c>
      <c r="H57" s="211">
        <f t="shared" si="10"/>
        <v>1600</v>
      </c>
      <c r="I57" s="211">
        <f t="shared" si="10"/>
        <v>1600</v>
      </c>
      <c r="J57" s="211">
        <f t="shared" si="10"/>
        <v>1600</v>
      </c>
      <c r="K57" s="211"/>
      <c r="L57" s="211"/>
      <c r="M57" s="211"/>
      <c r="N57" s="211"/>
      <c r="O57" s="211"/>
      <c r="P57" s="211"/>
      <c r="Q57" s="211">
        <f t="shared" ref="Q57:Z57" si="11">ROUND($Q$54*$C$43,0)</f>
        <v>0</v>
      </c>
      <c r="R57" s="211">
        <f t="shared" si="11"/>
        <v>0</v>
      </c>
      <c r="S57" s="211">
        <f t="shared" si="11"/>
        <v>0</v>
      </c>
      <c r="T57" s="211">
        <f t="shared" si="11"/>
        <v>0</v>
      </c>
      <c r="U57" s="211">
        <f t="shared" si="11"/>
        <v>0</v>
      </c>
      <c r="V57" s="211">
        <f t="shared" si="11"/>
        <v>0</v>
      </c>
      <c r="W57" s="230">
        <f t="shared" si="11"/>
        <v>0</v>
      </c>
      <c r="X57" s="230">
        <f t="shared" si="11"/>
        <v>0</v>
      </c>
      <c r="Y57" s="230">
        <f t="shared" si="11"/>
        <v>0</v>
      </c>
      <c r="Z57" s="230">
        <f t="shared" si="11"/>
        <v>0</v>
      </c>
      <c r="AA57" s="230"/>
      <c r="AB57" s="230"/>
      <c r="AC57" s="230"/>
      <c r="AD57" s="230"/>
      <c r="AE57" s="230"/>
      <c r="AF57" s="230"/>
    </row>
    <row r="58" spans="1:32" x14ac:dyDescent="0.2">
      <c r="A58" s="363" t="s">
        <v>341</v>
      </c>
      <c r="B58" s="424">
        <f t="shared" si="7"/>
        <v>3000</v>
      </c>
      <c r="C58" s="211"/>
      <c r="D58" s="211"/>
      <c r="E58" s="211"/>
      <c r="F58" s="247" t="s">
        <v>346</v>
      </c>
      <c r="G58" s="211">
        <f>$G$50*$C$43</f>
        <v>600</v>
      </c>
      <c r="H58" s="211">
        <f t="shared" ref="H58:K58" si="12">$G$50*$C$43</f>
        <v>600</v>
      </c>
      <c r="I58" s="211">
        <f t="shared" si="12"/>
        <v>600</v>
      </c>
      <c r="J58" s="211">
        <f t="shared" si="12"/>
        <v>600</v>
      </c>
      <c r="K58" s="211">
        <f t="shared" si="12"/>
        <v>600</v>
      </c>
      <c r="L58" s="211"/>
      <c r="M58" s="211"/>
      <c r="N58" s="211"/>
      <c r="O58" s="211"/>
      <c r="P58" s="211"/>
      <c r="Q58" s="211"/>
      <c r="R58" s="211"/>
      <c r="S58" s="211"/>
      <c r="T58" s="211"/>
      <c r="U58" s="211"/>
      <c r="V58" s="211">
        <f t="shared" ref="V58:AE58" si="13">ROUND($V$54*$C$43,0)</f>
        <v>0</v>
      </c>
      <c r="W58" s="230">
        <f t="shared" si="13"/>
        <v>0</v>
      </c>
      <c r="X58" s="230">
        <f t="shared" si="13"/>
        <v>0</v>
      </c>
      <c r="Y58" s="230">
        <f t="shared" si="13"/>
        <v>0</v>
      </c>
      <c r="Z58" s="230">
        <f t="shared" si="13"/>
        <v>0</v>
      </c>
      <c r="AA58" s="230">
        <f t="shared" si="13"/>
        <v>0</v>
      </c>
      <c r="AB58" s="230">
        <f t="shared" si="13"/>
        <v>0</v>
      </c>
      <c r="AC58" s="230">
        <f t="shared" si="13"/>
        <v>0</v>
      </c>
      <c r="AD58" s="230">
        <f t="shared" si="13"/>
        <v>0</v>
      </c>
      <c r="AE58" s="230">
        <f t="shared" si="13"/>
        <v>0</v>
      </c>
      <c r="AF58" s="230"/>
    </row>
    <row r="59" spans="1:32" x14ac:dyDescent="0.2">
      <c r="A59" s="363" t="s">
        <v>342</v>
      </c>
      <c r="B59" s="424">
        <f t="shared" si="7"/>
        <v>18000</v>
      </c>
      <c r="C59" s="211"/>
      <c r="D59" s="211"/>
      <c r="E59" s="211"/>
      <c r="F59" s="211"/>
      <c r="G59" s="211"/>
      <c r="H59" s="211">
        <f>$H$51*$C$43</f>
        <v>3600</v>
      </c>
      <c r="I59" s="211">
        <f t="shared" ref="I59:L59" si="14">$H$51*$C$43</f>
        <v>3600</v>
      </c>
      <c r="J59" s="211">
        <f t="shared" si="14"/>
        <v>3600</v>
      </c>
      <c r="K59" s="211">
        <f t="shared" si="14"/>
        <v>3600</v>
      </c>
      <c r="L59" s="211">
        <f t="shared" si="14"/>
        <v>3600</v>
      </c>
      <c r="M59" s="211"/>
      <c r="N59" s="211"/>
      <c r="O59" s="211"/>
      <c r="P59" s="211"/>
      <c r="Q59" s="211"/>
      <c r="R59" s="211"/>
      <c r="S59" s="211"/>
      <c r="T59" s="211"/>
      <c r="U59" s="211"/>
      <c r="V59" s="211"/>
      <c r="W59" s="230"/>
      <c r="X59" s="230"/>
      <c r="Y59" s="230"/>
      <c r="Z59" s="230"/>
      <c r="AA59" s="230"/>
      <c r="AB59" s="230"/>
      <c r="AC59" s="230"/>
      <c r="AD59" s="230"/>
      <c r="AE59" s="230"/>
      <c r="AF59" s="230"/>
    </row>
    <row r="60" spans="1:32" x14ac:dyDescent="0.2">
      <c r="A60" s="363" t="s">
        <v>343</v>
      </c>
      <c r="B60" s="424">
        <f t="shared" si="7"/>
        <v>0</v>
      </c>
      <c r="C60" s="211"/>
      <c r="D60" s="211"/>
      <c r="E60" s="211"/>
      <c r="F60" s="211"/>
      <c r="G60" s="211"/>
      <c r="H60" s="211"/>
      <c r="I60" s="211">
        <f>$I$52*$C$43</f>
        <v>0</v>
      </c>
      <c r="J60" s="211">
        <f t="shared" ref="J60:M60" si="15">$I$52*$C$43</f>
        <v>0</v>
      </c>
      <c r="K60" s="211">
        <f t="shared" si="15"/>
        <v>0</v>
      </c>
      <c r="L60" s="211">
        <f t="shared" si="15"/>
        <v>0</v>
      </c>
      <c r="M60" s="211">
        <f t="shared" si="15"/>
        <v>0</v>
      </c>
      <c r="N60" s="211"/>
      <c r="O60" s="211"/>
      <c r="P60" s="211"/>
      <c r="Q60" s="211"/>
      <c r="R60" s="211"/>
      <c r="S60" s="211"/>
      <c r="T60" s="211"/>
      <c r="U60" s="211"/>
      <c r="V60" s="211"/>
      <c r="W60" s="230"/>
      <c r="X60" s="230"/>
      <c r="Y60" s="230"/>
      <c r="Z60" s="230"/>
      <c r="AA60" s="230"/>
      <c r="AB60" s="230"/>
      <c r="AC60" s="230"/>
      <c r="AD60" s="230"/>
      <c r="AE60" s="230"/>
      <c r="AF60" s="230"/>
    </row>
    <row r="61" spans="1:32" ht="13.5" thickBot="1" x14ac:dyDescent="0.25">
      <c r="A61" s="363" t="s">
        <v>344</v>
      </c>
      <c r="B61" s="424">
        <f t="shared" si="7"/>
        <v>0</v>
      </c>
      <c r="C61" s="211"/>
      <c r="D61" s="211"/>
      <c r="E61" s="211"/>
      <c r="F61" s="211"/>
      <c r="G61" s="211"/>
      <c r="H61" s="211"/>
      <c r="I61" s="211"/>
      <c r="J61" s="211">
        <f>$J$53*$C$43</f>
        <v>0</v>
      </c>
      <c r="K61" s="211">
        <f t="shared" ref="K61:N61" si="16">$J$53*$C$43</f>
        <v>0</v>
      </c>
      <c r="L61" s="211">
        <f t="shared" si="16"/>
        <v>0</v>
      </c>
      <c r="M61" s="211">
        <f t="shared" si="16"/>
        <v>0</v>
      </c>
      <c r="N61" s="211">
        <f t="shared" si="16"/>
        <v>0</v>
      </c>
      <c r="O61" s="211"/>
      <c r="P61" s="211"/>
      <c r="Q61" s="211"/>
      <c r="R61" s="211"/>
      <c r="S61" s="211"/>
      <c r="T61" s="211"/>
      <c r="U61" s="211"/>
      <c r="V61" s="211"/>
      <c r="W61" s="230"/>
      <c r="X61" s="230"/>
      <c r="Y61" s="230"/>
      <c r="Z61" s="230"/>
      <c r="AA61" s="230"/>
      <c r="AB61" s="230"/>
      <c r="AC61" s="230"/>
      <c r="AD61" s="230"/>
      <c r="AE61" s="230"/>
      <c r="AF61" s="230"/>
    </row>
    <row r="62" spans="1:32" ht="13.5" thickBot="1" x14ac:dyDescent="0.25">
      <c r="A62" s="236" t="s">
        <v>227</v>
      </c>
      <c r="B62" s="423">
        <f>SUM(B55:B61)</f>
        <v>68400</v>
      </c>
      <c r="C62" s="211">
        <f>SUM(C55:C58)</f>
        <v>0</v>
      </c>
      <c r="D62" s="211">
        <f t="shared" ref="D62:AF62" si="17">SUM(D55:D58)</f>
        <v>2000</v>
      </c>
      <c r="E62" s="211">
        <f t="shared" si="17"/>
        <v>5000</v>
      </c>
      <c r="F62" s="211">
        <f t="shared" si="17"/>
        <v>6600</v>
      </c>
      <c r="G62" s="211">
        <f t="shared" si="17"/>
        <v>7200</v>
      </c>
      <c r="H62" s="211">
        <f t="shared" si="17"/>
        <v>7200</v>
      </c>
      <c r="I62" s="211">
        <f t="shared" si="17"/>
        <v>5200</v>
      </c>
      <c r="J62" s="211">
        <f t="shared" si="17"/>
        <v>2200</v>
      </c>
      <c r="K62" s="211">
        <f t="shared" si="17"/>
        <v>600</v>
      </c>
      <c r="L62" s="211">
        <f t="shared" si="17"/>
        <v>0</v>
      </c>
      <c r="M62" s="211">
        <f t="shared" si="17"/>
        <v>0</v>
      </c>
      <c r="N62" s="211">
        <f t="shared" si="17"/>
        <v>3600</v>
      </c>
      <c r="O62" s="211">
        <f t="shared" si="17"/>
        <v>3600</v>
      </c>
      <c r="P62" s="211">
        <f t="shared" si="17"/>
        <v>3600</v>
      </c>
      <c r="Q62" s="211">
        <f t="shared" si="17"/>
        <v>3600</v>
      </c>
      <c r="R62" s="211">
        <f t="shared" si="17"/>
        <v>0</v>
      </c>
      <c r="S62" s="211">
        <f t="shared" si="17"/>
        <v>0</v>
      </c>
      <c r="T62" s="211">
        <f t="shared" si="17"/>
        <v>0</v>
      </c>
      <c r="U62" s="211">
        <f t="shared" si="17"/>
        <v>0</v>
      </c>
      <c r="V62" s="211">
        <f t="shared" si="17"/>
        <v>0</v>
      </c>
      <c r="W62" s="237">
        <f t="shared" si="17"/>
        <v>0</v>
      </c>
      <c r="X62" s="237">
        <f t="shared" si="17"/>
        <v>0</v>
      </c>
      <c r="Y62" s="237">
        <f t="shared" si="17"/>
        <v>0</v>
      </c>
      <c r="Z62" s="237">
        <f t="shared" si="17"/>
        <v>0</v>
      </c>
      <c r="AA62" s="237">
        <f t="shared" si="17"/>
        <v>0</v>
      </c>
      <c r="AB62" s="237">
        <f t="shared" si="17"/>
        <v>0</v>
      </c>
      <c r="AC62" s="237">
        <f t="shared" si="17"/>
        <v>0</v>
      </c>
      <c r="AD62" s="237">
        <f t="shared" si="17"/>
        <v>0</v>
      </c>
      <c r="AE62" s="237">
        <f t="shared" si="17"/>
        <v>0</v>
      </c>
      <c r="AF62" s="238">
        <f t="shared" si="17"/>
        <v>0</v>
      </c>
    </row>
    <row r="63" spans="1:32" ht="13.5" thickBot="1" x14ac:dyDescent="0.25">
      <c r="A63" s="220" t="s">
        <v>223</v>
      </c>
      <c r="B63" s="339">
        <f>+B62+C14</f>
        <v>168400</v>
      </c>
      <c r="C63" s="213">
        <f t="shared" ref="C63:AF63" si="18">+C17+C62</f>
        <v>10000</v>
      </c>
      <c r="D63" s="213">
        <f t="shared" si="18"/>
        <v>12000</v>
      </c>
      <c r="E63" s="213">
        <f t="shared" si="18"/>
        <v>15000</v>
      </c>
      <c r="F63" s="213">
        <f t="shared" si="18"/>
        <v>16600</v>
      </c>
      <c r="G63" s="213">
        <f t="shared" si="18"/>
        <v>17200</v>
      </c>
      <c r="H63" s="213">
        <f t="shared" si="18"/>
        <v>17200</v>
      </c>
      <c r="I63" s="213">
        <f t="shared" si="18"/>
        <v>15200</v>
      </c>
      <c r="J63" s="213">
        <f t="shared" si="18"/>
        <v>12200</v>
      </c>
      <c r="K63" s="213">
        <f t="shared" si="18"/>
        <v>10600</v>
      </c>
      <c r="L63" s="213">
        <f t="shared" si="18"/>
        <v>10000</v>
      </c>
      <c r="M63" s="213">
        <f t="shared" si="18"/>
        <v>0</v>
      </c>
      <c r="N63" s="213">
        <f t="shared" si="18"/>
        <v>3600</v>
      </c>
      <c r="O63" s="213">
        <f t="shared" si="18"/>
        <v>3600</v>
      </c>
      <c r="P63" s="213">
        <f t="shared" si="18"/>
        <v>3600</v>
      </c>
      <c r="Q63" s="213">
        <f t="shared" si="18"/>
        <v>3600</v>
      </c>
      <c r="R63" s="213">
        <f t="shared" si="18"/>
        <v>0</v>
      </c>
      <c r="S63" s="213">
        <f t="shared" si="18"/>
        <v>0</v>
      </c>
      <c r="T63" s="213">
        <f t="shared" si="18"/>
        <v>0</v>
      </c>
      <c r="U63" s="213">
        <f t="shared" si="18"/>
        <v>0</v>
      </c>
      <c r="V63" s="213">
        <f t="shared" si="18"/>
        <v>0</v>
      </c>
      <c r="W63" s="239">
        <f t="shared" si="18"/>
        <v>0</v>
      </c>
      <c r="X63" s="239">
        <f t="shared" si="18"/>
        <v>0</v>
      </c>
      <c r="Y63" s="239">
        <f t="shared" si="18"/>
        <v>0</v>
      </c>
      <c r="Z63" s="239">
        <f t="shared" si="18"/>
        <v>0</v>
      </c>
      <c r="AA63" s="239">
        <f t="shared" si="18"/>
        <v>0</v>
      </c>
      <c r="AB63" s="239">
        <f t="shared" si="18"/>
        <v>0</v>
      </c>
      <c r="AC63" s="239">
        <f t="shared" si="18"/>
        <v>0</v>
      </c>
      <c r="AD63" s="239">
        <f t="shared" si="18"/>
        <v>0</v>
      </c>
      <c r="AE63" s="239">
        <f t="shared" si="18"/>
        <v>0</v>
      </c>
      <c r="AF63" s="239">
        <f t="shared" si="18"/>
        <v>0</v>
      </c>
    </row>
    <row r="64" spans="1:32" ht="22.5" customHeight="1" x14ac:dyDescent="0.2">
      <c r="A64" s="2" t="s">
        <v>248</v>
      </c>
      <c r="B64" s="2"/>
      <c r="C64" s="80"/>
      <c r="D64" s="80"/>
      <c r="E64" s="87"/>
      <c r="F64" s="80"/>
      <c r="G64" s="80"/>
    </row>
    <row r="66" spans="1:32" ht="13.5" hidden="1" thickBot="1" x14ac:dyDescent="0.25">
      <c r="A66" s="117" t="s">
        <v>101</v>
      </c>
      <c r="B66" s="117"/>
      <c r="C66" s="118">
        <v>0.22</v>
      </c>
    </row>
    <row r="67" spans="1:32" ht="18" hidden="1" customHeight="1" x14ac:dyDescent="0.2">
      <c r="A67" s="98" t="s">
        <v>61</v>
      </c>
      <c r="B67" s="98"/>
      <c r="C67" s="157" t="s">
        <v>62</v>
      </c>
      <c r="D67" s="158" t="s">
        <v>63</v>
      </c>
      <c r="E67" s="159" t="s">
        <v>64</v>
      </c>
      <c r="F67" s="156">
        <v>4</v>
      </c>
      <c r="G67" s="95">
        <v>5</v>
      </c>
      <c r="H67" s="95">
        <v>6</v>
      </c>
      <c r="I67" s="95">
        <v>7</v>
      </c>
      <c r="J67" s="95">
        <v>8</v>
      </c>
      <c r="K67" s="95">
        <v>9</v>
      </c>
      <c r="L67" s="95">
        <v>10</v>
      </c>
      <c r="M67" s="95">
        <v>11</v>
      </c>
      <c r="N67" s="95">
        <v>12</v>
      </c>
      <c r="O67" s="95">
        <v>13</v>
      </c>
      <c r="P67" s="95">
        <v>14</v>
      </c>
      <c r="Q67" s="95">
        <v>15</v>
      </c>
      <c r="R67" s="95">
        <v>16</v>
      </c>
      <c r="S67" s="95">
        <v>17</v>
      </c>
      <c r="T67" s="95">
        <v>18</v>
      </c>
      <c r="U67" s="95">
        <v>19</v>
      </c>
      <c r="V67" s="95">
        <v>20</v>
      </c>
      <c r="W67" s="95">
        <v>21</v>
      </c>
      <c r="X67" s="95">
        <v>22</v>
      </c>
      <c r="Y67" s="95">
        <v>23</v>
      </c>
      <c r="Z67" s="95">
        <v>24</v>
      </c>
      <c r="AA67" s="95">
        <v>25</v>
      </c>
      <c r="AB67" s="95">
        <v>26</v>
      </c>
      <c r="AC67" s="95">
        <v>27</v>
      </c>
      <c r="AD67" s="95">
        <v>28</v>
      </c>
      <c r="AE67" s="95">
        <v>29</v>
      </c>
      <c r="AF67" s="95">
        <v>30</v>
      </c>
    </row>
    <row r="68" spans="1:32" hidden="1" x14ac:dyDescent="0.2">
      <c r="A68" s="99" t="s">
        <v>65</v>
      </c>
      <c r="B68" s="176">
        <f t="shared" ref="B68:B79" si="19">+C68+D68+E68</f>
        <v>0</v>
      </c>
      <c r="C68" s="160"/>
      <c r="D68" s="107">
        <v>0</v>
      </c>
      <c r="E68" s="161">
        <v>0</v>
      </c>
    </row>
    <row r="69" spans="1:32" hidden="1" x14ac:dyDescent="0.2">
      <c r="A69" s="100" t="s">
        <v>67</v>
      </c>
      <c r="B69" s="176">
        <f t="shared" si="19"/>
        <v>0</v>
      </c>
      <c r="C69" s="162"/>
      <c r="D69" s="94">
        <f>+D68*$C$66</f>
        <v>0</v>
      </c>
      <c r="E69" s="163">
        <f>+E68*$C$66</f>
        <v>0</v>
      </c>
    </row>
    <row r="70" spans="1:32" hidden="1" x14ac:dyDescent="0.2">
      <c r="A70" s="101" t="s">
        <v>66</v>
      </c>
      <c r="B70" s="177">
        <f t="shared" si="19"/>
        <v>0</v>
      </c>
      <c r="C70" s="164">
        <f>+C68+C69</f>
        <v>0</v>
      </c>
      <c r="D70" s="96">
        <f>+D68+D69</f>
        <v>0</v>
      </c>
      <c r="E70" s="165">
        <f>+E68+E69</f>
        <v>0</v>
      </c>
    </row>
    <row r="71" spans="1:32" hidden="1" x14ac:dyDescent="0.2">
      <c r="A71" s="100" t="s">
        <v>96</v>
      </c>
      <c r="B71" s="176">
        <f t="shared" si="19"/>
        <v>0</v>
      </c>
      <c r="C71" s="162"/>
      <c r="D71" s="94">
        <v>0</v>
      </c>
      <c r="E71" s="166">
        <v>0</v>
      </c>
    </row>
    <row r="72" spans="1:32" hidden="1" x14ac:dyDescent="0.2">
      <c r="A72" s="100" t="s">
        <v>97</v>
      </c>
      <c r="B72" s="176">
        <f>+C72+D72+E72</f>
        <v>0</v>
      </c>
      <c r="C72" s="162"/>
      <c r="D72" s="94">
        <v>0</v>
      </c>
      <c r="E72" s="166">
        <v>0</v>
      </c>
      <c r="F72" s="90"/>
    </row>
    <row r="73" spans="1:32" hidden="1" x14ac:dyDescent="0.2">
      <c r="A73" s="100" t="s">
        <v>136</v>
      </c>
      <c r="B73" s="176">
        <f t="shared" si="19"/>
        <v>0</v>
      </c>
      <c r="C73" s="162"/>
      <c r="D73" s="94">
        <v>0</v>
      </c>
      <c r="E73" s="163">
        <f>+F24</f>
        <v>0</v>
      </c>
      <c r="H73" s="90">
        <f>$B$73*$B$80</f>
        <v>0</v>
      </c>
      <c r="I73" s="90">
        <f t="shared" ref="I73:Q73" si="20">$B$73*$B$80</f>
        <v>0</v>
      </c>
      <c r="J73" s="90">
        <f t="shared" si="20"/>
        <v>0</v>
      </c>
      <c r="K73" s="90">
        <f t="shared" si="20"/>
        <v>0</v>
      </c>
      <c r="L73" s="90">
        <f t="shared" si="20"/>
        <v>0</v>
      </c>
      <c r="M73" s="90">
        <f t="shared" si="20"/>
        <v>0</v>
      </c>
      <c r="N73" s="90">
        <f t="shared" si="20"/>
        <v>0</v>
      </c>
      <c r="O73" s="90">
        <f t="shared" si="20"/>
        <v>0</v>
      </c>
      <c r="P73" s="90">
        <f t="shared" si="20"/>
        <v>0</v>
      </c>
      <c r="Q73" s="90">
        <f t="shared" si="20"/>
        <v>0</v>
      </c>
    </row>
    <row r="74" spans="1:32" hidden="1" x14ac:dyDescent="0.2">
      <c r="A74" s="100" t="s">
        <v>98</v>
      </c>
      <c r="B74" s="176">
        <f t="shared" si="19"/>
        <v>0</v>
      </c>
      <c r="C74" s="162"/>
      <c r="D74" s="94">
        <v>0</v>
      </c>
      <c r="E74" s="163">
        <v>0</v>
      </c>
    </row>
    <row r="75" spans="1:32" hidden="1" x14ac:dyDescent="0.2">
      <c r="A75" s="100" t="s">
        <v>135</v>
      </c>
      <c r="B75" s="176">
        <f t="shared" si="19"/>
        <v>0</v>
      </c>
      <c r="C75" s="162"/>
      <c r="D75" s="94">
        <v>0</v>
      </c>
      <c r="E75" s="163"/>
      <c r="F75" s="90"/>
    </row>
    <row r="76" spans="1:32" hidden="1" x14ac:dyDescent="0.2">
      <c r="A76" s="101" t="s">
        <v>138</v>
      </c>
      <c r="B76" s="177">
        <f t="shared" si="19"/>
        <v>0</v>
      </c>
      <c r="C76" s="167">
        <f>SUM(C71:C75)</f>
        <v>0</v>
      </c>
      <c r="D76" s="97">
        <f>SUM(D71:D75)</f>
        <v>0</v>
      </c>
      <c r="E76" s="168">
        <f>SUM(E71:E75)</f>
        <v>0</v>
      </c>
      <c r="F76" s="90"/>
    </row>
    <row r="77" spans="1:32" hidden="1" x14ac:dyDescent="0.2">
      <c r="A77" s="2" t="s">
        <v>68</v>
      </c>
      <c r="B77" s="176">
        <f t="shared" si="19"/>
        <v>0</v>
      </c>
      <c r="C77" s="169">
        <f>+C76-C70</f>
        <v>0</v>
      </c>
      <c r="D77" s="105">
        <f>+D76-D70</f>
        <v>0</v>
      </c>
      <c r="E77" s="170">
        <f>+E76-E70</f>
        <v>0</v>
      </c>
    </row>
    <row r="78" spans="1:32" hidden="1" x14ac:dyDescent="0.2">
      <c r="A78" s="95" t="s">
        <v>152</v>
      </c>
      <c r="B78" s="176"/>
      <c r="C78" s="171">
        <v>0</v>
      </c>
      <c r="D78" s="102">
        <v>0</v>
      </c>
      <c r="E78" s="172">
        <v>0</v>
      </c>
      <c r="F78" s="84">
        <v>0.1</v>
      </c>
      <c r="G78" s="84">
        <v>0.1</v>
      </c>
      <c r="H78" s="84">
        <v>0.1</v>
      </c>
      <c r="I78" s="84">
        <v>0.1</v>
      </c>
      <c r="J78" s="84">
        <v>0.1</v>
      </c>
      <c r="K78" s="84">
        <v>0.1</v>
      </c>
      <c r="L78" s="84">
        <v>0.1</v>
      </c>
      <c r="M78" s="84">
        <v>0.1</v>
      </c>
      <c r="N78" s="84">
        <v>0.1</v>
      </c>
      <c r="O78" s="84">
        <v>0.1</v>
      </c>
      <c r="P78" s="84">
        <v>0.1</v>
      </c>
      <c r="Q78" s="84">
        <v>0.1</v>
      </c>
      <c r="R78" s="84">
        <v>0.1</v>
      </c>
      <c r="S78" s="84">
        <v>0.1</v>
      </c>
      <c r="T78" s="84">
        <v>0.1</v>
      </c>
      <c r="U78" s="84">
        <v>0.1</v>
      </c>
      <c r="V78" s="84">
        <v>0.1</v>
      </c>
      <c r="W78" s="84">
        <v>0.1</v>
      </c>
      <c r="X78" s="84">
        <v>0.1</v>
      </c>
      <c r="Y78" s="84">
        <v>0.1</v>
      </c>
      <c r="Z78" s="84">
        <v>0.1</v>
      </c>
      <c r="AA78" s="84">
        <v>0.1</v>
      </c>
      <c r="AB78" s="84">
        <v>0.1</v>
      </c>
      <c r="AC78" s="84">
        <v>0.1</v>
      </c>
      <c r="AD78" s="84">
        <v>0.1</v>
      </c>
      <c r="AE78" s="84">
        <v>0.1</v>
      </c>
      <c r="AF78" s="84">
        <v>0.1</v>
      </c>
    </row>
    <row r="79" spans="1:32" ht="13.5" hidden="1" thickBot="1" x14ac:dyDescent="0.25">
      <c r="A79" s="95" t="s">
        <v>153</v>
      </c>
      <c r="B79" s="176">
        <f t="shared" si="19"/>
        <v>0</v>
      </c>
      <c r="C79" s="173">
        <f>C71*C78</f>
        <v>0</v>
      </c>
      <c r="D79" s="174">
        <f>D71*D78</f>
        <v>0</v>
      </c>
      <c r="E79" s="175">
        <f>E71*E78</f>
        <v>0</v>
      </c>
    </row>
    <row r="80" spans="1:32" hidden="1" x14ac:dyDescent="0.2">
      <c r="A80" s="20" t="s">
        <v>154</v>
      </c>
      <c r="B80" s="178">
        <v>0</v>
      </c>
      <c r="C80" s="106"/>
      <c r="D80" s="106"/>
      <c r="E80" s="106"/>
      <c r="G80" s="190">
        <f>F90+(1+F86)^30</f>
        <v>35.207262471189658</v>
      </c>
      <c r="H80" s="20">
        <f>1.01^30</f>
        <v>1.3478489153329063</v>
      </c>
      <c r="I80" s="90">
        <f>+F90</f>
        <v>32.78</v>
      </c>
      <c r="J80" s="90">
        <f>+H80*I80</f>
        <v>44.182487444612669</v>
      </c>
    </row>
    <row r="81" spans="1:35" hidden="1" x14ac:dyDescent="0.2">
      <c r="A81" s="20" t="s">
        <v>178</v>
      </c>
      <c r="B81" s="92">
        <f>+B72+B73+B74</f>
        <v>0</v>
      </c>
      <c r="C81" s="103"/>
      <c r="D81" s="103"/>
      <c r="E81" s="103"/>
    </row>
    <row r="82" spans="1:35" x14ac:dyDescent="0.2">
      <c r="A82" s="20"/>
      <c r="B82" s="92"/>
      <c r="C82" s="103"/>
      <c r="D82" s="151"/>
      <c r="E82" s="103"/>
    </row>
    <row r="83" spans="1:35" ht="25.5" x14ac:dyDescent="0.2">
      <c r="A83" s="20"/>
      <c r="B83" s="92"/>
      <c r="C83" s="205" t="s">
        <v>293</v>
      </c>
      <c r="D83" s="201">
        <v>32</v>
      </c>
      <c r="E83" s="356" t="s">
        <v>184</v>
      </c>
      <c r="F83" s="357">
        <v>300</v>
      </c>
    </row>
    <row r="84" spans="1:35" ht="38.25" x14ac:dyDescent="0.2">
      <c r="A84" s="20"/>
      <c r="B84" s="203" t="s">
        <v>183</v>
      </c>
      <c r="C84" s="204">
        <f>+F83*D83</f>
        <v>9600</v>
      </c>
      <c r="D84" s="202">
        <v>32</v>
      </c>
      <c r="E84" s="358" t="s">
        <v>294</v>
      </c>
      <c r="F84" s="291">
        <v>52</v>
      </c>
      <c r="G84" s="205" t="s">
        <v>295</v>
      </c>
      <c r="H84" s="206">
        <f>+D84*F84</f>
        <v>1664</v>
      </c>
      <c r="I84" s="205"/>
    </row>
    <row r="85" spans="1:35" x14ac:dyDescent="0.2">
      <c r="A85" s="20"/>
      <c r="B85" s="20"/>
      <c r="C85" s="402" t="s">
        <v>55</v>
      </c>
      <c r="D85" s="402" t="s">
        <v>56</v>
      </c>
      <c r="E85" s="402" t="s">
        <v>57</v>
      </c>
      <c r="F85" s="402" t="s">
        <v>58</v>
      </c>
      <c r="G85" s="402" t="s">
        <v>59</v>
      </c>
      <c r="H85" s="402" t="s">
        <v>198</v>
      </c>
      <c r="I85" s="402" t="s">
        <v>199</v>
      </c>
      <c r="J85" s="402" t="s">
        <v>200</v>
      </c>
      <c r="K85" s="402" t="s">
        <v>201</v>
      </c>
      <c r="L85" s="402" t="s">
        <v>202</v>
      </c>
      <c r="M85" s="402" t="s">
        <v>203</v>
      </c>
      <c r="N85" s="402" t="s">
        <v>204</v>
      </c>
      <c r="O85" s="402" t="s">
        <v>205</v>
      </c>
      <c r="P85" s="402" t="s">
        <v>206</v>
      </c>
      <c r="Q85" s="402" t="s">
        <v>207</v>
      </c>
      <c r="R85" s="402" t="s">
        <v>208</v>
      </c>
      <c r="S85" s="402" t="s">
        <v>209</v>
      </c>
      <c r="T85" s="402" t="s">
        <v>210</v>
      </c>
      <c r="U85" s="402" t="s">
        <v>211</v>
      </c>
      <c r="V85" s="402" t="s">
        <v>212</v>
      </c>
      <c r="W85" s="402" t="s">
        <v>213</v>
      </c>
      <c r="X85" s="402" t="s">
        <v>214</v>
      </c>
      <c r="Y85" s="402" t="s">
        <v>215</v>
      </c>
      <c r="Z85" s="402" t="s">
        <v>216</v>
      </c>
      <c r="AA85" s="402" t="s">
        <v>217</v>
      </c>
      <c r="AB85" s="402" t="s">
        <v>218</v>
      </c>
      <c r="AC85" s="402" t="s">
        <v>219</v>
      </c>
      <c r="AD85" s="402" t="s">
        <v>220</v>
      </c>
      <c r="AE85" s="402" t="s">
        <v>221</v>
      </c>
      <c r="AF85" s="402" t="s">
        <v>222</v>
      </c>
    </row>
    <row r="86" spans="1:35" ht="25.5" x14ac:dyDescent="0.2">
      <c r="A86" s="321" t="s">
        <v>238</v>
      </c>
      <c r="B86" s="209" t="s">
        <v>296</v>
      </c>
      <c r="C86" s="207">
        <v>0</v>
      </c>
      <c r="D86" s="207">
        <v>0.02</v>
      </c>
      <c r="E86" s="207">
        <v>0.02</v>
      </c>
      <c r="F86" s="207">
        <v>0.03</v>
      </c>
      <c r="G86" s="208">
        <v>0.02</v>
      </c>
      <c r="H86" s="208">
        <v>0.02</v>
      </c>
      <c r="I86" s="208">
        <v>0.02</v>
      </c>
      <c r="J86" s="208">
        <v>0.02</v>
      </c>
      <c r="K86" s="208">
        <v>0.02</v>
      </c>
      <c r="L86" s="208">
        <v>0.01</v>
      </c>
      <c r="M86" s="208">
        <v>0.01</v>
      </c>
      <c r="N86" s="208">
        <v>0.01</v>
      </c>
      <c r="O86" s="208">
        <v>0.01</v>
      </c>
      <c r="P86" s="208">
        <v>0.01</v>
      </c>
      <c r="Q86" s="208">
        <v>0.01</v>
      </c>
      <c r="R86" s="208">
        <v>0.01</v>
      </c>
      <c r="S86" s="208">
        <v>0.01</v>
      </c>
      <c r="T86" s="208">
        <v>0.01</v>
      </c>
      <c r="U86" s="208">
        <v>0.01</v>
      </c>
      <c r="V86" s="208">
        <v>0.01</v>
      </c>
      <c r="W86" s="208">
        <v>0.01</v>
      </c>
      <c r="X86" s="208">
        <v>0.01</v>
      </c>
      <c r="Y86" s="208">
        <v>0.01</v>
      </c>
      <c r="Z86" s="208">
        <v>0.01</v>
      </c>
      <c r="AA86" s="208">
        <v>0.01</v>
      </c>
      <c r="AB86" s="208">
        <v>0.01</v>
      </c>
      <c r="AC86" s="208">
        <v>0.01</v>
      </c>
      <c r="AD86" s="208">
        <v>0.01</v>
      </c>
      <c r="AE86" s="208">
        <v>0.01</v>
      </c>
      <c r="AF86" s="208">
        <v>0.01</v>
      </c>
    </row>
    <row r="87" spans="1:35" x14ac:dyDescent="0.2">
      <c r="A87" s="95" t="s">
        <v>38</v>
      </c>
      <c r="B87" s="4"/>
      <c r="C87" s="199">
        <v>2024</v>
      </c>
      <c r="D87" s="199">
        <f>+C87+1</f>
        <v>2025</v>
      </c>
      <c r="E87" s="199">
        <f t="shared" ref="E87:AF87" si="21">+D87+1</f>
        <v>2026</v>
      </c>
      <c r="F87" s="199">
        <f t="shared" si="21"/>
        <v>2027</v>
      </c>
      <c r="G87" s="199">
        <f t="shared" si="21"/>
        <v>2028</v>
      </c>
      <c r="H87" s="199">
        <f t="shared" si="21"/>
        <v>2029</v>
      </c>
      <c r="I87" s="199">
        <f t="shared" si="21"/>
        <v>2030</v>
      </c>
      <c r="J87" s="199">
        <f t="shared" si="21"/>
        <v>2031</v>
      </c>
      <c r="K87" s="199">
        <f t="shared" si="21"/>
        <v>2032</v>
      </c>
      <c r="L87" s="199">
        <f t="shared" si="21"/>
        <v>2033</v>
      </c>
      <c r="M87" s="199">
        <f t="shared" si="21"/>
        <v>2034</v>
      </c>
      <c r="N87" s="199">
        <f t="shared" si="21"/>
        <v>2035</v>
      </c>
      <c r="O87" s="199">
        <f t="shared" si="21"/>
        <v>2036</v>
      </c>
      <c r="P87" s="199">
        <f t="shared" si="21"/>
        <v>2037</v>
      </c>
      <c r="Q87" s="199">
        <f t="shared" si="21"/>
        <v>2038</v>
      </c>
      <c r="R87" s="199">
        <f t="shared" si="21"/>
        <v>2039</v>
      </c>
      <c r="S87" s="199">
        <f t="shared" si="21"/>
        <v>2040</v>
      </c>
      <c r="T87" s="199">
        <f t="shared" si="21"/>
        <v>2041</v>
      </c>
      <c r="U87" s="199">
        <f t="shared" si="21"/>
        <v>2042</v>
      </c>
      <c r="V87" s="199">
        <f t="shared" si="21"/>
        <v>2043</v>
      </c>
      <c r="W87" s="199">
        <f t="shared" si="21"/>
        <v>2044</v>
      </c>
      <c r="X87" s="199">
        <f t="shared" si="21"/>
        <v>2045</v>
      </c>
      <c r="Y87" s="199">
        <f t="shared" si="21"/>
        <v>2046</v>
      </c>
      <c r="Z87" s="199">
        <f t="shared" si="21"/>
        <v>2047</v>
      </c>
      <c r="AA87" s="199">
        <f t="shared" si="21"/>
        <v>2048</v>
      </c>
      <c r="AB87" s="199">
        <f t="shared" si="21"/>
        <v>2049</v>
      </c>
      <c r="AC87" s="199">
        <f t="shared" si="21"/>
        <v>2050</v>
      </c>
      <c r="AD87" s="199">
        <f t="shared" si="21"/>
        <v>2051</v>
      </c>
      <c r="AE87" s="199">
        <f t="shared" si="21"/>
        <v>2052</v>
      </c>
      <c r="AF87" s="199">
        <f t="shared" si="21"/>
        <v>2053</v>
      </c>
      <c r="AG87" s="20"/>
      <c r="AH87" s="20"/>
      <c r="AI87" s="20"/>
    </row>
    <row r="88" spans="1:35" x14ac:dyDescent="0.2">
      <c r="A88" s="95" t="s">
        <v>85</v>
      </c>
      <c r="B88" s="95"/>
      <c r="C88" s="125">
        <v>0.8</v>
      </c>
      <c r="D88" s="125">
        <v>0.85</v>
      </c>
      <c r="E88" s="125">
        <v>0.9</v>
      </c>
      <c r="F88" s="125">
        <v>0.95</v>
      </c>
      <c r="G88" s="125">
        <v>1</v>
      </c>
      <c r="H88" s="125">
        <v>1</v>
      </c>
      <c r="I88" s="125">
        <v>1</v>
      </c>
      <c r="J88" s="125">
        <v>1</v>
      </c>
      <c r="K88" s="125">
        <v>1</v>
      </c>
      <c r="L88" s="125">
        <v>1</v>
      </c>
      <c r="M88" s="125">
        <v>1</v>
      </c>
      <c r="N88" s="125">
        <v>0.88</v>
      </c>
      <c r="O88" s="125">
        <v>0.9</v>
      </c>
      <c r="P88" s="125">
        <v>0.9</v>
      </c>
      <c r="Q88" s="125">
        <v>0.9</v>
      </c>
      <c r="R88" s="125">
        <v>0.9</v>
      </c>
      <c r="S88" s="125">
        <v>0.9</v>
      </c>
      <c r="T88" s="125">
        <v>0.9</v>
      </c>
      <c r="U88" s="125">
        <v>0.9</v>
      </c>
      <c r="V88" s="125">
        <v>0.9</v>
      </c>
      <c r="W88" s="125">
        <v>0.9</v>
      </c>
      <c r="X88" s="125">
        <v>0.9</v>
      </c>
      <c r="Y88" s="125">
        <v>0.9</v>
      </c>
      <c r="Z88" s="125">
        <v>0.9</v>
      </c>
      <c r="AA88" s="125">
        <v>0.9</v>
      </c>
      <c r="AB88" s="125">
        <v>0.9</v>
      </c>
      <c r="AC88" s="125">
        <v>0.9</v>
      </c>
      <c r="AD88" s="125">
        <v>0.9</v>
      </c>
      <c r="AE88" s="125">
        <v>0.9</v>
      </c>
      <c r="AF88" s="125">
        <v>0.9</v>
      </c>
    </row>
    <row r="89" spans="1:35" x14ac:dyDescent="0.2">
      <c r="A89" s="95" t="s">
        <v>297</v>
      </c>
      <c r="B89" s="95"/>
      <c r="C89" s="197">
        <f t="shared" ref="C89:AF89" si="22">ROUND($C$84*C88,0)</f>
        <v>7680</v>
      </c>
      <c r="D89" s="197">
        <f t="shared" si="22"/>
        <v>8160</v>
      </c>
      <c r="E89" s="197">
        <f t="shared" si="22"/>
        <v>8640</v>
      </c>
      <c r="F89" s="197">
        <f t="shared" si="22"/>
        <v>9120</v>
      </c>
      <c r="G89" s="197">
        <f t="shared" si="22"/>
        <v>9600</v>
      </c>
      <c r="H89" s="197">
        <f t="shared" si="22"/>
        <v>9600</v>
      </c>
      <c r="I89" s="197">
        <f t="shared" si="22"/>
        <v>9600</v>
      </c>
      <c r="J89" s="197">
        <f t="shared" si="22"/>
        <v>9600</v>
      </c>
      <c r="K89" s="197">
        <f t="shared" si="22"/>
        <v>9600</v>
      </c>
      <c r="L89" s="197">
        <f t="shared" si="22"/>
        <v>9600</v>
      </c>
      <c r="M89" s="197">
        <f t="shared" si="22"/>
        <v>9600</v>
      </c>
      <c r="N89" s="197">
        <f t="shared" si="22"/>
        <v>8448</v>
      </c>
      <c r="O89" s="197">
        <f t="shared" si="22"/>
        <v>8640</v>
      </c>
      <c r="P89" s="197">
        <f t="shared" si="22"/>
        <v>8640</v>
      </c>
      <c r="Q89" s="197">
        <f t="shared" si="22"/>
        <v>8640</v>
      </c>
      <c r="R89" s="197">
        <f t="shared" si="22"/>
        <v>8640</v>
      </c>
      <c r="S89" s="197">
        <f t="shared" si="22"/>
        <v>8640</v>
      </c>
      <c r="T89" s="197">
        <f t="shared" si="22"/>
        <v>8640</v>
      </c>
      <c r="U89" s="197">
        <f t="shared" si="22"/>
        <v>8640</v>
      </c>
      <c r="V89" s="197">
        <f t="shared" si="22"/>
        <v>8640</v>
      </c>
      <c r="W89" s="197">
        <f t="shared" si="22"/>
        <v>8640</v>
      </c>
      <c r="X89" s="197">
        <f t="shared" si="22"/>
        <v>8640</v>
      </c>
      <c r="Y89" s="197">
        <f t="shared" si="22"/>
        <v>8640</v>
      </c>
      <c r="Z89" s="197">
        <f t="shared" si="22"/>
        <v>8640</v>
      </c>
      <c r="AA89" s="197">
        <f t="shared" si="22"/>
        <v>8640</v>
      </c>
      <c r="AB89" s="197">
        <f t="shared" si="22"/>
        <v>8640</v>
      </c>
      <c r="AC89" s="197">
        <f t="shared" si="22"/>
        <v>8640</v>
      </c>
      <c r="AD89" s="197">
        <f t="shared" si="22"/>
        <v>8640</v>
      </c>
      <c r="AE89" s="197">
        <f t="shared" si="22"/>
        <v>8640</v>
      </c>
      <c r="AF89" s="197">
        <f t="shared" si="22"/>
        <v>8640</v>
      </c>
    </row>
    <row r="90" spans="1:35" x14ac:dyDescent="0.2">
      <c r="A90" s="95" t="s">
        <v>298</v>
      </c>
      <c r="B90" s="95"/>
      <c r="C90" s="107">
        <v>30</v>
      </c>
      <c r="D90" s="94">
        <f>ROUND(C90*(1+$F$86),2)</f>
        <v>30.9</v>
      </c>
      <c r="E90" s="94">
        <f>ROUND(D90*(1+$F$86),2)</f>
        <v>31.83</v>
      </c>
      <c r="F90" s="94">
        <f>ROUND(E90*(1+$F$86),2)</f>
        <v>32.78</v>
      </c>
      <c r="G90" s="94">
        <f>ROUND(F90*(1+G86),2)</f>
        <v>33.44</v>
      </c>
      <c r="H90" s="94">
        <f t="shared" ref="H90:AF90" si="23">ROUND(G90*(1+H86),2)</f>
        <v>34.11</v>
      </c>
      <c r="I90" s="94">
        <f t="shared" si="23"/>
        <v>34.79</v>
      </c>
      <c r="J90" s="94">
        <f t="shared" si="23"/>
        <v>35.49</v>
      </c>
      <c r="K90" s="94">
        <f t="shared" si="23"/>
        <v>36.200000000000003</v>
      </c>
      <c r="L90" s="94">
        <f t="shared" si="23"/>
        <v>36.56</v>
      </c>
      <c r="M90" s="94">
        <f t="shared" si="23"/>
        <v>36.93</v>
      </c>
      <c r="N90" s="94">
        <f t="shared" si="23"/>
        <v>37.299999999999997</v>
      </c>
      <c r="O90" s="94">
        <f t="shared" si="23"/>
        <v>37.67</v>
      </c>
      <c r="P90" s="94">
        <f t="shared" si="23"/>
        <v>38.049999999999997</v>
      </c>
      <c r="Q90" s="94">
        <f t="shared" si="23"/>
        <v>38.43</v>
      </c>
      <c r="R90" s="94">
        <f t="shared" si="23"/>
        <v>38.81</v>
      </c>
      <c r="S90" s="94">
        <f t="shared" si="23"/>
        <v>39.200000000000003</v>
      </c>
      <c r="T90" s="94">
        <f t="shared" si="23"/>
        <v>39.590000000000003</v>
      </c>
      <c r="U90" s="94">
        <f t="shared" si="23"/>
        <v>39.99</v>
      </c>
      <c r="V90" s="94">
        <f t="shared" si="23"/>
        <v>40.39</v>
      </c>
      <c r="W90" s="94">
        <f t="shared" si="23"/>
        <v>40.79</v>
      </c>
      <c r="X90" s="94">
        <f t="shared" si="23"/>
        <v>41.2</v>
      </c>
      <c r="Y90" s="94">
        <f t="shared" si="23"/>
        <v>41.61</v>
      </c>
      <c r="Z90" s="94">
        <f t="shared" si="23"/>
        <v>42.03</v>
      </c>
      <c r="AA90" s="94">
        <f t="shared" si="23"/>
        <v>42.45</v>
      </c>
      <c r="AB90" s="94">
        <f t="shared" si="23"/>
        <v>42.87</v>
      </c>
      <c r="AC90" s="94">
        <f t="shared" si="23"/>
        <v>43.3</v>
      </c>
      <c r="AD90" s="94">
        <f t="shared" si="23"/>
        <v>43.73</v>
      </c>
      <c r="AE90" s="94">
        <f t="shared" si="23"/>
        <v>44.17</v>
      </c>
      <c r="AF90" s="94">
        <f t="shared" si="23"/>
        <v>44.61</v>
      </c>
    </row>
    <row r="91" spans="1:35" x14ac:dyDescent="0.2">
      <c r="A91" s="9" t="s">
        <v>299</v>
      </c>
      <c r="B91" s="9"/>
      <c r="C91" s="198">
        <f>ROUND(C89*C90,0)</f>
        <v>230400</v>
      </c>
      <c r="D91" s="198">
        <f t="shared" ref="D91:AF91" si="24">ROUND(D89*D90,0)</f>
        <v>252144</v>
      </c>
      <c r="E91" s="198">
        <f t="shared" si="24"/>
        <v>275011</v>
      </c>
      <c r="F91" s="198">
        <f t="shared" si="24"/>
        <v>298954</v>
      </c>
      <c r="G91" s="198">
        <f t="shared" si="24"/>
        <v>321024</v>
      </c>
      <c r="H91" s="198">
        <f t="shared" si="24"/>
        <v>327456</v>
      </c>
      <c r="I91" s="198">
        <f t="shared" si="24"/>
        <v>333984</v>
      </c>
      <c r="J91" s="198">
        <f t="shared" si="24"/>
        <v>340704</v>
      </c>
      <c r="K91" s="198">
        <f t="shared" si="24"/>
        <v>347520</v>
      </c>
      <c r="L91" s="198">
        <f t="shared" si="24"/>
        <v>350976</v>
      </c>
      <c r="M91" s="198">
        <f t="shared" si="24"/>
        <v>354528</v>
      </c>
      <c r="N91" s="198">
        <f t="shared" si="24"/>
        <v>315110</v>
      </c>
      <c r="O91" s="198">
        <f t="shared" si="24"/>
        <v>325469</v>
      </c>
      <c r="P91" s="198">
        <f t="shared" si="24"/>
        <v>328752</v>
      </c>
      <c r="Q91" s="198">
        <f t="shared" si="24"/>
        <v>332035</v>
      </c>
      <c r="R91" s="198">
        <f t="shared" si="24"/>
        <v>335318</v>
      </c>
      <c r="S91" s="198">
        <f t="shared" si="24"/>
        <v>338688</v>
      </c>
      <c r="T91" s="198">
        <f t="shared" si="24"/>
        <v>342058</v>
      </c>
      <c r="U91" s="198">
        <f t="shared" si="24"/>
        <v>345514</v>
      </c>
      <c r="V91" s="198">
        <f t="shared" si="24"/>
        <v>348970</v>
      </c>
      <c r="W91" s="198">
        <f t="shared" si="24"/>
        <v>352426</v>
      </c>
      <c r="X91" s="198">
        <f t="shared" si="24"/>
        <v>355968</v>
      </c>
      <c r="Y91" s="198">
        <f t="shared" si="24"/>
        <v>359510</v>
      </c>
      <c r="Z91" s="198">
        <f t="shared" si="24"/>
        <v>363139</v>
      </c>
      <c r="AA91" s="198">
        <f t="shared" si="24"/>
        <v>366768</v>
      </c>
      <c r="AB91" s="198">
        <f t="shared" si="24"/>
        <v>370397</v>
      </c>
      <c r="AC91" s="198">
        <f t="shared" si="24"/>
        <v>374112</v>
      </c>
      <c r="AD91" s="198">
        <f t="shared" si="24"/>
        <v>377827</v>
      </c>
      <c r="AE91" s="198">
        <f t="shared" si="24"/>
        <v>381629</v>
      </c>
      <c r="AF91" s="198">
        <f t="shared" si="24"/>
        <v>385430</v>
      </c>
    </row>
    <row r="92" spans="1:35" x14ac:dyDescent="0.2">
      <c r="A92" s="9" t="s">
        <v>300</v>
      </c>
      <c r="B92" s="95"/>
      <c r="C92" s="4"/>
      <c r="D92" s="4"/>
      <c r="E92" s="7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</row>
    <row r="93" spans="1:35" x14ac:dyDescent="0.2">
      <c r="A93" s="95" t="s">
        <v>85</v>
      </c>
      <c r="B93" s="95"/>
      <c r="C93" s="125">
        <v>0.59999999999999987</v>
      </c>
      <c r="D93" s="125">
        <v>0.63333333333333353</v>
      </c>
      <c r="E93" s="125">
        <v>0.66666666666666674</v>
      </c>
      <c r="F93" s="125">
        <v>0.7</v>
      </c>
      <c r="G93" s="125">
        <v>0.73</v>
      </c>
      <c r="H93" s="125">
        <v>0.75</v>
      </c>
      <c r="I93" s="125">
        <v>0.77</v>
      </c>
      <c r="J93" s="125">
        <v>0.8</v>
      </c>
      <c r="K93" s="125">
        <v>0.82</v>
      </c>
      <c r="L93" s="125">
        <v>0.84</v>
      </c>
      <c r="M93" s="125">
        <v>0.86</v>
      </c>
      <c r="N93" s="125">
        <v>0.88</v>
      </c>
      <c r="O93" s="125">
        <v>0.9</v>
      </c>
      <c r="P93" s="125">
        <v>0.9</v>
      </c>
      <c r="Q93" s="125">
        <v>0.9</v>
      </c>
      <c r="R93" s="125">
        <v>0.9</v>
      </c>
      <c r="S93" s="125">
        <v>0.9</v>
      </c>
      <c r="T93" s="125">
        <v>0.9</v>
      </c>
      <c r="U93" s="125">
        <v>0.9</v>
      </c>
      <c r="V93" s="125">
        <v>0.9</v>
      </c>
      <c r="W93" s="125">
        <v>0.9</v>
      </c>
      <c r="X93" s="125">
        <v>0.9</v>
      </c>
      <c r="Y93" s="125">
        <v>0.9</v>
      </c>
      <c r="Z93" s="125">
        <v>0.9</v>
      </c>
      <c r="AA93" s="125">
        <v>0.9</v>
      </c>
      <c r="AB93" s="125">
        <v>0.9</v>
      </c>
      <c r="AC93" s="125">
        <v>0.9</v>
      </c>
      <c r="AD93" s="125">
        <v>0.9</v>
      </c>
      <c r="AE93" s="125">
        <v>0.9</v>
      </c>
      <c r="AF93" s="125">
        <v>0.9</v>
      </c>
    </row>
    <row r="94" spans="1:35" x14ac:dyDescent="0.2">
      <c r="A94" s="95" t="s">
        <v>301</v>
      </c>
      <c r="B94" s="95"/>
      <c r="C94" s="197">
        <f>ROUND($H$84*C93,0)</f>
        <v>998</v>
      </c>
      <c r="D94" s="197">
        <f>ROUND($H$84*D93,0)</f>
        <v>1054</v>
      </c>
      <c r="E94" s="197">
        <f t="shared" ref="E94:AF94" si="25">ROUND($H$84*E93,0)</f>
        <v>1109</v>
      </c>
      <c r="F94" s="197">
        <f t="shared" si="25"/>
        <v>1165</v>
      </c>
      <c r="G94" s="197">
        <f t="shared" si="25"/>
        <v>1215</v>
      </c>
      <c r="H94" s="197">
        <f t="shared" si="25"/>
        <v>1248</v>
      </c>
      <c r="I94" s="197">
        <f t="shared" si="25"/>
        <v>1281</v>
      </c>
      <c r="J94" s="197">
        <f t="shared" si="25"/>
        <v>1331</v>
      </c>
      <c r="K94" s="197">
        <f t="shared" si="25"/>
        <v>1364</v>
      </c>
      <c r="L94" s="197">
        <f t="shared" si="25"/>
        <v>1398</v>
      </c>
      <c r="M94" s="197">
        <f t="shared" si="25"/>
        <v>1431</v>
      </c>
      <c r="N94" s="197">
        <f t="shared" si="25"/>
        <v>1464</v>
      </c>
      <c r="O94" s="197">
        <f t="shared" si="25"/>
        <v>1498</v>
      </c>
      <c r="P94" s="197">
        <f t="shared" si="25"/>
        <v>1498</v>
      </c>
      <c r="Q94" s="197">
        <f t="shared" si="25"/>
        <v>1498</v>
      </c>
      <c r="R94" s="197">
        <f t="shared" si="25"/>
        <v>1498</v>
      </c>
      <c r="S94" s="197">
        <f t="shared" si="25"/>
        <v>1498</v>
      </c>
      <c r="T94" s="197">
        <f t="shared" si="25"/>
        <v>1498</v>
      </c>
      <c r="U94" s="197">
        <f t="shared" si="25"/>
        <v>1498</v>
      </c>
      <c r="V94" s="197">
        <f t="shared" si="25"/>
        <v>1498</v>
      </c>
      <c r="W94" s="197">
        <f t="shared" si="25"/>
        <v>1498</v>
      </c>
      <c r="X94" s="197">
        <f t="shared" si="25"/>
        <v>1498</v>
      </c>
      <c r="Y94" s="197">
        <f t="shared" si="25"/>
        <v>1498</v>
      </c>
      <c r="Z94" s="197">
        <f t="shared" si="25"/>
        <v>1498</v>
      </c>
      <c r="AA94" s="197">
        <f t="shared" si="25"/>
        <v>1498</v>
      </c>
      <c r="AB94" s="197">
        <f t="shared" si="25"/>
        <v>1498</v>
      </c>
      <c r="AC94" s="197">
        <f t="shared" si="25"/>
        <v>1498</v>
      </c>
      <c r="AD94" s="197">
        <f t="shared" si="25"/>
        <v>1498</v>
      </c>
      <c r="AE94" s="197">
        <f t="shared" si="25"/>
        <v>1498</v>
      </c>
      <c r="AF94" s="197">
        <f t="shared" si="25"/>
        <v>1498</v>
      </c>
    </row>
    <row r="95" spans="1:35" x14ac:dyDescent="0.2">
      <c r="A95" s="95" t="s">
        <v>302</v>
      </c>
      <c r="B95" s="95"/>
      <c r="C95" s="107">
        <v>10</v>
      </c>
      <c r="D95" s="4">
        <f>ROUND(C95*(1+D86),2)</f>
        <v>10.199999999999999</v>
      </c>
      <c r="E95" s="4">
        <f t="shared" ref="E95:AF95" si="26">ROUND(D95*(1+E86),2)</f>
        <v>10.4</v>
      </c>
      <c r="F95" s="4">
        <f t="shared" si="26"/>
        <v>10.71</v>
      </c>
      <c r="G95" s="4">
        <f t="shared" si="26"/>
        <v>10.92</v>
      </c>
      <c r="H95" s="4">
        <f t="shared" si="26"/>
        <v>11.14</v>
      </c>
      <c r="I95" s="4">
        <f t="shared" si="26"/>
        <v>11.36</v>
      </c>
      <c r="J95" s="4">
        <f t="shared" si="26"/>
        <v>11.59</v>
      </c>
      <c r="K95" s="4">
        <f t="shared" si="26"/>
        <v>11.82</v>
      </c>
      <c r="L95" s="4">
        <f t="shared" si="26"/>
        <v>11.94</v>
      </c>
      <c r="M95" s="4">
        <f t="shared" si="26"/>
        <v>12.06</v>
      </c>
      <c r="N95" s="4">
        <f t="shared" si="26"/>
        <v>12.18</v>
      </c>
      <c r="O95" s="4">
        <f t="shared" si="26"/>
        <v>12.3</v>
      </c>
      <c r="P95" s="4">
        <f t="shared" si="26"/>
        <v>12.42</v>
      </c>
      <c r="Q95" s="4">
        <f t="shared" si="26"/>
        <v>12.54</v>
      </c>
      <c r="R95" s="4">
        <f t="shared" si="26"/>
        <v>12.67</v>
      </c>
      <c r="S95" s="4">
        <f t="shared" si="26"/>
        <v>12.8</v>
      </c>
      <c r="T95" s="4">
        <f t="shared" si="26"/>
        <v>12.93</v>
      </c>
      <c r="U95" s="4">
        <f t="shared" si="26"/>
        <v>13.06</v>
      </c>
      <c r="V95" s="4">
        <f t="shared" si="26"/>
        <v>13.19</v>
      </c>
      <c r="W95" s="4">
        <f t="shared" si="26"/>
        <v>13.32</v>
      </c>
      <c r="X95" s="4">
        <f t="shared" si="26"/>
        <v>13.45</v>
      </c>
      <c r="Y95" s="4">
        <f t="shared" si="26"/>
        <v>13.58</v>
      </c>
      <c r="Z95" s="4">
        <f t="shared" si="26"/>
        <v>13.72</v>
      </c>
      <c r="AA95" s="4">
        <f t="shared" si="26"/>
        <v>13.86</v>
      </c>
      <c r="AB95" s="4">
        <f t="shared" si="26"/>
        <v>14</v>
      </c>
      <c r="AC95" s="4">
        <f t="shared" si="26"/>
        <v>14.14</v>
      </c>
      <c r="AD95" s="4">
        <f t="shared" si="26"/>
        <v>14.28</v>
      </c>
      <c r="AE95" s="4">
        <f t="shared" si="26"/>
        <v>14.42</v>
      </c>
      <c r="AF95" s="4">
        <f t="shared" si="26"/>
        <v>14.56</v>
      </c>
    </row>
    <row r="96" spans="1:35" x14ac:dyDescent="0.2">
      <c r="A96" s="9" t="s">
        <v>303</v>
      </c>
      <c r="B96" s="9"/>
      <c r="C96" s="198">
        <f>ROUND(C94*C95,0)</f>
        <v>9980</v>
      </c>
      <c r="D96" s="198">
        <f t="shared" ref="D96:AF96" si="27">ROUND(D94*D95,0)</f>
        <v>10751</v>
      </c>
      <c r="E96" s="198">
        <f t="shared" si="27"/>
        <v>11534</v>
      </c>
      <c r="F96" s="198">
        <f t="shared" si="27"/>
        <v>12477</v>
      </c>
      <c r="G96" s="198">
        <f t="shared" si="27"/>
        <v>13268</v>
      </c>
      <c r="H96" s="198">
        <f t="shared" si="27"/>
        <v>13903</v>
      </c>
      <c r="I96" s="198">
        <f t="shared" si="27"/>
        <v>14552</v>
      </c>
      <c r="J96" s="198">
        <f t="shared" si="27"/>
        <v>15426</v>
      </c>
      <c r="K96" s="198">
        <f t="shared" si="27"/>
        <v>16122</v>
      </c>
      <c r="L96" s="198">
        <f t="shared" si="27"/>
        <v>16692</v>
      </c>
      <c r="M96" s="198">
        <f t="shared" si="27"/>
        <v>17258</v>
      </c>
      <c r="N96" s="198">
        <f t="shared" si="27"/>
        <v>17832</v>
      </c>
      <c r="O96" s="198">
        <f t="shared" si="27"/>
        <v>18425</v>
      </c>
      <c r="P96" s="198">
        <f t="shared" si="27"/>
        <v>18605</v>
      </c>
      <c r="Q96" s="198">
        <f t="shared" si="27"/>
        <v>18785</v>
      </c>
      <c r="R96" s="198">
        <f t="shared" si="27"/>
        <v>18980</v>
      </c>
      <c r="S96" s="198">
        <f t="shared" si="27"/>
        <v>19174</v>
      </c>
      <c r="T96" s="198">
        <f t="shared" si="27"/>
        <v>19369</v>
      </c>
      <c r="U96" s="198">
        <f t="shared" si="27"/>
        <v>19564</v>
      </c>
      <c r="V96" s="198">
        <f t="shared" si="27"/>
        <v>19759</v>
      </c>
      <c r="W96" s="198">
        <f t="shared" si="27"/>
        <v>19953</v>
      </c>
      <c r="X96" s="198">
        <f t="shared" si="27"/>
        <v>20148</v>
      </c>
      <c r="Y96" s="198">
        <f t="shared" si="27"/>
        <v>20343</v>
      </c>
      <c r="Z96" s="198">
        <f t="shared" si="27"/>
        <v>20553</v>
      </c>
      <c r="AA96" s="198">
        <f t="shared" si="27"/>
        <v>20762</v>
      </c>
      <c r="AB96" s="198">
        <f t="shared" si="27"/>
        <v>20972</v>
      </c>
      <c r="AC96" s="198">
        <f t="shared" si="27"/>
        <v>21182</v>
      </c>
      <c r="AD96" s="198">
        <f t="shared" si="27"/>
        <v>21391</v>
      </c>
      <c r="AE96" s="198">
        <f t="shared" si="27"/>
        <v>21601</v>
      </c>
      <c r="AF96" s="198">
        <f t="shared" si="27"/>
        <v>21811</v>
      </c>
    </row>
    <row r="97" spans="1:32" x14ac:dyDescent="0.2">
      <c r="A97" s="9" t="s">
        <v>304</v>
      </c>
      <c r="B97" s="9"/>
      <c r="C97" s="359">
        <v>4000</v>
      </c>
      <c r="D97" s="347">
        <f>+C97*(1+$D$86)</f>
        <v>4080</v>
      </c>
      <c r="E97" s="347">
        <f t="shared" ref="E97:AF97" si="28">+D97*(1+$D$86)</f>
        <v>4161.6000000000004</v>
      </c>
      <c r="F97" s="347">
        <f t="shared" si="28"/>
        <v>4244.8320000000003</v>
      </c>
      <c r="G97" s="347">
        <f t="shared" si="28"/>
        <v>4329.7286400000003</v>
      </c>
      <c r="H97" s="347">
        <f t="shared" si="28"/>
        <v>4416.3232128</v>
      </c>
      <c r="I97" s="347">
        <f t="shared" si="28"/>
        <v>4504.6496770559997</v>
      </c>
      <c r="J97" s="347">
        <f t="shared" si="28"/>
        <v>4594.7426705971202</v>
      </c>
      <c r="K97" s="347">
        <f t="shared" si="28"/>
        <v>4686.6375240090629</v>
      </c>
      <c r="L97" s="347">
        <f t="shared" si="28"/>
        <v>4780.3702744892444</v>
      </c>
      <c r="M97" s="347">
        <f t="shared" si="28"/>
        <v>4875.9776799790297</v>
      </c>
      <c r="N97" s="347">
        <f t="shared" si="28"/>
        <v>4973.4972335786106</v>
      </c>
      <c r="O97" s="347">
        <f t="shared" si="28"/>
        <v>5072.9671782501828</v>
      </c>
      <c r="P97" s="347">
        <f t="shared" si="28"/>
        <v>5174.4265218151868</v>
      </c>
      <c r="Q97" s="347">
        <f t="shared" si="28"/>
        <v>5277.915052251491</v>
      </c>
      <c r="R97" s="347">
        <f t="shared" si="28"/>
        <v>5383.4733532965211</v>
      </c>
      <c r="S97" s="347">
        <f t="shared" si="28"/>
        <v>5491.1428203624519</v>
      </c>
      <c r="T97" s="347">
        <f t="shared" si="28"/>
        <v>5600.9656767697006</v>
      </c>
      <c r="U97" s="347">
        <f t="shared" si="28"/>
        <v>5712.9849903050945</v>
      </c>
      <c r="V97" s="347">
        <f t="shared" si="28"/>
        <v>5827.2446901111962</v>
      </c>
      <c r="W97" s="347">
        <f t="shared" si="28"/>
        <v>5943.7895839134198</v>
      </c>
      <c r="X97" s="347">
        <f t="shared" si="28"/>
        <v>6062.6653755916886</v>
      </c>
      <c r="Y97" s="347">
        <f t="shared" si="28"/>
        <v>6183.9186831035222</v>
      </c>
      <c r="Z97" s="347">
        <f t="shared" si="28"/>
        <v>6307.5970567655932</v>
      </c>
      <c r="AA97" s="347">
        <f t="shared" si="28"/>
        <v>6433.7489979009051</v>
      </c>
      <c r="AB97" s="347">
        <f t="shared" si="28"/>
        <v>6562.4239778589235</v>
      </c>
      <c r="AC97" s="347">
        <f t="shared" si="28"/>
        <v>6693.6724574161017</v>
      </c>
      <c r="AD97" s="347">
        <f t="shared" si="28"/>
        <v>6827.5459065644236</v>
      </c>
      <c r="AE97" s="347">
        <f t="shared" si="28"/>
        <v>6964.0968246957118</v>
      </c>
      <c r="AF97" s="347">
        <f t="shared" si="28"/>
        <v>7103.3787611896259</v>
      </c>
    </row>
    <row r="98" spans="1:32" x14ac:dyDescent="0.2">
      <c r="A98" s="4"/>
      <c r="B98" s="4"/>
      <c r="C98" s="4"/>
      <c r="D98" s="4"/>
      <c r="E98" s="7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</row>
    <row r="99" spans="1:32" x14ac:dyDescent="0.2">
      <c r="A99" s="4"/>
      <c r="B99" s="4"/>
      <c r="C99" s="4"/>
      <c r="D99" s="4"/>
      <c r="E99" s="7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</row>
    <row r="100" spans="1:32" x14ac:dyDescent="0.2">
      <c r="A100" s="188" t="s">
        <v>51</v>
      </c>
      <c r="B100" s="188"/>
      <c r="C100" s="213">
        <f>+C91+C96+C97</f>
        <v>244380</v>
      </c>
      <c r="D100" s="213">
        <f t="shared" ref="D100:AF100" si="29">+D91+D96+D97</f>
        <v>266975</v>
      </c>
      <c r="E100" s="213">
        <f t="shared" si="29"/>
        <v>290706.59999999998</v>
      </c>
      <c r="F100" s="213">
        <f t="shared" si="29"/>
        <v>315675.83199999999</v>
      </c>
      <c r="G100" s="213">
        <f t="shared" si="29"/>
        <v>338621.72863999999</v>
      </c>
      <c r="H100" s="213">
        <f t="shared" si="29"/>
        <v>345775.32321280002</v>
      </c>
      <c r="I100" s="213">
        <f t="shared" si="29"/>
        <v>353040.649677056</v>
      </c>
      <c r="J100" s="213">
        <f t="shared" si="29"/>
        <v>360724.7426705971</v>
      </c>
      <c r="K100" s="213">
        <f t="shared" si="29"/>
        <v>368328.63752400904</v>
      </c>
      <c r="L100" s="213">
        <f t="shared" si="29"/>
        <v>372448.37027448922</v>
      </c>
      <c r="M100" s="213">
        <f t="shared" si="29"/>
        <v>376661.97767997906</v>
      </c>
      <c r="N100" s="213">
        <f t="shared" si="29"/>
        <v>337915.49723357859</v>
      </c>
      <c r="O100" s="213">
        <f t="shared" si="29"/>
        <v>348966.9671782502</v>
      </c>
      <c r="P100" s="213">
        <f t="shared" si="29"/>
        <v>352531.42652181518</v>
      </c>
      <c r="Q100" s="213">
        <f t="shared" si="29"/>
        <v>356097.91505225148</v>
      </c>
      <c r="R100" s="213">
        <f t="shared" si="29"/>
        <v>359681.47335329652</v>
      </c>
      <c r="S100" s="213">
        <f t="shared" si="29"/>
        <v>363353.14282036247</v>
      </c>
      <c r="T100" s="213">
        <f t="shared" si="29"/>
        <v>367027.96567676967</v>
      </c>
      <c r="U100" s="213">
        <f t="shared" si="29"/>
        <v>370790.98499030509</v>
      </c>
      <c r="V100" s="213">
        <f t="shared" si="29"/>
        <v>374556.2446901112</v>
      </c>
      <c r="W100" s="213">
        <f t="shared" si="29"/>
        <v>378322.7895839134</v>
      </c>
      <c r="X100" s="213">
        <f t="shared" si="29"/>
        <v>382178.66537559166</v>
      </c>
      <c r="Y100" s="213">
        <f t="shared" si="29"/>
        <v>386036.91868310352</v>
      </c>
      <c r="Z100" s="213">
        <f t="shared" si="29"/>
        <v>389999.59705676557</v>
      </c>
      <c r="AA100" s="213">
        <f t="shared" si="29"/>
        <v>393963.74899790093</v>
      </c>
      <c r="AB100" s="213">
        <f t="shared" si="29"/>
        <v>397931.42397785891</v>
      </c>
      <c r="AC100" s="213">
        <f t="shared" si="29"/>
        <v>401987.67245741608</v>
      </c>
      <c r="AD100" s="213">
        <f t="shared" si="29"/>
        <v>406045.5459065644</v>
      </c>
      <c r="AE100" s="213">
        <f t="shared" si="29"/>
        <v>410194.09682469571</v>
      </c>
      <c r="AF100" s="213">
        <f t="shared" si="29"/>
        <v>414344.37876118964</v>
      </c>
    </row>
    <row r="102" spans="1:32" hidden="1" x14ac:dyDescent="0.2">
      <c r="A102" s="20" t="s">
        <v>186</v>
      </c>
      <c r="B102" s="210">
        <v>7</v>
      </c>
    </row>
    <row r="103" spans="1:32" hidden="1" x14ac:dyDescent="0.2">
      <c r="A103" s="20" t="s">
        <v>187</v>
      </c>
      <c r="B103" s="210">
        <v>1</v>
      </c>
      <c r="D103" s="230"/>
    </row>
    <row r="104" spans="1:32" hidden="1" x14ac:dyDescent="0.2">
      <c r="A104" s="20"/>
    </row>
    <row r="105" spans="1:32" x14ac:dyDescent="0.2">
      <c r="A105" s="9" t="s">
        <v>90</v>
      </c>
      <c r="B105" s="2" t="s">
        <v>185</v>
      </c>
      <c r="C105" s="402" t="s">
        <v>62</v>
      </c>
      <c r="D105" s="402" t="s">
        <v>63</v>
      </c>
      <c r="E105" s="402" t="s">
        <v>64</v>
      </c>
      <c r="F105" s="402" t="s">
        <v>69</v>
      </c>
      <c r="G105" s="402" t="s">
        <v>70</v>
      </c>
      <c r="H105" s="402" t="s">
        <v>71</v>
      </c>
      <c r="I105" s="402" t="s">
        <v>72</v>
      </c>
      <c r="J105" s="402" t="s">
        <v>73</v>
      </c>
      <c r="K105" s="402" t="s">
        <v>74</v>
      </c>
      <c r="L105" s="402" t="s">
        <v>75</v>
      </c>
      <c r="M105" s="402" t="s">
        <v>76</v>
      </c>
      <c r="N105" s="402" t="s">
        <v>77</v>
      </c>
      <c r="O105" s="402" t="s">
        <v>78</v>
      </c>
      <c r="P105" s="402" t="s">
        <v>79</v>
      </c>
      <c r="Q105" s="402" t="s">
        <v>80</v>
      </c>
      <c r="R105" s="402" t="s">
        <v>81</v>
      </c>
      <c r="S105" s="402" t="s">
        <v>82</v>
      </c>
      <c r="T105" s="402" t="s">
        <v>83</v>
      </c>
      <c r="U105" s="402" t="s">
        <v>84</v>
      </c>
      <c r="V105" s="402" t="s">
        <v>86</v>
      </c>
      <c r="W105" s="402" t="s">
        <v>87</v>
      </c>
      <c r="X105" s="402" t="s">
        <v>88</v>
      </c>
      <c r="Y105" s="402" t="s">
        <v>89</v>
      </c>
      <c r="Z105" s="402" t="s">
        <v>107</v>
      </c>
      <c r="AA105" s="402" t="s">
        <v>108</v>
      </c>
      <c r="AB105" s="402" t="s">
        <v>109</v>
      </c>
      <c r="AC105" s="402" t="s">
        <v>110</v>
      </c>
      <c r="AD105" s="402" t="s">
        <v>111</v>
      </c>
      <c r="AE105" s="402" t="s">
        <v>112</v>
      </c>
      <c r="AF105" s="402" t="s">
        <v>113</v>
      </c>
    </row>
    <row r="106" spans="1:32" x14ac:dyDescent="0.2">
      <c r="A106" s="95" t="s">
        <v>305</v>
      </c>
      <c r="B106" s="316">
        <v>0.3</v>
      </c>
      <c r="C106" s="197">
        <f>ROUND(C91*$B$106,0)</f>
        <v>69120</v>
      </c>
      <c r="D106" s="197">
        <f t="shared" ref="D106:AF106" si="30">ROUND(D91*$B$106,0)</f>
        <v>75643</v>
      </c>
      <c r="E106" s="197">
        <f t="shared" si="30"/>
        <v>82503</v>
      </c>
      <c r="F106" s="197">
        <f t="shared" si="30"/>
        <v>89686</v>
      </c>
      <c r="G106" s="197">
        <f t="shared" si="30"/>
        <v>96307</v>
      </c>
      <c r="H106" s="197">
        <f t="shared" si="30"/>
        <v>98237</v>
      </c>
      <c r="I106" s="197">
        <f t="shared" si="30"/>
        <v>100195</v>
      </c>
      <c r="J106" s="197">
        <f t="shared" si="30"/>
        <v>102211</v>
      </c>
      <c r="K106" s="197">
        <f t="shared" si="30"/>
        <v>104256</v>
      </c>
      <c r="L106" s="197">
        <f t="shared" si="30"/>
        <v>105293</v>
      </c>
      <c r="M106" s="211">
        <f t="shared" si="30"/>
        <v>106358</v>
      </c>
      <c r="N106" s="211">
        <f t="shared" si="30"/>
        <v>94533</v>
      </c>
      <c r="O106" s="211">
        <f t="shared" si="30"/>
        <v>97641</v>
      </c>
      <c r="P106" s="211">
        <f t="shared" si="30"/>
        <v>98626</v>
      </c>
      <c r="Q106" s="211">
        <f t="shared" si="30"/>
        <v>99611</v>
      </c>
      <c r="R106" s="211">
        <f t="shared" si="30"/>
        <v>100595</v>
      </c>
      <c r="S106" s="211">
        <f t="shared" si="30"/>
        <v>101606</v>
      </c>
      <c r="T106" s="211">
        <f t="shared" si="30"/>
        <v>102617</v>
      </c>
      <c r="U106" s="211">
        <f t="shared" si="30"/>
        <v>103654</v>
      </c>
      <c r="V106" s="211">
        <f t="shared" si="30"/>
        <v>104691</v>
      </c>
      <c r="W106" s="211">
        <f t="shared" si="30"/>
        <v>105728</v>
      </c>
      <c r="X106" s="211">
        <f t="shared" si="30"/>
        <v>106790</v>
      </c>
      <c r="Y106" s="211">
        <f t="shared" si="30"/>
        <v>107853</v>
      </c>
      <c r="Z106" s="211">
        <f t="shared" si="30"/>
        <v>108942</v>
      </c>
      <c r="AA106" s="211">
        <f t="shared" si="30"/>
        <v>110030</v>
      </c>
      <c r="AB106" s="211">
        <f t="shared" si="30"/>
        <v>111119</v>
      </c>
      <c r="AC106" s="211">
        <f t="shared" si="30"/>
        <v>112234</v>
      </c>
      <c r="AD106" s="211">
        <f t="shared" si="30"/>
        <v>113348</v>
      </c>
      <c r="AE106" s="211">
        <f t="shared" si="30"/>
        <v>114489</v>
      </c>
      <c r="AF106" s="211">
        <f t="shared" si="30"/>
        <v>115629</v>
      </c>
    </row>
    <row r="107" spans="1:32" x14ac:dyDescent="0.2">
      <c r="A107" s="95" t="s">
        <v>306</v>
      </c>
      <c r="B107" s="316">
        <v>0.1</v>
      </c>
      <c r="C107" s="197">
        <f>ROUND($B$107*C96,0)</f>
        <v>998</v>
      </c>
      <c r="D107" s="197">
        <f t="shared" ref="D107:AF107" si="31">ROUND($B$107*D96,0)</f>
        <v>1075</v>
      </c>
      <c r="E107" s="197">
        <f t="shared" si="31"/>
        <v>1153</v>
      </c>
      <c r="F107" s="197">
        <f t="shared" si="31"/>
        <v>1248</v>
      </c>
      <c r="G107" s="197">
        <f t="shared" si="31"/>
        <v>1327</v>
      </c>
      <c r="H107" s="197">
        <f t="shared" si="31"/>
        <v>1390</v>
      </c>
      <c r="I107" s="197">
        <f t="shared" si="31"/>
        <v>1455</v>
      </c>
      <c r="J107" s="197">
        <f t="shared" si="31"/>
        <v>1543</v>
      </c>
      <c r="K107" s="197">
        <f t="shared" si="31"/>
        <v>1612</v>
      </c>
      <c r="L107" s="197">
        <f t="shared" si="31"/>
        <v>1669</v>
      </c>
      <c r="M107" s="211">
        <f t="shared" si="31"/>
        <v>1726</v>
      </c>
      <c r="N107" s="211">
        <f t="shared" si="31"/>
        <v>1783</v>
      </c>
      <c r="O107" s="211">
        <f t="shared" si="31"/>
        <v>1843</v>
      </c>
      <c r="P107" s="211">
        <f t="shared" si="31"/>
        <v>1861</v>
      </c>
      <c r="Q107" s="211">
        <f t="shared" si="31"/>
        <v>1879</v>
      </c>
      <c r="R107" s="211">
        <f t="shared" si="31"/>
        <v>1898</v>
      </c>
      <c r="S107" s="211">
        <f t="shared" si="31"/>
        <v>1917</v>
      </c>
      <c r="T107" s="211">
        <f t="shared" si="31"/>
        <v>1937</v>
      </c>
      <c r="U107" s="211">
        <f t="shared" si="31"/>
        <v>1956</v>
      </c>
      <c r="V107" s="211">
        <f t="shared" si="31"/>
        <v>1976</v>
      </c>
      <c r="W107" s="211">
        <f t="shared" si="31"/>
        <v>1995</v>
      </c>
      <c r="X107" s="211">
        <f t="shared" si="31"/>
        <v>2015</v>
      </c>
      <c r="Y107" s="211">
        <f t="shared" si="31"/>
        <v>2034</v>
      </c>
      <c r="Z107" s="211">
        <f t="shared" si="31"/>
        <v>2055</v>
      </c>
      <c r="AA107" s="211">
        <f t="shared" si="31"/>
        <v>2076</v>
      </c>
      <c r="AB107" s="211">
        <f t="shared" si="31"/>
        <v>2097</v>
      </c>
      <c r="AC107" s="211">
        <f t="shared" si="31"/>
        <v>2118</v>
      </c>
      <c r="AD107" s="211">
        <f t="shared" si="31"/>
        <v>2139</v>
      </c>
      <c r="AE107" s="211">
        <f t="shared" si="31"/>
        <v>2160</v>
      </c>
      <c r="AF107" s="211">
        <f t="shared" si="31"/>
        <v>2181</v>
      </c>
    </row>
    <row r="108" spans="1:32" x14ac:dyDescent="0.2">
      <c r="A108" s="95" t="s">
        <v>188</v>
      </c>
      <c r="B108" s="317">
        <v>0.01</v>
      </c>
      <c r="C108" s="197">
        <f>ROUND(C100*$B$108,0)</f>
        <v>2444</v>
      </c>
      <c r="D108" s="197">
        <f t="shared" ref="D108:AF108" si="32">ROUND(D100*$B$108,0)</f>
        <v>2670</v>
      </c>
      <c r="E108" s="197">
        <f t="shared" si="32"/>
        <v>2907</v>
      </c>
      <c r="F108" s="197">
        <f t="shared" si="32"/>
        <v>3157</v>
      </c>
      <c r="G108" s="197">
        <f t="shared" si="32"/>
        <v>3386</v>
      </c>
      <c r="H108" s="197">
        <f t="shared" si="32"/>
        <v>3458</v>
      </c>
      <c r="I108" s="197">
        <f t="shared" si="32"/>
        <v>3530</v>
      </c>
      <c r="J108" s="197">
        <f t="shared" si="32"/>
        <v>3607</v>
      </c>
      <c r="K108" s="197">
        <f t="shared" si="32"/>
        <v>3683</v>
      </c>
      <c r="L108" s="197">
        <f t="shared" si="32"/>
        <v>3724</v>
      </c>
      <c r="M108" s="211">
        <f t="shared" si="32"/>
        <v>3767</v>
      </c>
      <c r="N108" s="211">
        <f t="shared" si="32"/>
        <v>3379</v>
      </c>
      <c r="O108" s="211">
        <f t="shared" si="32"/>
        <v>3490</v>
      </c>
      <c r="P108" s="211">
        <f t="shared" si="32"/>
        <v>3525</v>
      </c>
      <c r="Q108" s="211">
        <f t="shared" si="32"/>
        <v>3561</v>
      </c>
      <c r="R108" s="211">
        <f t="shared" si="32"/>
        <v>3597</v>
      </c>
      <c r="S108" s="211">
        <f t="shared" si="32"/>
        <v>3634</v>
      </c>
      <c r="T108" s="211">
        <f t="shared" si="32"/>
        <v>3670</v>
      </c>
      <c r="U108" s="211">
        <f t="shared" si="32"/>
        <v>3708</v>
      </c>
      <c r="V108" s="211">
        <f t="shared" si="32"/>
        <v>3746</v>
      </c>
      <c r="W108" s="211">
        <f t="shared" si="32"/>
        <v>3783</v>
      </c>
      <c r="X108" s="211">
        <f t="shared" si="32"/>
        <v>3822</v>
      </c>
      <c r="Y108" s="211">
        <f t="shared" si="32"/>
        <v>3860</v>
      </c>
      <c r="Z108" s="211">
        <f t="shared" si="32"/>
        <v>3900</v>
      </c>
      <c r="AA108" s="211">
        <f t="shared" si="32"/>
        <v>3940</v>
      </c>
      <c r="AB108" s="211">
        <f t="shared" si="32"/>
        <v>3979</v>
      </c>
      <c r="AC108" s="211">
        <f t="shared" si="32"/>
        <v>4020</v>
      </c>
      <c r="AD108" s="211">
        <f t="shared" si="32"/>
        <v>4060</v>
      </c>
      <c r="AE108" s="211">
        <f t="shared" si="32"/>
        <v>4102</v>
      </c>
      <c r="AF108" s="211">
        <f t="shared" si="32"/>
        <v>4143</v>
      </c>
    </row>
    <row r="109" spans="1:32" x14ac:dyDescent="0.2">
      <c r="A109" s="188" t="s">
        <v>189</v>
      </c>
      <c r="B109" s="318"/>
      <c r="C109" s="340">
        <f>SUM(C106:C108)</f>
        <v>72562</v>
      </c>
      <c r="D109" s="340">
        <f t="shared" ref="D109:AF109" si="33">SUM(D106:D108)</f>
        <v>79388</v>
      </c>
      <c r="E109" s="340">
        <f t="shared" si="33"/>
        <v>86563</v>
      </c>
      <c r="F109" s="340">
        <f t="shared" si="33"/>
        <v>94091</v>
      </c>
      <c r="G109" s="340">
        <f t="shared" si="33"/>
        <v>101020</v>
      </c>
      <c r="H109" s="340">
        <f t="shared" si="33"/>
        <v>103085</v>
      </c>
      <c r="I109" s="340">
        <f t="shared" si="33"/>
        <v>105180</v>
      </c>
      <c r="J109" s="340">
        <f t="shared" si="33"/>
        <v>107361</v>
      </c>
      <c r="K109" s="340">
        <f t="shared" si="33"/>
        <v>109551</v>
      </c>
      <c r="L109" s="340">
        <f t="shared" si="33"/>
        <v>110686</v>
      </c>
      <c r="M109" s="214">
        <f t="shared" si="33"/>
        <v>111851</v>
      </c>
      <c r="N109" s="214">
        <f t="shared" si="33"/>
        <v>99695</v>
      </c>
      <c r="O109" s="214">
        <f t="shared" si="33"/>
        <v>102974</v>
      </c>
      <c r="P109" s="214">
        <f t="shared" si="33"/>
        <v>104012</v>
      </c>
      <c r="Q109" s="214">
        <f t="shared" si="33"/>
        <v>105051</v>
      </c>
      <c r="R109" s="214">
        <f t="shared" si="33"/>
        <v>106090</v>
      </c>
      <c r="S109" s="214">
        <f t="shared" si="33"/>
        <v>107157</v>
      </c>
      <c r="T109" s="214">
        <f t="shared" si="33"/>
        <v>108224</v>
      </c>
      <c r="U109" s="214">
        <f t="shared" si="33"/>
        <v>109318</v>
      </c>
      <c r="V109" s="214">
        <f t="shared" si="33"/>
        <v>110413</v>
      </c>
      <c r="W109" s="214">
        <f t="shared" si="33"/>
        <v>111506</v>
      </c>
      <c r="X109" s="214">
        <f t="shared" si="33"/>
        <v>112627</v>
      </c>
      <c r="Y109" s="214">
        <f t="shared" si="33"/>
        <v>113747</v>
      </c>
      <c r="Z109" s="214">
        <f t="shared" si="33"/>
        <v>114897</v>
      </c>
      <c r="AA109" s="214">
        <f t="shared" si="33"/>
        <v>116046</v>
      </c>
      <c r="AB109" s="214">
        <f t="shared" si="33"/>
        <v>117195</v>
      </c>
      <c r="AC109" s="214">
        <f t="shared" si="33"/>
        <v>118372</v>
      </c>
      <c r="AD109" s="214">
        <f t="shared" si="33"/>
        <v>119547</v>
      </c>
      <c r="AE109" s="214">
        <f t="shared" si="33"/>
        <v>120751</v>
      </c>
      <c r="AF109" s="214">
        <f t="shared" si="33"/>
        <v>121953</v>
      </c>
    </row>
    <row r="110" spans="1:32" x14ac:dyDescent="0.2">
      <c r="A110" s="95" t="s">
        <v>190</v>
      </c>
      <c r="B110" s="152"/>
      <c r="C110" s="341">
        <f>+C100-C109</f>
        <v>171818</v>
      </c>
      <c r="D110" s="341">
        <f t="shared" ref="D110:AF110" si="34">+D100-D109</f>
        <v>187587</v>
      </c>
      <c r="E110" s="341">
        <f t="shared" si="34"/>
        <v>204143.59999999998</v>
      </c>
      <c r="F110" s="341">
        <f t="shared" si="34"/>
        <v>221584.83199999999</v>
      </c>
      <c r="G110" s="341">
        <f t="shared" si="34"/>
        <v>237601.72863999999</v>
      </c>
      <c r="H110" s="341">
        <f t="shared" si="34"/>
        <v>242690.32321280002</v>
      </c>
      <c r="I110" s="341">
        <f t="shared" si="34"/>
        <v>247860.649677056</v>
      </c>
      <c r="J110" s="341">
        <f t="shared" si="34"/>
        <v>253363.7426705971</v>
      </c>
      <c r="K110" s="341">
        <f t="shared" si="34"/>
        <v>258777.63752400904</v>
      </c>
      <c r="L110" s="341">
        <f t="shared" si="34"/>
        <v>261762.37027448922</v>
      </c>
      <c r="M110" s="215">
        <f t="shared" si="34"/>
        <v>264810.97767997906</v>
      </c>
      <c r="N110" s="215">
        <f t="shared" si="34"/>
        <v>238220.49723357859</v>
      </c>
      <c r="O110" s="215">
        <f t="shared" si="34"/>
        <v>245992.9671782502</v>
      </c>
      <c r="P110" s="215">
        <f t="shared" si="34"/>
        <v>248519.42652181518</v>
      </c>
      <c r="Q110" s="215">
        <f t="shared" si="34"/>
        <v>251046.91505225148</v>
      </c>
      <c r="R110" s="215">
        <f t="shared" si="34"/>
        <v>253591.47335329652</v>
      </c>
      <c r="S110" s="215">
        <f t="shared" si="34"/>
        <v>256196.14282036247</v>
      </c>
      <c r="T110" s="215">
        <f t="shared" si="34"/>
        <v>258803.96567676967</v>
      </c>
      <c r="U110" s="215">
        <f t="shared" si="34"/>
        <v>261472.98499030509</v>
      </c>
      <c r="V110" s="215">
        <f t="shared" si="34"/>
        <v>264143.2446901112</v>
      </c>
      <c r="W110" s="215">
        <f t="shared" si="34"/>
        <v>266816.7895839134</v>
      </c>
      <c r="X110" s="215">
        <f t="shared" si="34"/>
        <v>269551.66537559166</v>
      </c>
      <c r="Y110" s="215">
        <f t="shared" si="34"/>
        <v>272289.91868310352</v>
      </c>
      <c r="Z110" s="215">
        <f t="shared" si="34"/>
        <v>275102.59705676557</v>
      </c>
      <c r="AA110" s="215">
        <f t="shared" si="34"/>
        <v>277917.74899790093</v>
      </c>
      <c r="AB110" s="215">
        <f t="shared" si="34"/>
        <v>280736.42397785891</v>
      </c>
      <c r="AC110" s="215">
        <f t="shared" si="34"/>
        <v>283615.67245741608</v>
      </c>
      <c r="AD110" s="215">
        <f t="shared" si="34"/>
        <v>286498.5459065644</v>
      </c>
      <c r="AE110" s="215">
        <f t="shared" si="34"/>
        <v>289443.09682469571</v>
      </c>
      <c r="AF110" s="215">
        <f t="shared" si="34"/>
        <v>292391.37876118964</v>
      </c>
    </row>
    <row r="111" spans="1:32" x14ac:dyDescent="0.2">
      <c r="A111" s="95" t="s">
        <v>191</v>
      </c>
      <c r="B111" s="352">
        <v>0.09</v>
      </c>
      <c r="C111" s="347">
        <f>ROUND(C100*$B$111,0)</f>
        <v>21994</v>
      </c>
      <c r="D111" s="347">
        <f t="shared" ref="D111:AF111" si="35">ROUND(D100*$B$111,0)</f>
        <v>24028</v>
      </c>
      <c r="E111" s="347">
        <f t="shared" si="35"/>
        <v>26164</v>
      </c>
      <c r="F111" s="347">
        <f t="shared" si="35"/>
        <v>28411</v>
      </c>
      <c r="G111" s="347">
        <f t="shared" si="35"/>
        <v>30476</v>
      </c>
      <c r="H111" s="347">
        <f t="shared" si="35"/>
        <v>31120</v>
      </c>
      <c r="I111" s="347">
        <f t="shared" si="35"/>
        <v>31774</v>
      </c>
      <c r="J111" s="347">
        <f t="shared" si="35"/>
        <v>32465</v>
      </c>
      <c r="K111" s="347">
        <f t="shared" si="35"/>
        <v>33150</v>
      </c>
      <c r="L111" s="347">
        <f t="shared" si="35"/>
        <v>33520</v>
      </c>
      <c r="M111" s="247">
        <f t="shared" si="35"/>
        <v>33900</v>
      </c>
      <c r="N111" s="247">
        <f t="shared" si="35"/>
        <v>30412</v>
      </c>
      <c r="O111" s="247">
        <f t="shared" si="35"/>
        <v>31407</v>
      </c>
      <c r="P111" s="247">
        <f t="shared" si="35"/>
        <v>31728</v>
      </c>
      <c r="Q111" s="247">
        <f t="shared" si="35"/>
        <v>32049</v>
      </c>
      <c r="R111" s="247">
        <f t="shared" si="35"/>
        <v>32371</v>
      </c>
      <c r="S111" s="247">
        <f t="shared" si="35"/>
        <v>32702</v>
      </c>
      <c r="T111" s="247">
        <f t="shared" si="35"/>
        <v>33033</v>
      </c>
      <c r="U111" s="247">
        <f t="shared" si="35"/>
        <v>33371</v>
      </c>
      <c r="V111" s="247">
        <f t="shared" si="35"/>
        <v>33710</v>
      </c>
      <c r="W111" s="247">
        <f t="shared" si="35"/>
        <v>34049</v>
      </c>
      <c r="X111" s="247">
        <f t="shared" si="35"/>
        <v>34396</v>
      </c>
      <c r="Y111" s="247">
        <f t="shared" si="35"/>
        <v>34743</v>
      </c>
      <c r="Z111" s="247">
        <f t="shared" si="35"/>
        <v>35100</v>
      </c>
      <c r="AA111" s="247">
        <f t="shared" si="35"/>
        <v>35457</v>
      </c>
      <c r="AB111" s="247">
        <f t="shared" si="35"/>
        <v>35814</v>
      </c>
      <c r="AC111" s="247">
        <f t="shared" si="35"/>
        <v>36179</v>
      </c>
      <c r="AD111" s="247">
        <f t="shared" si="35"/>
        <v>36544</v>
      </c>
      <c r="AE111" s="247">
        <f t="shared" si="35"/>
        <v>36917</v>
      </c>
      <c r="AF111" s="247">
        <f t="shared" si="35"/>
        <v>37291</v>
      </c>
    </row>
    <row r="112" spans="1:32" x14ac:dyDescent="0.2">
      <c r="A112" s="95" t="s">
        <v>307</v>
      </c>
      <c r="B112" s="353">
        <f>C112/C100</f>
        <v>4.9103854652590227E-2</v>
      </c>
      <c r="C112" s="354">
        <v>12000</v>
      </c>
      <c r="D112" s="347">
        <f>ROUND(C112*(1+D86),0)</f>
        <v>12240</v>
      </c>
      <c r="E112" s="347">
        <f t="shared" ref="E112:V112" si="36">ROUND(D112*(1+E86),0)</f>
        <v>12485</v>
      </c>
      <c r="F112" s="347">
        <f t="shared" si="36"/>
        <v>12860</v>
      </c>
      <c r="G112" s="347">
        <f t="shared" si="36"/>
        <v>13117</v>
      </c>
      <c r="H112" s="347">
        <f t="shared" si="36"/>
        <v>13379</v>
      </c>
      <c r="I112" s="347">
        <f t="shared" si="36"/>
        <v>13647</v>
      </c>
      <c r="J112" s="347">
        <f t="shared" si="36"/>
        <v>13920</v>
      </c>
      <c r="K112" s="347">
        <f t="shared" si="36"/>
        <v>14198</v>
      </c>
      <c r="L112" s="347">
        <f t="shared" si="36"/>
        <v>14340</v>
      </c>
      <c r="M112" s="347">
        <f t="shared" si="36"/>
        <v>14483</v>
      </c>
      <c r="N112" s="347">
        <f t="shared" si="36"/>
        <v>14628</v>
      </c>
      <c r="O112" s="347">
        <f t="shared" si="36"/>
        <v>14774</v>
      </c>
      <c r="P112" s="347">
        <f t="shared" si="36"/>
        <v>14922</v>
      </c>
      <c r="Q112" s="347">
        <f t="shared" si="36"/>
        <v>15071</v>
      </c>
      <c r="R112" s="347">
        <f t="shared" si="36"/>
        <v>15222</v>
      </c>
      <c r="S112" s="347">
        <f t="shared" si="36"/>
        <v>15374</v>
      </c>
      <c r="T112" s="347">
        <f t="shared" si="36"/>
        <v>15528</v>
      </c>
      <c r="U112" s="347">
        <f t="shared" si="36"/>
        <v>15683</v>
      </c>
      <c r="V112" s="347">
        <f t="shared" si="36"/>
        <v>15840</v>
      </c>
      <c r="W112" s="247">
        <v>30000</v>
      </c>
      <c r="X112" s="247">
        <v>30000</v>
      </c>
      <c r="Y112" s="247">
        <v>30000</v>
      </c>
      <c r="Z112" s="247">
        <v>30000</v>
      </c>
      <c r="AA112" s="247">
        <v>30000</v>
      </c>
      <c r="AB112" s="247">
        <v>30000</v>
      </c>
      <c r="AC112" s="247">
        <v>30000</v>
      </c>
      <c r="AD112" s="247">
        <v>30000</v>
      </c>
      <c r="AE112" s="247">
        <v>30000</v>
      </c>
      <c r="AF112" s="247">
        <v>30000</v>
      </c>
    </row>
    <row r="113" spans="1:35" x14ac:dyDescent="0.2">
      <c r="A113" s="95" t="s">
        <v>192</v>
      </c>
      <c r="B113" s="353">
        <f>+C113/C100</f>
        <v>0</v>
      </c>
      <c r="C113" s="354">
        <v>0</v>
      </c>
      <c r="D113" s="347"/>
      <c r="E113" s="347"/>
      <c r="F113" s="347"/>
      <c r="G113" s="347"/>
      <c r="H113" s="347"/>
      <c r="I113" s="347"/>
      <c r="J113" s="347"/>
      <c r="K113" s="347"/>
      <c r="L113" s="347"/>
      <c r="M113" s="347"/>
      <c r="N113" s="347"/>
      <c r="O113" s="347"/>
      <c r="P113" s="347"/>
      <c r="Q113" s="347"/>
      <c r="R113" s="347"/>
      <c r="S113" s="347"/>
      <c r="T113" s="347"/>
      <c r="U113" s="347"/>
      <c r="V113" s="347"/>
      <c r="W113" s="247">
        <v>5000</v>
      </c>
      <c r="X113" s="247">
        <v>5000</v>
      </c>
      <c r="Y113" s="247">
        <v>5000</v>
      </c>
      <c r="Z113" s="247">
        <v>5000</v>
      </c>
      <c r="AA113" s="247">
        <v>5000</v>
      </c>
      <c r="AB113" s="247">
        <v>5000</v>
      </c>
      <c r="AC113" s="247">
        <v>5000</v>
      </c>
      <c r="AD113" s="247">
        <v>5000</v>
      </c>
      <c r="AE113" s="247">
        <v>5000</v>
      </c>
      <c r="AF113" s="247">
        <v>5000</v>
      </c>
    </row>
    <row r="114" spans="1:35" x14ac:dyDescent="0.2">
      <c r="A114" s="95" t="s">
        <v>193</v>
      </c>
      <c r="B114" s="355">
        <v>1.4999999999999999E-2</v>
      </c>
      <c r="C114" s="347">
        <f>ROUND(C100*$B$114,0)</f>
        <v>3666</v>
      </c>
      <c r="D114" s="347">
        <f t="shared" ref="D114:AF114" si="37">ROUND(D100*$B$114,0)</f>
        <v>4005</v>
      </c>
      <c r="E114" s="347">
        <f t="shared" si="37"/>
        <v>4361</v>
      </c>
      <c r="F114" s="347">
        <f t="shared" si="37"/>
        <v>4735</v>
      </c>
      <c r="G114" s="347">
        <f t="shared" si="37"/>
        <v>5079</v>
      </c>
      <c r="H114" s="347">
        <f t="shared" si="37"/>
        <v>5187</v>
      </c>
      <c r="I114" s="347">
        <f t="shared" si="37"/>
        <v>5296</v>
      </c>
      <c r="J114" s="347">
        <f t="shared" si="37"/>
        <v>5411</v>
      </c>
      <c r="K114" s="347">
        <f t="shared" si="37"/>
        <v>5525</v>
      </c>
      <c r="L114" s="347">
        <f t="shared" si="37"/>
        <v>5587</v>
      </c>
      <c r="M114" s="247">
        <f t="shared" si="37"/>
        <v>5650</v>
      </c>
      <c r="N114" s="247">
        <f t="shared" si="37"/>
        <v>5069</v>
      </c>
      <c r="O114" s="247">
        <f t="shared" si="37"/>
        <v>5235</v>
      </c>
      <c r="P114" s="247">
        <f t="shared" si="37"/>
        <v>5288</v>
      </c>
      <c r="Q114" s="247">
        <f t="shared" si="37"/>
        <v>5341</v>
      </c>
      <c r="R114" s="247">
        <f t="shared" si="37"/>
        <v>5395</v>
      </c>
      <c r="S114" s="247">
        <f t="shared" si="37"/>
        <v>5450</v>
      </c>
      <c r="T114" s="247">
        <f t="shared" si="37"/>
        <v>5505</v>
      </c>
      <c r="U114" s="247">
        <f t="shared" si="37"/>
        <v>5562</v>
      </c>
      <c r="V114" s="247">
        <f t="shared" si="37"/>
        <v>5618</v>
      </c>
      <c r="W114" s="247">
        <f t="shared" si="37"/>
        <v>5675</v>
      </c>
      <c r="X114" s="247">
        <f t="shared" si="37"/>
        <v>5733</v>
      </c>
      <c r="Y114" s="247">
        <f t="shared" si="37"/>
        <v>5791</v>
      </c>
      <c r="Z114" s="247">
        <f t="shared" si="37"/>
        <v>5850</v>
      </c>
      <c r="AA114" s="247">
        <f t="shared" si="37"/>
        <v>5909</v>
      </c>
      <c r="AB114" s="247">
        <f t="shared" si="37"/>
        <v>5969</v>
      </c>
      <c r="AC114" s="247">
        <f t="shared" si="37"/>
        <v>6030</v>
      </c>
      <c r="AD114" s="247">
        <f t="shared" si="37"/>
        <v>6091</v>
      </c>
      <c r="AE114" s="247">
        <f t="shared" si="37"/>
        <v>6153</v>
      </c>
      <c r="AF114" s="247">
        <f t="shared" si="37"/>
        <v>6215</v>
      </c>
    </row>
    <row r="115" spans="1:35" ht="13.5" thickBot="1" x14ac:dyDescent="0.25">
      <c r="A115" s="319" t="s">
        <v>194</v>
      </c>
      <c r="B115" s="348"/>
      <c r="C115" s="349">
        <f>SUM(C111:C114)</f>
        <v>37660</v>
      </c>
      <c r="D115" s="349">
        <f t="shared" ref="D115:AF115" si="38">SUM(D111:D114)</f>
        <v>40273</v>
      </c>
      <c r="E115" s="349">
        <f t="shared" si="38"/>
        <v>43010</v>
      </c>
      <c r="F115" s="349">
        <f t="shared" si="38"/>
        <v>46006</v>
      </c>
      <c r="G115" s="349">
        <f t="shared" si="38"/>
        <v>48672</v>
      </c>
      <c r="H115" s="349">
        <f t="shared" si="38"/>
        <v>49686</v>
      </c>
      <c r="I115" s="349">
        <f t="shared" si="38"/>
        <v>50717</v>
      </c>
      <c r="J115" s="349">
        <f t="shared" si="38"/>
        <v>51796</v>
      </c>
      <c r="K115" s="349">
        <f t="shared" si="38"/>
        <v>52873</v>
      </c>
      <c r="L115" s="349">
        <f t="shared" si="38"/>
        <v>53447</v>
      </c>
      <c r="M115" s="350">
        <f t="shared" si="38"/>
        <v>54033</v>
      </c>
      <c r="N115" s="350">
        <f t="shared" si="38"/>
        <v>50109</v>
      </c>
      <c r="O115" s="350">
        <f t="shared" si="38"/>
        <v>51416</v>
      </c>
      <c r="P115" s="350">
        <f t="shared" si="38"/>
        <v>51938</v>
      </c>
      <c r="Q115" s="350">
        <f t="shared" si="38"/>
        <v>52461</v>
      </c>
      <c r="R115" s="350">
        <f t="shared" si="38"/>
        <v>52988</v>
      </c>
      <c r="S115" s="350">
        <f t="shared" si="38"/>
        <v>53526</v>
      </c>
      <c r="T115" s="350">
        <f t="shared" si="38"/>
        <v>54066</v>
      </c>
      <c r="U115" s="350">
        <f t="shared" si="38"/>
        <v>54616</v>
      </c>
      <c r="V115" s="350">
        <f t="shared" si="38"/>
        <v>55168</v>
      </c>
      <c r="W115" s="350">
        <f t="shared" si="38"/>
        <v>74724</v>
      </c>
      <c r="X115" s="350">
        <f t="shared" si="38"/>
        <v>75129</v>
      </c>
      <c r="Y115" s="350">
        <f t="shared" si="38"/>
        <v>75534</v>
      </c>
      <c r="Z115" s="350">
        <f t="shared" si="38"/>
        <v>75950</v>
      </c>
      <c r="AA115" s="350">
        <f t="shared" si="38"/>
        <v>76366</v>
      </c>
      <c r="AB115" s="350">
        <f t="shared" si="38"/>
        <v>76783</v>
      </c>
      <c r="AC115" s="350">
        <f t="shared" si="38"/>
        <v>77209</v>
      </c>
      <c r="AD115" s="350">
        <f t="shared" si="38"/>
        <v>77635</v>
      </c>
      <c r="AE115" s="350">
        <f t="shared" si="38"/>
        <v>78070</v>
      </c>
      <c r="AF115" s="351">
        <f t="shared" si="38"/>
        <v>78506</v>
      </c>
    </row>
    <row r="116" spans="1:35" ht="13.5" thickBot="1" x14ac:dyDescent="0.25">
      <c r="A116" s="320" t="s">
        <v>149</v>
      </c>
      <c r="B116" s="216"/>
      <c r="C116" s="342">
        <f>+C110-C115</f>
        <v>134158</v>
      </c>
      <c r="D116" s="342">
        <f t="shared" ref="D116:AF116" si="39">+D110-D115</f>
        <v>147314</v>
      </c>
      <c r="E116" s="342">
        <f t="shared" si="39"/>
        <v>161133.59999999998</v>
      </c>
      <c r="F116" s="342">
        <f t="shared" si="39"/>
        <v>175578.83199999999</v>
      </c>
      <c r="G116" s="342">
        <f t="shared" si="39"/>
        <v>188929.72863999999</v>
      </c>
      <c r="H116" s="342">
        <f t="shared" si="39"/>
        <v>193004.32321280002</v>
      </c>
      <c r="I116" s="342">
        <f t="shared" si="39"/>
        <v>197143.649677056</v>
      </c>
      <c r="J116" s="342">
        <f t="shared" si="39"/>
        <v>201567.7426705971</v>
      </c>
      <c r="K116" s="342">
        <f t="shared" si="39"/>
        <v>205904.63752400904</v>
      </c>
      <c r="L116" s="342">
        <f t="shared" si="39"/>
        <v>208315.37027448922</v>
      </c>
      <c r="M116" s="217">
        <f t="shared" si="39"/>
        <v>210777.97767997906</v>
      </c>
      <c r="N116" s="217">
        <f t="shared" si="39"/>
        <v>188111.49723357859</v>
      </c>
      <c r="O116" s="217">
        <f t="shared" si="39"/>
        <v>194576.9671782502</v>
      </c>
      <c r="P116" s="217">
        <f t="shared" si="39"/>
        <v>196581.42652181518</v>
      </c>
      <c r="Q116" s="217">
        <f t="shared" si="39"/>
        <v>198585.91505225148</v>
      </c>
      <c r="R116" s="217">
        <f t="shared" si="39"/>
        <v>200603.47335329652</v>
      </c>
      <c r="S116" s="217">
        <f t="shared" si="39"/>
        <v>202670.14282036247</v>
      </c>
      <c r="T116" s="217">
        <f t="shared" si="39"/>
        <v>204737.96567676967</v>
      </c>
      <c r="U116" s="217">
        <f t="shared" si="39"/>
        <v>206856.98499030509</v>
      </c>
      <c r="V116" s="217">
        <f t="shared" si="39"/>
        <v>208975.2446901112</v>
      </c>
      <c r="W116" s="217">
        <f t="shared" si="39"/>
        <v>192092.7895839134</v>
      </c>
      <c r="X116" s="217">
        <f t="shared" si="39"/>
        <v>194422.66537559166</v>
      </c>
      <c r="Y116" s="217">
        <f t="shared" si="39"/>
        <v>196755.91868310352</v>
      </c>
      <c r="Z116" s="217">
        <f t="shared" si="39"/>
        <v>199152.59705676557</v>
      </c>
      <c r="AA116" s="217">
        <f t="shared" si="39"/>
        <v>201551.74899790093</v>
      </c>
      <c r="AB116" s="217">
        <f t="shared" si="39"/>
        <v>203953.42397785891</v>
      </c>
      <c r="AC116" s="217">
        <f t="shared" si="39"/>
        <v>206406.67245741608</v>
      </c>
      <c r="AD116" s="217">
        <f t="shared" si="39"/>
        <v>208863.5459065644</v>
      </c>
      <c r="AE116" s="217">
        <f t="shared" si="39"/>
        <v>211373.09682469571</v>
      </c>
      <c r="AF116" s="218">
        <f t="shared" si="39"/>
        <v>213885.37876118964</v>
      </c>
    </row>
    <row r="117" spans="1:35" ht="13.5" thickBot="1" x14ac:dyDescent="0.25">
      <c r="A117" s="95" t="s">
        <v>119</v>
      </c>
      <c r="B117" s="219">
        <f>+C117/C100</f>
        <v>0.43400114575660853</v>
      </c>
      <c r="C117" s="343">
        <f>+C142</f>
        <v>106061.2</v>
      </c>
      <c r="D117" s="343">
        <f t="shared" ref="D117:AF117" si="40">+D142</f>
        <v>106061.2</v>
      </c>
      <c r="E117" s="343">
        <f t="shared" si="40"/>
        <v>127273.44</v>
      </c>
      <c r="F117" s="343">
        <f t="shared" si="40"/>
        <v>127273.44</v>
      </c>
      <c r="G117" s="343">
        <f t="shared" si="40"/>
        <v>127273.44</v>
      </c>
      <c r="H117" s="343">
        <f t="shared" si="40"/>
        <v>133334.08000000002</v>
      </c>
      <c r="I117" s="343">
        <f t="shared" si="40"/>
        <v>133334.08000000002</v>
      </c>
      <c r="J117" s="343">
        <f t="shared" si="40"/>
        <v>133334.08000000002</v>
      </c>
      <c r="K117" s="343">
        <f t="shared" si="40"/>
        <v>139394.72</v>
      </c>
      <c r="L117" s="343">
        <f t="shared" si="40"/>
        <v>139394.72</v>
      </c>
      <c r="M117" s="343">
        <f t="shared" si="40"/>
        <v>139394.72</v>
      </c>
      <c r="N117" s="343">
        <f t="shared" si="40"/>
        <v>139394.72</v>
      </c>
      <c r="O117" s="343">
        <f t="shared" si="40"/>
        <v>145455.35999999999</v>
      </c>
      <c r="P117" s="343">
        <f t="shared" si="40"/>
        <v>145455.35999999999</v>
      </c>
      <c r="Q117" s="343">
        <f t="shared" si="40"/>
        <v>145455.35999999999</v>
      </c>
      <c r="R117" s="343">
        <f t="shared" si="40"/>
        <v>151516</v>
      </c>
      <c r="S117" s="343">
        <f t="shared" si="40"/>
        <v>151516</v>
      </c>
      <c r="T117" s="343">
        <f t="shared" si="40"/>
        <v>151516</v>
      </c>
      <c r="U117" s="343">
        <f t="shared" si="40"/>
        <v>157576.64000000001</v>
      </c>
      <c r="V117" s="343">
        <f t="shared" si="40"/>
        <v>157576.64000000001</v>
      </c>
      <c r="W117" s="343">
        <f t="shared" si="40"/>
        <v>157576.64000000001</v>
      </c>
      <c r="X117" s="343">
        <f t="shared" si="40"/>
        <v>163637.28000000003</v>
      </c>
      <c r="Y117" s="343">
        <f t="shared" si="40"/>
        <v>163637.28000000003</v>
      </c>
      <c r="Z117" s="343">
        <f t="shared" si="40"/>
        <v>163637.28000000003</v>
      </c>
      <c r="AA117" s="343">
        <f t="shared" si="40"/>
        <v>169697.91999999998</v>
      </c>
      <c r="AB117" s="343">
        <f t="shared" si="40"/>
        <v>169697.91999999998</v>
      </c>
      <c r="AC117" s="343">
        <f t="shared" si="40"/>
        <v>169697.91999999998</v>
      </c>
      <c r="AD117" s="343">
        <f t="shared" si="40"/>
        <v>175758.56</v>
      </c>
      <c r="AE117" s="343">
        <f t="shared" si="40"/>
        <v>175758.56</v>
      </c>
      <c r="AF117" s="343">
        <f t="shared" si="40"/>
        <v>175758.56</v>
      </c>
    </row>
    <row r="118" spans="1:35" ht="13.5" thickBot="1" x14ac:dyDescent="0.25">
      <c r="A118" s="323" t="s">
        <v>148</v>
      </c>
      <c r="B118" s="221"/>
      <c r="C118" s="344">
        <f>+C116-C117</f>
        <v>28096.800000000003</v>
      </c>
      <c r="D118" s="344">
        <f t="shared" ref="D118:AF118" si="41">+D116-D117</f>
        <v>41252.800000000003</v>
      </c>
      <c r="E118" s="344">
        <f t="shared" si="41"/>
        <v>33860.159999999974</v>
      </c>
      <c r="F118" s="344">
        <f t="shared" si="41"/>
        <v>48305.391999999993</v>
      </c>
      <c r="G118" s="344">
        <f t="shared" si="41"/>
        <v>61656.288639999984</v>
      </c>
      <c r="H118" s="344">
        <f t="shared" si="41"/>
        <v>59670.243212800007</v>
      </c>
      <c r="I118" s="344">
        <f t="shared" si="41"/>
        <v>63809.569677055988</v>
      </c>
      <c r="J118" s="344">
        <f t="shared" si="41"/>
        <v>68233.662670597085</v>
      </c>
      <c r="K118" s="344">
        <f t="shared" si="41"/>
        <v>66509.917524009041</v>
      </c>
      <c r="L118" s="344">
        <f t="shared" si="41"/>
        <v>68920.65027448922</v>
      </c>
      <c r="M118" s="222">
        <f t="shared" si="41"/>
        <v>71383.257679979055</v>
      </c>
      <c r="N118" s="222">
        <f t="shared" si="41"/>
        <v>48716.777233578585</v>
      </c>
      <c r="O118" s="222">
        <f t="shared" si="41"/>
        <v>49121.607178250211</v>
      </c>
      <c r="P118" s="222">
        <f t="shared" si="41"/>
        <v>51126.066521815199</v>
      </c>
      <c r="Q118" s="222">
        <f t="shared" si="41"/>
        <v>53130.555052251497</v>
      </c>
      <c r="R118" s="222">
        <f t="shared" si="41"/>
        <v>49087.473353296518</v>
      </c>
      <c r="S118" s="222">
        <f t="shared" si="41"/>
        <v>51154.142820362467</v>
      </c>
      <c r="T118" s="222">
        <f t="shared" si="41"/>
        <v>53221.965676769672</v>
      </c>
      <c r="U118" s="222">
        <f t="shared" si="41"/>
        <v>49280.344990305079</v>
      </c>
      <c r="V118" s="222">
        <f t="shared" si="41"/>
        <v>51398.604690111184</v>
      </c>
      <c r="W118" s="222">
        <f t="shared" si="41"/>
        <v>34516.149583913386</v>
      </c>
      <c r="X118" s="222">
        <f t="shared" si="41"/>
        <v>30785.385375591635</v>
      </c>
      <c r="Y118" s="222">
        <f t="shared" si="41"/>
        <v>33118.638683103491</v>
      </c>
      <c r="Z118" s="222">
        <f t="shared" si="41"/>
        <v>35515.317056765547</v>
      </c>
      <c r="AA118" s="222">
        <f t="shared" si="41"/>
        <v>31853.828997900942</v>
      </c>
      <c r="AB118" s="222">
        <f t="shared" si="41"/>
        <v>34255.503977858927</v>
      </c>
      <c r="AC118" s="222">
        <f t="shared" si="41"/>
        <v>36708.752457416093</v>
      </c>
      <c r="AD118" s="222">
        <f t="shared" si="41"/>
        <v>33104.985906564398</v>
      </c>
      <c r="AE118" s="222">
        <f t="shared" si="41"/>
        <v>35614.536824695708</v>
      </c>
      <c r="AF118" s="223">
        <f t="shared" si="41"/>
        <v>38126.818761189643</v>
      </c>
    </row>
    <row r="119" spans="1:35" x14ac:dyDescent="0.2">
      <c r="A119" s="95" t="s">
        <v>142</v>
      </c>
      <c r="B119" s="2"/>
      <c r="C119" s="345">
        <v>0</v>
      </c>
      <c r="D119" s="345">
        <v>0</v>
      </c>
      <c r="E119" s="345">
        <v>0</v>
      </c>
      <c r="F119" s="345">
        <v>0</v>
      </c>
      <c r="G119" s="345">
        <v>0</v>
      </c>
      <c r="H119" s="345">
        <v>0</v>
      </c>
      <c r="I119" s="345">
        <v>0</v>
      </c>
      <c r="J119" s="345">
        <v>0</v>
      </c>
      <c r="K119" s="345">
        <v>0</v>
      </c>
      <c r="L119" s="345">
        <v>0</v>
      </c>
      <c r="M119" s="240">
        <v>0</v>
      </c>
      <c r="N119" s="240">
        <v>0</v>
      </c>
      <c r="O119" s="240">
        <v>0</v>
      </c>
      <c r="P119" s="240">
        <v>0</v>
      </c>
      <c r="Q119" s="240">
        <v>0</v>
      </c>
      <c r="R119" s="240">
        <v>0</v>
      </c>
      <c r="S119" s="240">
        <v>0</v>
      </c>
      <c r="T119" s="240">
        <v>0</v>
      </c>
      <c r="U119" s="240">
        <v>0</v>
      </c>
      <c r="V119" s="240">
        <v>0</v>
      </c>
      <c r="W119" s="240">
        <v>0</v>
      </c>
      <c r="X119" s="240">
        <v>0</v>
      </c>
      <c r="Y119" s="240">
        <v>0</v>
      </c>
      <c r="Z119" s="240">
        <v>0</v>
      </c>
      <c r="AA119" s="240">
        <v>0</v>
      </c>
      <c r="AB119" s="240">
        <v>0</v>
      </c>
      <c r="AC119" s="240">
        <v>0</v>
      </c>
      <c r="AD119" s="240">
        <v>0</v>
      </c>
      <c r="AE119" s="240">
        <v>0</v>
      </c>
      <c r="AF119" s="240">
        <v>0</v>
      </c>
    </row>
    <row r="120" spans="1:35" x14ac:dyDescent="0.2">
      <c r="A120" s="95" t="s">
        <v>231</v>
      </c>
      <c r="B120" s="2"/>
      <c r="C120" s="83">
        <f t="shared" ref="C120:AF120" si="42">+C63</f>
        <v>10000</v>
      </c>
      <c r="D120" s="83">
        <f t="shared" si="42"/>
        <v>12000</v>
      </c>
      <c r="E120" s="83">
        <f t="shared" si="42"/>
        <v>15000</v>
      </c>
      <c r="F120" s="83">
        <f t="shared" si="42"/>
        <v>16600</v>
      </c>
      <c r="G120" s="83">
        <f t="shared" si="42"/>
        <v>17200</v>
      </c>
      <c r="H120" s="83">
        <f t="shared" si="42"/>
        <v>17200</v>
      </c>
      <c r="I120" s="83">
        <f t="shared" si="42"/>
        <v>15200</v>
      </c>
      <c r="J120" s="83">
        <f t="shared" si="42"/>
        <v>12200</v>
      </c>
      <c r="K120" s="83">
        <f t="shared" si="42"/>
        <v>10600</v>
      </c>
      <c r="L120" s="83">
        <f t="shared" si="42"/>
        <v>10000</v>
      </c>
      <c r="M120" s="190">
        <f t="shared" si="42"/>
        <v>0</v>
      </c>
      <c r="N120" s="190">
        <f t="shared" si="42"/>
        <v>3600</v>
      </c>
      <c r="O120" s="190">
        <f t="shared" si="42"/>
        <v>3600</v>
      </c>
      <c r="P120" s="190">
        <f t="shared" si="42"/>
        <v>3600</v>
      </c>
      <c r="Q120" s="190">
        <f t="shared" si="42"/>
        <v>3600</v>
      </c>
      <c r="R120" s="190">
        <f t="shared" si="42"/>
        <v>0</v>
      </c>
      <c r="S120" s="190">
        <f t="shared" si="42"/>
        <v>0</v>
      </c>
      <c r="T120" s="190">
        <f t="shared" si="42"/>
        <v>0</v>
      </c>
      <c r="U120" s="190">
        <f t="shared" si="42"/>
        <v>0</v>
      </c>
      <c r="V120" s="190">
        <f t="shared" si="42"/>
        <v>0</v>
      </c>
      <c r="W120" s="190">
        <f t="shared" si="42"/>
        <v>0</v>
      </c>
      <c r="X120" s="190">
        <f t="shared" si="42"/>
        <v>0</v>
      </c>
      <c r="Y120" s="190">
        <f t="shared" si="42"/>
        <v>0</v>
      </c>
      <c r="Z120" s="190">
        <f t="shared" si="42"/>
        <v>0</v>
      </c>
      <c r="AA120" s="190">
        <f t="shared" si="42"/>
        <v>0</v>
      </c>
      <c r="AB120" s="190">
        <f t="shared" si="42"/>
        <v>0</v>
      </c>
      <c r="AC120" s="190">
        <f t="shared" si="42"/>
        <v>0</v>
      </c>
      <c r="AD120" s="190">
        <f t="shared" si="42"/>
        <v>0</v>
      </c>
      <c r="AE120" s="190">
        <f t="shared" si="42"/>
        <v>0</v>
      </c>
      <c r="AF120" s="190">
        <f t="shared" si="42"/>
        <v>0</v>
      </c>
      <c r="AG120" s="97"/>
    </row>
    <row r="121" spans="1:35" x14ac:dyDescent="0.2">
      <c r="A121" s="95" t="s">
        <v>195</v>
      </c>
      <c r="B121" s="2"/>
      <c r="C121" s="83"/>
      <c r="D121" s="261"/>
      <c r="E121" s="261"/>
      <c r="F121" s="261"/>
      <c r="G121" s="261"/>
      <c r="H121" s="261"/>
      <c r="I121" s="261"/>
      <c r="J121" s="261"/>
      <c r="K121" s="261"/>
      <c r="L121" s="261"/>
      <c r="M121" s="97"/>
      <c r="N121" s="97"/>
      <c r="O121" s="97"/>
      <c r="P121" s="97"/>
      <c r="Q121" s="97"/>
      <c r="R121" s="97"/>
      <c r="S121" s="97"/>
      <c r="T121" s="97"/>
      <c r="U121" s="97"/>
      <c r="V121" s="97"/>
      <c r="W121" s="97"/>
      <c r="X121" s="97"/>
      <c r="Y121" s="97"/>
      <c r="Z121" s="97"/>
      <c r="AA121" s="97"/>
      <c r="AB121" s="97"/>
      <c r="AC121" s="97"/>
      <c r="AD121" s="97"/>
      <c r="AE121" s="97"/>
      <c r="AF121" s="97"/>
      <c r="AG121" s="92"/>
    </row>
    <row r="122" spans="1:35" x14ac:dyDescent="0.2">
      <c r="A122" s="188" t="s">
        <v>143</v>
      </c>
      <c r="B122" s="212"/>
      <c r="C122" s="340">
        <f>+C118-C119-C120-C121</f>
        <v>18096.800000000003</v>
      </c>
      <c r="D122" s="340">
        <f t="shared" ref="D122:AF122" si="43">+D118-D119-D120-D121</f>
        <v>29252.800000000003</v>
      </c>
      <c r="E122" s="340">
        <f t="shared" si="43"/>
        <v>18860.159999999974</v>
      </c>
      <c r="F122" s="340">
        <f t="shared" si="43"/>
        <v>31705.391999999993</v>
      </c>
      <c r="G122" s="340">
        <f t="shared" si="43"/>
        <v>44456.288639999984</v>
      </c>
      <c r="H122" s="340">
        <f t="shared" si="43"/>
        <v>42470.243212800007</v>
      </c>
      <c r="I122" s="340">
        <f t="shared" si="43"/>
        <v>48609.569677055988</v>
      </c>
      <c r="J122" s="340">
        <f t="shared" si="43"/>
        <v>56033.662670597085</v>
      </c>
      <c r="K122" s="340">
        <f t="shared" si="43"/>
        <v>55909.917524009041</v>
      </c>
      <c r="L122" s="340">
        <f t="shared" si="43"/>
        <v>58920.65027448922</v>
      </c>
      <c r="M122" s="382">
        <f t="shared" si="43"/>
        <v>71383.257679979055</v>
      </c>
      <c r="N122" s="382">
        <f t="shared" si="43"/>
        <v>45116.777233578585</v>
      </c>
      <c r="O122" s="382">
        <f t="shared" si="43"/>
        <v>45521.607178250211</v>
      </c>
      <c r="P122" s="382">
        <f t="shared" si="43"/>
        <v>47526.066521815199</v>
      </c>
      <c r="Q122" s="382">
        <f t="shared" si="43"/>
        <v>49530.555052251497</v>
      </c>
      <c r="R122" s="382">
        <f t="shared" si="43"/>
        <v>49087.473353296518</v>
      </c>
      <c r="S122" s="382">
        <f t="shared" si="43"/>
        <v>51154.142820362467</v>
      </c>
      <c r="T122" s="382">
        <f t="shared" si="43"/>
        <v>53221.965676769672</v>
      </c>
      <c r="U122" s="382">
        <f t="shared" si="43"/>
        <v>49280.344990305079</v>
      </c>
      <c r="V122" s="382">
        <f t="shared" si="43"/>
        <v>51398.604690111184</v>
      </c>
      <c r="W122" s="382">
        <f t="shared" si="43"/>
        <v>34516.149583913386</v>
      </c>
      <c r="X122" s="382">
        <f t="shared" si="43"/>
        <v>30785.385375591635</v>
      </c>
      <c r="Y122" s="382">
        <f t="shared" si="43"/>
        <v>33118.638683103491</v>
      </c>
      <c r="Z122" s="382">
        <f t="shared" si="43"/>
        <v>35515.317056765547</v>
      </c>
      <c r="AA122" s="382">
        <f t="shared" si="43"/>
        <v>31853.828997900942</v>
      </c>
      <c r="AB122" s="382">
        <f t="shared" si="43"/>
        <v>34255.503977858927</v>
      </c>
      <c r="AC122" s="382">
        <f t="shared" si="43"/>
        <v>36708.752457416093</v>
      </c>
      <c r="AD122" s="382">
        <f t="shared" si="43"/>
        <v>33104.985906564398</v>
      </c>
      <c r="AE122" s="382">
        <f t="shared" si="43"/>
        <v>35614.536824695708</v>
      </c>
      <c r="AF122" s="382">
        <f t="shared" si="43"/>
        <v>38126.818761189643</v>
      </c>
    </row>
    <row r="123" spans="1:35" x14ac:dyDescent="0.2">
      <c r="A123" s="9" t="s">
        <v>130</v>
      </c>
      <c r="B123" s="92">
        <f>SUM(C123:AF123)</f>
        <v>18292.836478583122</v>
      </c>
      <c r="C123" s="197">
        <f>+'piano ammo MUTUO'!H11</f>
        <v>3099.9999999999854</v>
      </c>
      <c r="D123" s="197">
        <f>+'piano ammo MUTUO'!I11</f>
        <v>2853.5358176070731</v>
      </c>
      <c r="E123" s="197">
        <f>+'piano ammo MUTUO'!J11</f>
        <v>2594.7484260945421</v>
      </c>
      <c r="F123" s="197">
        <f>+'piano ammo MUTUO'!K11</f>
        <v>2323.0216650063085</v>
      </c>
      <c r="G123" s="197">
        <f>+'piano ammo MUTUO'!L11</f>
        <v>2037.7085658637516</v>
      </c>
      <c r="H123" s="197">
        <f>+'piano ammo MUTUO'!M11</f>
        <v>1738.129811763989</v>
      </c>
      <c r="I123" s="197">
        <f>+'piano ammo MUTUO'!N11</f>
        <v>1423.5721199593063</v>
      </c>
      <c r="J123" s="197">
        <f>+'piano ammo MUTUO'!O11</f>
        <v>1093.2865435643253</v>
      </c>
      <c r="K123" s="197">
        <f>+'piano ammo MUTUO'!P11</f>
        <v>746.48668834964155</v>
      </c>
      <c r="L123" s="197">
        <f>+'piano ammo MUTUO'!Q11</f>
        <v>382.34684037419902</v>
      </c>
      <c r="M123" s="190"/>
      <c r="N123" s="190"/>
      <c r="O123" s="190"/>
      <c r="P123" s="228"/>
      <c r="Q123" s="228"/>
      <c r="R123" s="228"/>
      <c r="S123" s="228"/>
      <c r="T123" s="228"/>
      <c r="U123" s="228"/>
      <c r="V123" s="228"/>
      <c r="W123" s="228"/>
      <c r="X123" s="228"/>
      <c r="Y123" s="228"/>
      <c r="Z123" s="228"/>
      <c r="AA123" s="228"/>
      <c r="AB123" s="228"/>
      <c r="AC123" s="228"/>
      <c r="AD123" s="228"/>
      <c r="AE123" s="228"/>
      <c r="AF123" s="228"/>
    </row>
    <row r="124" spans="1:35" x14ac:dyDescent="0.2">
      <c r="A124" s="9" t="s">
        <v>114</v>
      </c>
      <c r="B124" s="2"/>
      <c r="C124" s="346"/>
      <c r="D124" s="346"/>
      <c r="E124" s="346"/>
      <c r="F124" s="346"/>
      <c r="G124" s="346"/>
      <c r="H124" s="346"/>
      <c r="I124" s="346"/>
      <c r="J124" s="346"/>
      <c r="K124" s="346"/>
      <c r="L124" s="346"/>
      <c r="M124" s="262">
        <f>SUMIF('PIANO RIMBORSO AI SOCI'!$A$15:$A$374,'DATI PROGETTO E FINANZIAMENTO'!C87,'PIANO RIMBORSO AI SOCI'!G15:$G$374)</f>
        <v>0</v>
      </c>
      <c r="N124" s="262">
        <f>SUMIF('PIANO RIMBORSO AI SOCI'!$A$15:$A$374,'DATI PROGETTO E FINANZIAMENTO'!D87,'PIANO RIMBORSO AI SOCI'!$G15:H$374)</f>
        <v>0</v>
      </c>
      <c r="O124" s="262">
        <f>SUMIF('PIANO RIMBORSO AI SOCI'!$A$15:$A$374,'DATI PROGETTO E FINANZIAMENTO'!E87,'PIANO RIMBORSO AI SOCI'!$G15:I$374)</f>
        <v>0</v>
      </c>
      <c r="P124" s="262">
        <f>SUMIF('PIANO RIMBORSO AI SOCI'!$A$15:$A$374,'DATI PROGETTO E FINANZIAMENTO'!F87,'PIANO RIMBORSO AI SOCI'!$G15:J$374)</f>
        <v>0</v>
      </c>
      <c r="Q124" s="262">
        <f>SUMIF('PIANO RIMBORSO AI SOCI'!$A$15:$A$374,'DATI PROGETTO E FINANZIAMENTO'!G87,'PIANO RIMBORSO AI SOCI'!$G15:K$374)</f>
        <v>0</v>
      </c>
      <c r="R124" s="262">
        <f>SUMIF('PIANO RIMBORSO AI SOCI'!$A$15:$A$374,'DATI PROGETTO E FINANZIAMENTO'!H87,'PIANO RIMBORSO AI SOCI'!$G15:L$374)</f>
        <v>0</v>
      </c>
      <c r="S124" s="262">
        <f>SUMIF('PIANO RIMBORSO AI SOCI'!$A$15:$A$374,'DATI PROGETTO E FINANZIAMENTO'!I87,'PIANO RIMBORSO AI SOCI'!$G15:M$374)</f>
        <v>0</v>
      </c>
      <c r="T124" s="262">
        <f>SUMIF('PIANO RIMBORSO AI SOCI'!$A$15:$A$374,'DATI PROGETTO E FINANZIAMENTO'!J87,'PIANO RIMBORSO AI SOCI'!$G15:N$374)</f>
        <v>0</v>
      </c>
      <c r="U124" s="262">
        <f>SUMIF('PIANO RIMBORSO AI SOCI'!$A$15:$A$374,'DATI PROGETTO E FINANZIAMENTO'!K87,'PIANO RIMBORSO AI SOCI'!$G15:O$374)</f>
        <v>0</v>
      </c>
      <c r="V124" s="262">
        <f>SUMIF('PIANO RIMBORSO AI SOCI'!$A$15:$A$374,'DATI PROGETTO E FINANZIAMENTO'!L87,'PIANO RIMBORSO AI SOCI'!$G15:P$374)</f>
        <v>0</v>
      </c>
      <c r="W124" s="262">
        <f>SUMIF('PIANO RIMBORSO AI SOCI'!$A$15:$A$374,'DATI PROGETTO E FINANZIAMENTO'!M87,'PIANO RIMBORSO AI SOCI'!$G15:Q$374)</f>
        <v>0</v>
      </c>
      <c r="X124" s="262">
        <f>SUMIF('PIANO RIMBORSO AI SOCI'!$A$15:$A$374,'DATI PROGETTO E FINANZIAMENTO'!N87,'PIANO RIMBORSO AI SOCI'!$G15:R$374)</f>
        <v>0</v>
      </c>
      <c r="Y124" s="262">
        <f>SUMIF('PIANO RIMBORSO AI SOCI'!$A$15:$A$374,'DATI PROGETTO E FINANZIAMENTO'!O87,'PIANO RIMBORSO AI SOCI'!$G15:S$374)</f>
        <v>0</v>
      </c>
      <c r="Z124" s="262">
        <f>SUMIF('PIANO RIMBORSO AI SOCI'!$A$15:$A$374,'DATI PROGETTO E FINANZIAMENTO'!P87,'PIANO RIMBORSO AI SOCI'!$G15:T$374)</f>
        <v>0</v>
      </c>
      <c r="AA124" s="262">
        <f>SUMIF('PIANO RIMBORSO AI SOCI'!$A$15:$A$374,'DATI PROGETTO E FINANZIAMENTO'!Q87,'PIANO RIMBORSO AI SOCI'!$G15:U$374)</f>
        <v>0</v>
      </c>
      <c r="AB124" s="262">
        <f>SUMIF('PIANO RIMBORSO AI SOCI'!$A$15:$A$374,'DATI PROGETTO E FINANZIAMENTO'!R87,'PIANO RIMBORSO AI SOCI'!$G15:V$374)</f>
        <v>0</v>
      </c>
      <c r="AC124" s="262">
        <f>SUMIF('PIANO RIMBORSO AI SOCI'!$A$15:$A$374,'DATI PROGETTO E FINANZIAMENTO'!S87,'PIANO RIMBORSO AI SOCI'!$G15:W$374)</f>
        <v>0</v>
      </c>
      <c r="AD124" s="262">
        <f>SUMIF('PIANO RIMBORSO AI SOCI'!$A$15:$A$374,'DATI PROGETTO E FINANZIAMENTO'!T87,'PIANO RIMBORSO AI SOCI'!$G15:X$374)</f>
        <v>0</v>
      </c>
      <c r="AE124" s="262">
        <f>SUMIF('PIANO RIMBORSO AI SOCI'!$A$15:$A$374,'DATI PROGETTO E FINANZIAMENTO'!U87,'PIANO RIMBORSO AI SOCI'!$G15:Y$374)</f>
        <v>0</v>
      </c>
      <c r="AF124" s="262">
        <f>SUMIF('PIANO RIMBORSO AI SOCI'!$A$15:$A$374,'DATI PROGETTO E FINANZIAMENTO'!V87,'PIANO RIMBORSO AI SOCI'!$G15:Z$374)</f>
        <v>0</v>
      </c>
      <c r="AG124" s="92"/>
      <c r="AH124" s="92"/>
      <c r="AI124" s="92"/>
    </row>
    <row r="125" spans="1:35" x14ac:dyDescent="0.2">
      <c r="A125" s="9" t="s">
        <v>141</v>
      </c>
      <c r="B125" s="322"/>
      <c r="C125" s="261">
        <f>+C123+C124</f>
        <v>3099.9999999999854</v>
      </c>
      <c r="D125" s="261">
        <f t="shared" ref="D125:AF125" si="44">+D123+D124</f>
        <v>2853.5358176070731</v>
      </c>
      <c r="E125" s="261">
        <f t="shared" si="44"/>
        <v>2594.7484260945421</v>
      </c>
      <c r="F125" s="261">
        <f t="shared" si="44"/>
        <v>2323.0216650063085</v>
      </c>
      <c r="G125" s="261">
        <f t="shared" si="44"/>
        <v>2037.7085658637516</v>
      </c>
      <c r="H125" s="261">
        <f t="shared" si="44"/>
        <v>1738.129811763989</v>
      </c>
      <c r="I125" s="261">
        <f t="shared" si="44"/>
        <v>1423.5721199593063</v>
      </c>
      <c r="J125" s="261">
        <f t="shared" si="44"/>
        <v>1093.2865435643253</v>
      </c>
      <c r="K125" s="261">
        <f t="shared" si="44"/>
        <v>746.48668834964155</v>
      </c>
      <c r="L125" s="261">
        <f t="shared" si="44"/>
        <v>382.34684037419902</v>
      </c>
      <c r="M125" s="256">
        <f t="shared" si="44"/>
        <v>0</v>
      </c>
      <c r="N125" s="256">
        <f t="shared" si="44"/>
        <v>0</v>
      </c>
      <c r="O125" s="256">
        <f t="shared" si="44"/>
        <v>0</v>
      </c>
      <c r="P125" s="256">
        <f t="shared" si="44"/>
        <v>0</v>
      </c>
      <c r="Q125" s="256">
        <f t="shared" si="44"/>
        <v>0</v>
      </c>
      <c r="R125" s="256">
        <f t="shared" si="44"/>
        <v>0</v>
      </c>
      <c r="S125" s="256">
        <f t="shared" si="44"/>
        <v>0</v>
      </c>
      <c r="T125" s="256">
        <f t="shared" si="44"/>
        <v>0</v>
      </c>
      <c r="U125" s="256">
        <f t="shared" si="44"/>
        <v>0</v>
      </c>
      <c r="V125" s="256">
        <f t="shared" si="44"/>
        <v>0</v>
      </c>
      <c r="W125" s="256">
        <f t="shared" si="44"/>
        <v>0</v>
      </c>
      <c r="X125" s="256">
        <f t="shared" si="44"/>
        <v>0</v>
      </c>
      <c r="Y125" s="256">
        <f t="shared" si="44"/>
        <v>0</v>
      </c>
      <c r="Z125" s="256">
        <f t="shared" si="44"/>
        <v>0</v>
      </c>
      <c r="AA125" s="256">
        <f t="shared" si="44"/>
        <v>0</v>
      </c>
      <c r="AB125" s="256">
        <f t="shared" si="44"/>
        <v>0</v>
      </c>
      <c r="AC125" s="256">
        <f t="shared" si="44"/>
        <v>0</v>
      </c>
      <c r="AD125" s="256">
        <f t="shared" si="44"/>
        <v>0</v>
      </c>
      <c r="AE125" s="256">
        <f t="shared" si="44"/>
        <v>0</v>
      </c>
      <c r="AF125" s="256">
        <f t="shared" si="44"/>
        <v>0</v>
      </c>
    </row>
    <row r="126" spans="1:35" x14ac:dyDescent="0.2">
      <c r="A126" s="188" t="s">
        <v>144</v>
      </c>
      <c r="B126" s="381"/>
      <c r="C126" s="340">
        <f>ROUND(+C122-C125,0)</f>
        <v>14997</v>
      </c>
      <c r="D126" s="340">
        <f t="shared" ref="D126:AF126" si="45">ROUND(+D122-D125,0)</f>
        <v>26399</v>
      </c>
      <c r="E126" s="340">
        <f t="shared" si="45"/>
        <v>16265</v>
      </c>
      <c r="F126" s="340">
        <f t="shared" si="45"/>
        <v>29382</v>
      </c>
      <c r="G126" s="340">
        <f t="shared" si="45"/>
        <v>42419</v>
      </c>
      <c r="H126" s="340">
        <f t="shared" si="45"/>
        <v>40732</v>
      </c>
      <c r="I126" s="340">
        <f t="shared" si="45"/>
        <v>47186</v>
      </c>
      <c r="J126" s="340">
        <f t="shared" si="45"/>
        <v>54940</v>
      </c>
      <c r="K126" s="340">
        <f t="shared" si="45"/>
        <v>55163</v>
      </c>
      <c r="L126" s="340">
        <f t="shared" si="45"/>
        <v>58538</v>
      </c>
      <c r="M126" s="382">
        <f t="shared" si="45"/>
        <v>71383</v>
      </c>
      <c r="N126" s="382">
        <f t="shared" si="45"/>
        <v>45117</v>
      </c>
      <c r="O126" s="382">
        <f t="shared" si="45"/>
        <v>45522</v>
      </c>
      <c r="P126" s="382">
        <f t="shared" si="45"/>
        <v>47526</v>
      </c>
      <c r="Q126" s="382">
        <f t="shared" si="45"/>
        <v>49531</v>
      </c>
      <c r="R126" s="382">
        <f t="shared" si="45"/>
        <v>49087</v>
      </c>
      <c r="S126" s="382">
        <f t="shared" si="45"/>
        <v>51154</v>
      </c>
      <c r="T126" s="382">
        <f t="shared" si="45"/>
        <v>53222</v>
      </c>
      <c r="U126" s="382">
        <f t="shared" si="45"/>
        <v>49280</v>
      </c>
      <c r="V126" s="382">
        <f t="shared" si="45"/>
        <v>51399</v>
      </c>
      <c r="W126" s="382">
        <f t="shared" si="45"/>
        <v>34516</v>
      </c>
      <c r="X126" s="382">
        <f t="shared" si="45"/>
        <v>30785</v>
      </c>
      <c r="Y126" s="382">
        <f t="shared" si="45"/>
        <v>33119</v>
      </c>
      <c r="Z126" s="382">
        <f t="shared" si="45"/>
        <v>35515</v>
      </c>
      <c r="AA126" s="382">
        <f t="shared" si="45"/>
        <v>31854</v>
      </c>
      <c r="AB126" s="382">
        <f t="shared" si="45"/>
        <v>34256</v>
      </c>
      <c r="AC126" s="382">
        <f t="shared" si="45"/>
        <v>36709</v>
      </c>
      <c r="AD126" s="382">
        <f t="shared" si="45"/>
        <v>33105</v>
      </c>
      <c r="AE126" s="382">
        <f t="shared" si="45"/>
        <v>35615</v>
      </c>
      <c r="AF126" s="382">
        <f t="shared" si="45"/>
        <v>38127</v>
      </c>
    </row>
    <row r="127" spans="1:35" x14ac:dyDescent="0.2">
      <c r="A127" s="9" t="s">
        <v>128</v>
      </c>
      <c r="B127" s="322"/>
      <c r="C127" s="347">
        <f>+C156</f>
        <v>0</v>
      </c>
      <c r="D127" s="347">
        <f t="shared" ref="D127:AF127" si="46">+D156</f>
        <v>0</v>
      </c>
      <c r="E127" s="347">
        <f t="shared" si="46"/>
        <v>0</v>
      </c>
      <c r="F127" s="347">
        <f t="shared" si="46"/>
        <v>0</v>
      </c>
      <c r="G127" s="347">
        <f t="shared" si="46"/>
        <v>0</v>
      </c>
      <c r="H127" s="347">
        <f t="shared" si="46"/>
        <v>0</v>
      </c>
      <c r="I127" s="347">
        <f t="shared" si="46"/>
        <v>0</v>
      </c>
      <c r="J127" s="347">
        <f t="shared" si="46"/>
        <v>0</v>
      </c>
      <c r="K127" s="347">
        <f t="shared" si="46"/>
        <v>0</v>
      </c>
      <c r="L127" s="347">
        <f t="shared" si="46"/>
        <v>0</v>
      </c>
      <c r="M127" s="257">
        <f t="shared" si="46"/>
        <v>0</v>
      </c>
      <c r="N127" s="257">
        <f t="shared" si="46"/>
        <v>0</v>
      </c>
      <c r="O127" s="257">
        <f t="shared" si="46"/>
        <v>0</v>
      </c>
      <c r="P127" s="257">
        <f t="shared" si="46"/>
        <v>0</v>
      </c>
      <c r="Q127" s="257">
        <f t="shared" si="46"/>
        <v>0</v>
      </c>
      <c r="R127" s="257">
        <f t="shared" si="46"/>
        <v>0</v>
      </c>
      <c r="S127" s="257">
        <f t="shared" si="46"/>
        <v>0</v>
      </c>
      <c r="T127" s="257">
        <f t="shared" si="46"/>
        <v>0</v>
      </c>
      <c r="U127" s="257">
        <f t="shared" si="46"/>
        <v>0</v>
      </c>
      <c r="V127" s="257">
        <f t="shared" si="46"/>
        <v>0</v>
      </c>
      <c r="W127" s="257">
        <f t="shared" si="46"/>
        <v>0</v>
      </c>
      <c r="X127" s="257">
        <f t="shared" si="46"/>
        <v>0</v>
      </c>
      <c r="Y127" s="257">
        <f t="shared" si="46"/>
        <v>0</v>
      </c>
      <c r="Z127" s="257">
        <f t="shared" si="46"/>
        <v>0</v>
      </c>
      <c r="AA127" s="257">
        <f t="shared" si="46"/>
        <v>0</v>
      </c>
      <c r="AB127" s="257">
        <f t="shared" si="46"/>
        <v>0</v>
      </c>
      <c r="AC127" s="257">
        <f t="shared" si="46"/>
        <v>0</v>
      </c>
      <c r="AD127" s="257">
        <f t="shared" si="46"/>
        <v>0</v>
      </c>
      <c r="AE127" s="257">
        <f t="shared" si="46"/>
        <v>0</v>
      </c>
      <c r="AF127" s="257">
        <f t="shared" si="46"/>
        <v>0</v>
      </c>
    </row>
    <row r="128" spans="1:35" x14ac:dyDescent="0.2">
      <c r="A128" s="9" t="s">
        <v>145</v>
      </c>
      <c r="B128" s="322"/>
      <c r="C128" s="347">
        <f>+C157</f>
        <v>450</v>
      </c>
      <c r="D128" s="347">
        <f t="shared" ref="D128:AF128" si="47">+D157</f>
        <v>792</v>
      </c>
      <c r="E128" s="347">
        <f t="shared" si="47"/>
        <v>488</v>
      </c>
      <c r="F128" s="347">
        <f t="shared" si="47"/>
        <v>881</v>
      </c>
      <c r="G128" s="347">
        <f t="shared" si="47"/>
        <v>1273</v>
      </c>
      <c r="H128" s="347">
        <f t="shared" si="47"/>
        <v>1222</v>
      </c>
      <c r="I128" s="347">
        <f t="shared" si="47"/>
        <v>1416</v>
      </c>
      <c r="J128" s="347">
        <f t="shared" si="47"/>
        <v>1648</v>
      </c>
      <c r="K128" s="347">
        <f t="shared" si="47"/>
        <v>1655</v>
      </c>
      <c r="L128" s="347">
        <f t="shared" si="47"/>
        <v>1756</v>
      </c>
      <c r="M128" s="257">
        <f t="shared" si="47"/>
        <v>2141</v>
      </c>
      <c r="N128" s="257">
        <f t="shared" si="47"/>
        <v>1354</v>
      </c>
      <c r="O128" s="257">
        <f t="shared" si="47"/>
        <v>1366</v>
      </c>
      <c r="P128" s="257">
        <f t="shared" si="47"/>
        <v>1426</v>
      </c>
      <c r="Q128" s="257">
        <f t="shared" si="47"/>
        <v>1486</v>
      </c>
      <c r="R128" s="257">
        <f t="shared" si="47"/>
        <v>1473</v>
      </c>
      <c r="S128" s="257">
        <f t="shared" si="47"/>
        <v>1535</v>
      </c>
      <c r="T128" s="257">
        <f t="shared" si="47"/>
        <v>1597</v>
      </c>
      <c r="U128" s="257">
        <f t="shared" si="47"/>
        <v>1478</v>
      </c>
      <c r="V128" s="257">
        <f t="shared" si="47"/>
        <v>1542</v>
      </c>
      <c r="W128" s="257">
        <f t="shared" si="47"/>
        <v>1035</v>
      </c>
      <c r="X128" s="257">
        <f t="shared" si="47"/>
        <v>924</v>
      </c>
      <c r="Y128" s="257">
        <f t="shared" si="47"/>
        <v>994</v>
      </c>
      <c r="Z128" s="257">
        <f t="shared" si="47"/>
        <v>1065</v>
      </c>
      <c r="AA128" s="257">
        <f t="shared" si="47"/>
        <v>956</v>
      </c>
      <c r="AB128" s="257">
        <f t="shared" si="47"/>
        <v>1028</v>
      </c>
      <c r="AC128" s="257">
        <f t="shared" si="47"/>
        <v>1101</v>
      </c>
      <c r="AD128" s="257">
        <f t="shared" si="47"/>
        <v>993</v>
      </c>
      <c r="AE128" s="257">
        <f t="shared" si="47"/>
        <v>1068</v>
      </c>
      <c r="AF128" s="257">
        <f t="shared" si="47"/>
        <v>1144</v>
      </c>
    </row>
    <row r="129" spans="1:32" x14ac:dyDescent="0.2">
      <c r="A129" s="9" t="s">
        <v>147</v>
      </c>
      <c r="B129" s="322"/>
      <c r="C129" s="261">
        <f>+C127+C128</f>
        <v>450</v>
      </c>
      <c r="D129" s="261">
        <f t="shared" ref="D129:AF129" si="48">+D127+D128</f>
        <v>792</v>
      </c>
      <c r="E129" s="261">
        <f t="shared" si="48"/>
        <v>488</v>
      </c>
      <c r="F129" s="261">
        <f t="shared" si="48"/>
        <v>881</v>
      </c>
      <c r="G129" s="261">
        <f t="shared" si="48"/>
        <v>1273</v>
      </c>
      <c r="H129" s="261">
        <f t="shared" si="48"/>
        <v>1222</v>
      </c>
      <c r="I129" s="261">
        <f t="shared" si="48"/>
        <v>1416</v>
      </c>
      <c r="J129" s="261">
        <f t="shared" si="48"/>
        <v>1648</v>
      </c>
      <c r="K129" s="261">
        <f t="shared" si="48"/>
        <v>1655</v>
      </c>
      <c r="L129" s="261">
        <f t="shared" si="48"/>
        <v>1756</v>
      </c>
      <c r="M129" s="256">
        <f t="shared" si="48"/>
        <v>2141</v>
      </c>
      <c r="N129" s="256">
        <f t="shared" si="48"/>
        <v>1354</v>
      </c>
      <c r="O129" s="256">
        <f t="shared" si="48"/>
        <v>1366</v>
      </c>
      <c r="P129" s="256">
        <f t="shared" si="48"/>
        <v>1426</v>
      </c>
      <c r="Q129" s="256">
        <f t="shared" si="48"/>
        <v>1486</v>
      </c>
      <c r="R129" s="256">
        <f t="shared" si="48"/>
        <v>1473</v>
      </c>
      <c r="S129" s="256">
        <f t="shared" si="48"/>
        <v>1535</v>
      </c>
      <c r="T129" s="256">
        <f t="shared" si="48"/>
        <v>1597</v>
      </c>
      <c r="U129" s="256">
        <f t="shared" si="48"/>
        <v>1478</v>
      </c>
      <c r="V129" s="256">
        <f t="shared" si="48"/>
        <v>1542</v>
      </c>
      <c r="W129" s="256">
        <f t="shared" si="48"/>
        <v>1035</v>
      </c>
      <c r="X129" s="256">
        <f t="shared" si="48"/>
        <v>924</v>
      </c>
      <c r="Y129" s="256">
        <f t="shared" si="48"/>
        <v>994</v>
      </c>
      <c r="Z129" s="256">
        <f t="shared" si="48"/>
        <v>1065</v>
      </c>
      <c r="AA129" s="256">
        <f t="shared" si="48"/>
        <v>956</v>
      </c>
      <c r="AB129" s="256">
        <f t="shared" si="48"/>
        <v>1028</v>
      </c>
      <c r="AC129" s="256">
        <f t="shared" si="48"/>
        <v>1101</v>
      </c>
      <c r="AD129" s="256">
        <f t="shared" si="48"/>
        <v>993</v>
      </c>
      <c r="AE129" s="256">
        <f t="shared" si="48"/>
        <v>1068</v>
      </c>
      <c r="AF129" s="256">
        <f t="shared" si="48"/>
        <v>1144</v>
      </c>
    </row>
    <row r="130" spans="1:32" ht="15" x14ac:dyDescent="0.2">
      <c r="A130" s="369" t="s">
        <v>146</v>
      </c>
      <c r="B130" s="370"/>
      <c r="C130" s="371">
        <f>+C126-C127-C128</f>
        <v>14547</v>
      </c>
      <c r="D130" s="371">
        <f t="shared" ref="D130:AF130" si="49">+D126-D127-D128</f>
        <v>25607</v>
      </c>
      <c r="E130" s="371">
        <f t="shared" si="49"/>
        <v>15777</v>
      </c>
      <c r="F130" s="371">
        <f t="shared" si="49"/>
        <v>28501</v>
      </c>
      <c r="G130" s="371">
        <f t="shared" si="49"/>
        <v>41146</v>
      </c>
      <c r="H130" s="371">
        <f t="shared" si="49"/>
        <v>39510</v>
      </c>
      <c r="I130" s="371">
        <f t="shared" si="49"/>
        <v>45770</v>
      </c>
      <c r="J130" s="371">
        <f t="shared" si="49"/>
        <v>53292</v>
      </c>
      <c r="K130" s="371">
        <f t="shared" si="49"/>
        <v>53508</v>
      </c>
      <c r="L130" s="371">
        <f t="shared" si="49"/>
        <v>56782</v>
      </c>
      <c r="M130" s="372">
        <f t="shared" si="49"/>
        <v>69242</v>
      </c>
      <c r="N130" s="372">
        <f t="shared" si="49"/>
        <v>43763</v>
      </c>
      <c r="O130" s="372">
        <f t="shared" si="49"/>
        <v>44156</v>
      </c>
      <c r="P130" s="372">
        <f t="shared" si="49"/>
        <v>46100</v>
      </c>
      <c r="Q130" s="372">
        <f t="shared" si="49"/>
        <v>48045</v>
      </c>
      <c r="R130" s="372">
        <f t="shared" si="49"/>
        <v>47614</v>
      </c>
      <c r="S130" s="372">
        <f t="shared" si="49"/>
        <v>49619</v>
      </c>
      <c r="T130" s="372">
        <f t="shared" si="49"/>
        <v>51625</v>
      </c>
      <c r="U130" s="372">
        <f t="shared" si="49"/>
        <v>47802</v>
      </c>
      <c r="V130" s="372">
        <f t="shared" si="49"/>
        <v>49857</v>
      </c>
      <c r="W130" s="372">
        <f t="shared" si="49"/>
        <v>33481</v>
      </c>
      <c r="X130" s="372">
        <f t="shared" si="49"/>
        <v>29861</v>
      </c>
      <c r="Y130" s="372">
        <f t="shared" si="49"/>
        <v>32125</v>
      </c>
      <c r="Z130" s="372">
        <f t="shared" si="49"/>
        <v>34450</v>
      </c>
      <c r="AA130" s="372">
        <f t="shared" si="49"/>
        <v>30898</v>
      </c>
      <c r="AB130" s="372">
        <f t="shared" si="49"/>
        <v>33228</v>
      </c>
      <c r="AC130" s="372">
        <f t="shared" si="49"/>
        <v>35608</v>
      </c>
      <c r="AD130" s="372">
        <f t="shared" si="49"/>
        <v>32112</v>
      </c>
      <c r="AE130" s="372">
        <f t="shared" si="49"/>
        <v>34547</v>
      </c>
      <c r="AF130" s="372">
        <f t="shared" si="49"/>
        <v>36983</v>
      </c>
    </row>
    <row r="131" spans="1:32" x14ac:dyDescent="0.2">
      <c r="A131" s="378" t="s">
        <v>323</v>
      </c>
      <c r="B131" s="378"/>
      <c r="C131" s="379">
        <f>+'BUSINESS PLAN'!D28</f>
        <v>14546.799999999988</v>
      </c>
      <c r="D131" s="379">
        <f>+'BUSINESS PLAN'!E28</f>
        <v>25607.264182392915</v>
      </c>
      <c r="E131" s="379">
        <f>+'BUSINESS PLAN'!F28</f>
        <v>15777.811573905463</v>
      </c>
      <c r="F131" s="379">
        <f>+'BUSINESS PLAN'!G28</f>
        <v>28501.538334993704</v>
      </c>
      <c r="G131" s="379">
        <f>+'BUSINESS PLAN'!H28</f>
        <v>41145.851434136275</v>
      </c>
      <c r="H131" s="379">
        <f>+'BUSINESS PLAN'!I28</f>
        <v>39509.790188235987</v>
      </c>
      <c r="I131" s="379">
        <f>+'BUSINESS PLAN'!J28</f>
        <v>45770.347880040703</v>
      </c>
      <c r="J131" s="379">
        <f>+'BUSINESS PLAN'!K28</f>
        <v>53292.633456435637</v>
      </c>
      <c r="K131" s="379">
        <f>+'BUSINESS PLAN'!L28</f>
        <v>53508.793311650399</v>
      </c>
      <c r="L131" s="379">
        <f>+'BUSINESS PLAN'!M28</f>
        <v>56781.933159625856</v>
      </c>
      <c r="M131" s="379">
        <f>+'BUSINESS PLAN'!N28</f>
        <v>69242.280000000028</v>
      </c>
      <c r="N131" s="379">
        <f>+'BUSINESS PLAN'!O28</f>
        <v>43762.280000000028</v>
      </c>
      <c r="O131" s="379">
        <f>+'BUSINESS PLAN'!P28</f>
        <v>44155.639999999956</v>
      </c>
      <c r="P131" s="379">
        <f>+'BUSINESS PLAN'!Q28</f>
        <v>46099.639999999956</v>
      </c>
      <c r="Q131" s="379">
        <f>+'BUSINESS PLAN'!R28</f>
        <v>48044.639999999956</v>
      </c>
      <c r="R131" s="379">
        <f>+'BUSINESS PLAN'!S28</f>
        <v>47614</v>
      </c>
      <c r="S131" s="379">
        <f>+'BUSINESS PLAN'!T28</f>
        <v>49619</v>
      </c>
      <c r="T131" s="379">
        <f>+'BUSINESS PLAN'!U28</f>
        <v>51625</v>
      </c>
      <c r="U131" s="379">
        <f>+'BUSINESS PLAN'!V28</f>
        <v>47802.359999999986</v>
      </c>
      <c r="V131" s="379">
        <f>+'BUSINESS PLAN'!W28</f>
        <v>49856.359999999986</v>
      </c>
      <c r="W131" s="379" t="e">
        <f>+'BUSINESS PLAN'!X28</f>
        <v>#REF!</v>
      </c>
      <c r="X131" s="379" t="e">
        <f>+'BUSINESS PLAN'!Y28</f>
        <v>#REF!</v>
      </c>
      <c r="Y131" s="379" t="e">
        <f>+'BUSINESS PLAN'!Z28</f>
        <v>#REF!</v>
      </c>
      <c r="Z131" s="379" t="e">
        <f>+'BUSINESS PLAN'!AA28</f>
        <v>#REF!</v>
      </c>
      <c r="AA131" s="379" t="e">
        <f>+'BUSINESS PLAN'!AB28</f>
        <v>#REF!</v>
      </c>
      <c r="AB131" s="379" t="e">
        <f>+'BUSINESS PLAN'!AC28</f>
        <v>#REF!</v>
      </c>
      <c r="AC131" s="379" t="e">
        <f>+'BUSINESS PLAN'!AD28</f>
        <v>#REF!</v>
      </c>
      <c r="AD131" s="379" t="e">
        <f>+'BUSINESS PLAN'!AE28</f>
        <v>#REF!</v>
      </c>
      <c r="AE131" s="379" t="e">
        <f>+'BUSINESS PLAN'!AF28</f>
        <v>#REF!</v>
      </c>
      <c r="AF131" s="379" t="e">
        <f>+'BUSINESS PLAN'!AG28</f>
        <v>#REF!</v>
      </c>
    </row>
    <row r="132" spans="1:32" x14ac:dyDescent="0.2">
      <c r="A132" s="378" t="s">
        <v>330</v>
      </c>
      <c r="B132" s="378"/>
      <c r="C132" s="416">
        <f>+C130-C131</f>
        <v>0.20000000001164153</v>
      </c>
      <c r="D132" s="416">
        <f t="shared" ref="D132:AF132" si="50">+D130-D131</f>
        <v>-0.26418239291524515</v>
      </c>
      <c r="E132" s="416">
        <f t="shared" si="50"/>
        <v>-0.81157390546286479</v>
      </c>
      <c r="F132" s="416">
        <f t="shared" si="50"/>
        <v>-0.53833499370375648</v>
      </c>
      <c r="G132" s="416">
        <f t="shared" si="50"/>
        <v>0.14856586372479796</v>
      </c>
      <c r="H132" s="416">
        <f t="shared" si="50"/>
        <v>0.20981176401255652</v>
      </c>
      <c r="I132" s="416">
        <f t="shared" si="50"/>
        <v>-0.3478800407028757</v>
      </c>
      <c r="J132" s="416">
        <f t="shared" si="50"/>
        <v>-0.63345643563661724</v>
      </c>
      <c r="K132" s="416">
        <f t="shared" si="50"/>
        <v>-0.79331165039911866</v>
      </c>
      <c r="L132" s="416">
        <f t="shared" si="50"/>
        <v>6.6840374143794179E-2</v>
      </c>
      <c r="M132" s="416">
        <f t="shared" si="50"/>
        <v>-0.28000000002793968</v>
      </c>
      <c r="N132" s="416">
        <f t="shared" si="50"/>
        <v>0.71999999997206032</v>
      </c>
      <c r="O132" s="416">
        <f t="shared" si="50"/>
        <v>0.36000000004423782</v>
      </c>
      <c r="P132" s="416">
        <f t="shared" si="50"/>
        <v>0.36000000004423782</v>
      </c>
      <c r="Q132" s="416">
        <f t="shared" si="50"/>
        <v>0.36000000004423782</v>
      </c>
      <c r="R132" s="416">
        <f t="shared" si="50"/>
        <v>0</v>
      </c>
      <c r="S132" s="416">
        <f t="shared" si="50"/>
        <v>0</v>
      </c>
      <c r="T132" s="416">
        <f t="shared" si="50"/>
        <v>0</v>
      </c>
      <c r="U132" s="416">
        <f t="shared" si="50"/>
        <v>-0.35999999998603016</v>
      </c>
      <c r="V132" s="416">
        <f t="shared" si="50"/>
        <v>0.64000000001396984</v>
      </c>
      <c r="W132" s="416" t="e">
        <f t="shared" si="50"/>
        <v>#REF!</v>
      </c>
      <c r="X132" s="416" t="e">
        <f t="shared" si="50"/>
        <v>#REF!</v>
      </c>
      <c r="Y132" s="416" t="e">
        <f t="shared" si="50"/>
        <v>#REF!</v>
      </c>
      <c r="Z132" s="416" t="e">
        <f t="shared" si="50"/>
        <v>#REF!</v>
      </c>
      <c r="AA132" s="416" t="e">
        <f t="shared" si="50"/>
        <v>#REF!</v>
      </c>
      <c r="AB132" s="416" t="e">
        <f t="shared" si="50"/>
        <v>#REF!</v>
      </c>
      <c r="AC132" s="416" t="e">
        <f t="shared" si="50"/>
        <v>#REF!</v>
      </c>
      <c r="AD132" s="416" t="e">
        <f t="shared" si="50"/>
        <v>#REF!</v>
      </c>
      <c r="AE132" s="416" t="e">
        <f t="shared" si="50"/>
        <v>#REF!</v>
      </c>
      <c r="AF132" s="416" t="e">
        <f t="shared" si="50"/>
        <v>#REF!</v>
      </c>
    </row>
    <row r="133" spans="1:32" x14ac:dyDescent="0.2">
      <c r="A133" s="378"/>
      <c r="B133" s="378"/>
      <c r="C133" s="379"/>
      <c r="D133" s="380"/>
      <c r="E133" s="380"/>
      <c r="F133" s="380"/>
      <c r="G133" s="380"/>
      <c r="H133" s="380"/>
      <c r="I133" s="380"/>
      <c r="J133" s="380"/>
      <c r="K133" s="380"/>
      <c r="L133" s="380"/>
      <c r="M133" s="380"/>
      <c r="N133" s="380"/>
      <c r="O133" s="380"/>
      <c r="P133" s="380"/>
      <c r="Q133" s="380"/>
      <c r="R133" s="380"/>
      <c r="S133" s="380"/>
      <c r="T133" s="380"/>
      <c r="U133" s="380"/>
      <c r="V133" s="380"/>
      <c r="W133" s="380"/>
      <c r="X133" s="380"/>
      <c r="Y133" s="380"/>
      <c r="Z133" s="380"/>
      <c r="AA133" s="380"/>
      <c r="AB133" s="380"/>
      <c r="AC133" s="380"/>
      <c r="AD133" s="380"/>
      <c r="AE133" s="380"/>
      <c r="AF133" s="380"/>
    </row>
    <row r="134" spans="1:32" x14ac:dyDescent="0.2">
      <c r="A134" s="155" t="s">
        <v>92</v>
      </c>
      <c r="B134" s="155"/>
      <c r="C134" s="153">
        <v>0</v>
      </c>
      <c r="D134" s="92"/>
      <c r="E134" s="90"/>
      <c r="F134" s="90"/>
      <c r="G134" s="90"/>
      <c r="H134" s="90"/>
      <c r="I134" s="90"/>
      <c r="J134" s="90"/>
      <c r="K134" s="90"/>
      <c r="L134" s="90"/>
      <c r="M134" s="90"/>
      <c r="N134" s="90"/>
      <c r="O134" s="90"/>
      <c r="P134" s="90"/>
      <c r="Q134" s="90"/>
      <c r="R134" s="90"/>
      <c r="S134" s="90"/>
      <c r="T134" s="90"/>
      <c r="U134" s="90"/>
      <c r="V134" s="90"/>
      <c r="W134" s="90"/>
      <c r="X134" s="90"/>
      <c r="Y134" s="90"/>
    </row>
    <row r="135" spans="1:32" x14ac:dyDescent="0.2">
      <c r="A135" s="110" t="s">
        <v>140</v>
      </c>
      <c r="B135" s="110"/>
      <c r="C135" s="150">
        <v>0</v>
      </c>
      <c r="D135" s="92"/>
      <c r="E135" s="90"/>
      <c r="F135" s="90"/>
      <c r="G135" s="90"/>
      <c r="H135" s="90"/>
      <c r="I135" s="90"/>
      <c r="J135" s="90"/>
      <c r="K135" s="90"/>
      <c r="L135" s="90"/>
      <c r="M135" s="90"/>
      <c r="N135" s="90"/>
      <c r="O135" s="90"/>
      <c r="P135" s="90"/>
      <c r="Q135" s="90"/>
      <c r="R135" s="90"/>
      <c r="S135" s="90"/>
      <c r="T135" s="90"/>
      <c r="U135" s="90"/>
      <c r="V135" s="90"/>
      <c r="W135" s="90"/>
      <c r="X135" s="90"/>
      <c r="Y135" s="90"/>
    </row>
    <row r="136" spans="1:32" x14ac:dyDescent="0.2">
      <c r="A136" s="110" t="s">
        <v>93</v>
      </c>
      <c r="B136" s="110"/>
      <c r="C136" s="109">
        <v>0</v>
      </c>
    </row>
    <row r="137" spans="1:32" x14ac:dyDescent="0.2">
      <c r="A137" s="110" t="s">
        <v>129</v>
      </c>
      <c r="B137" s="110"/>
      <c r="C137" s="108">
        <v>0.03</v>
      </c>
    </row>
    <row r="138" spans="1:32" x14ac:dyDescent="0.2">
      <c r="A138" s="110" t="s">
        <v>117</v>
      </c>
      <c r="B138" s="110"/>
      <c r="C138" s="108">
        <v>0</v>
      </c>
    </row>
    <row r="139" spans="1:32" x14ac:dyDescent="0.2">
      <c r="A139" s="110" t="s">
        <v>115</v>
      </c>
      <c r="B139" s="110"/>
      <c r="C139" s="108">
        <v>0</v>
      </c>
    </row>
    <row r="140" spans="1:32" x14ac:dyDescent="0.2">
      <c r="A140" s="110"/>
      <c r="B140" s="110"/>
      <c r="C140" s="108"/>
      <c r="G140" s="200"/>
      <c r="L140" s="200"/>
      <c r="Q140" s="200"/>
      <c r="V140" s="200"/>
      <c r="AA140" s="200">
        <v>0.05</v>
      </c>
    </row>
    <row r="141" spans="1:32" x14ac:dyDescent="0.2">
      <c r="A141" s="110"/>
      <c r="B141" s="110"/>
      <c r="C141" s="402" t="s">
        <v>62</v>
      </c>
      <c r="D141" s="402" t="s">
        <v>63</v>
      </c>
      <c r="E141" s="402" t="s">
        <v>64</v>
      </c>
      <c r="F141" s="402" t="s">
        <v>69</v>
      </c>
      <c r="G141" s="402" t="s">
        <v>70</v>
      </c>
      <c r="H141" s="402" t="s">
        <v>71</v>
      </c>
      <c r="I141" s="402" t="s">
        <v>72</v>
      </c>
      <c r="J141" s="402" t="s">
        <v>73</v>
      </c>
      <c r="K141" s="402" t="s">
        <v>74</v>
      </c>
      <c r="L141" s="402" t="s">
        <v>75</v>
      </c>
      <c r="M141" s="402" t="s">
        <v>76</v>
      </c>
      <c r="N141" s="402" t="s">
        <v>77</v>
      </c>
      <c r="O141" s="402" t="s">
        <v>78</v>
      </c>
      <c r="P141" s="402" t="s">
        <v>79</v>
      </c>
      <c r="Q141" s="402" t="s">
        <v>80</v>
      </c>
      <c r="R141" s="402" t="s">
        <v>81</v>
      </c>
      <c r="S141" s="402" t="s">
        <v>82</v>
      </c>
      <c r="T141" s="402" t="s">
        <v>83</v>
      </c>
      <c r="U141" s="402" t="s">
        <v>84</v>
      </c>
      <c r="V141" s="402" t="s">
        <v>86</v>
      </c>
      <c r="W141" s="402" t="s">
        <v>87</v>
      </c>
      <c r="X141" s="402" t="s">
        <v>88</v>
      </c>
      <c r="Y141" s="402" t="s">
        <v>89</v>
      </c>
      <c r="Z141" s="402" t="s">
        <v>107</v>
      </c>
      <c r="AA141" s="402" t="s">
        <v>108</v>
      </c>
      <c r="AB141" s="402" t="s">
        <v>109</v>
      </c>
      <c r="AC141" s="402" t="s">
        <v>110</v>
      </c>
      <c r="AD141" s="402" t="s">
        <v>111</v>
      </c>
      <c r="AE141" s="402" t="s">
        <v>112</v>
      </c>
      <c r="AF141" s="402" t="s">
        <v>113</v>
      </c>
    </row>
    <row r="142" spans="1:32" x14ac:dyDescent="0.2">
      <c r="A142" s="110" t="s">
        <v>91</v>
      </c>
      <c r="B142" s="110"/>
      <c r="C142" s="261">
        <f>+C143*C144*(1+C145)</f>
        <v>106061.2</v>
      </c>
      <c r="D142" s="261">
        <f t="shared" ref="D142:AF142" si="51">+D143*D144*(1+D145)</f>
        <v>106061.2</v>
      </c>
      <c r="E142" s="261">
        <f t="shared" si="51"/>
        <v>127273.44</v>
      </c>
      <c r="F142" s="261">
        <f t="shared" si="51"/>
        <v>127273.44</v>
      </c>
      <c r="G142" s="261">
        <f t="shared" si="51"/>
        <v>127273.44</v>
      </c>
      <c r="H142" s="261">
        <f t="shared" si="51"/>
        <v>133334.08000000002</v>
      </c>
      <c r="I142" s="261">
        <f t="shared" si="51"/>
        <v>133334.08000000002</v>
      </c>
      <c r="J142" s="261">
        <f t="shared" si="51"/>
        <v>133334.08000000002</v>
      </c>
      <c r="K142" s="261">
        <f t="shared" si="51"/>
        <v>139394.72</v>
      </c>
      <c r="L142" s="261">
        <f t="shared" si="51"/>
        <v>139394.72</v>
      </c>
      <c r="M142" s="261">
        <f t="shared" si="51"/>
        <v>139394.72</v>
      </c>
      <c r="N142" s="261">
        <f t="shared" si="51"/>
        <v>139394.72</v>
      </c>
      <c r="O142" s="261">
        <f t="shared" si="51"/>
        <v>145455.35999999999</v>
      </c>
      <c r="P142" s="261">
        <f t="shared" si="51"/>
        <v>145455.35999999999</v>
      </c>
      <c r="Q142" s="261">
        <f t="shared" si="51"/>
        <v>145455.35999999999</v>
      </c>
      <c r="R142" s="261">
        <f t="shared" si="51"/>
        <v>151516</v>
      </c>
      <c r="S142" s="261">
        <f t="shared" si="51"/>
        <v>151516</v>
      </c>
      <c r="T142" s="261">
        <f t="shared" si="51"/>
        <v>151516</v>
      </c>
      <c r="U142" s="261">
        <f t="shared" si="51"/>
        <v>157576.64000000001</v>
      </c>
      <c r="V142" s="261">
        <f t="shared" si="51"/>
        <v>157576.64000000001</v>
      </c>
      <c r="W142" s="261">
        <f t="shared" si="51"/>
        <v>157576.64000000001</v>
      </c>
      <c r="X142" s="261">
        <f t="shared" si="51"/>
        <v>163637.28000000003</v>
      </c>
      <c r="Y142" s="261">
        <f t="shared" si="51"/>
        <v>163637.28000000003</v>
      </c>
      <c r="Z142" s="261">
        <f t="shared" si="51"/>
        <v>163637.28000000003</v>
      </c>
      <c r="AA142" s="261">
        <f t="shared" si="51"/>
        <v>169697.91999999998</v>
      </c>
      <c r="AB142" s="261">
        <f t="shared" si="51"/>
        <v>169697.91999999998</v>
      </c>
      <c r="AC142" s="261">
        <f t="shared" si="51"/>
        <v>169697.91999999998</v>
      </c>
      <c r="AD142" s="261">
        <f t="shared" si="51"/>
        <v>175758.56</v>
      </c>
      <c r="AE142" s="261">
        <f t="shared" si="51"/>
        <v>175758.56</v>
      </c>
      <c r="AF142" s="261">
        <f t="shared" si="51"/>
        <v>175758.56</v>
      </c>
    </row>
    <row r="143" spans="1:32" x14ac:dyDescent="0.2">
      <c r="A143" s="110" t="s">
        <v>116</v>
      </c>
      <c r="B143" s="110"/>
      <c r="C143" s="249">
        <v>3.5</v>
      </c>
      <c r="D143" s="249">
        <v>3.5</v>
      </c>
      <c r="E143" s="249">
        <v>4</v>
      </c>
      <c r="F143" s="249">
        <v>4</v>
      </c>
      <c r="G143" s="249">
        <v>4</v>
      </c>
      <c r="H143" s="249">
        <v>4</v>
      </c>
      <c r="I143" s="249">
        <v>4</v>
      </c>
      <c r="J143" s="249">
        <v>4</v>
      </c>
      <c r="K143" s="249">
        <v>4</v>
      </c>
      <c r="L143" s="249">
        <v>4</v>
      </c>
      <c r="M143" s="249">
        <v>4</v>
      </c>
      <c r="N143" s="249">
        <v>4</v>
      </c>
      <c r="O143" s="249">
        <v>4</v>
      </c>
      <c r="P143" s="249">
        <v>4</v>
      </c>
      <c r="Q143" s="249">
        <v>4</v>
      </c>
      <c r="R143" s="249">
        <v>4</v>
      </c>
      <c r="S143" s="249">
        <v>4</v>
      </c>
      <c r="T143" s="249">
        <v>4</v>
      </c>
      <c r="U143" s="249">
        <v>4</v>
      </c>
      <c r="V143" s="249">
        <v>4</v>
      </c>
      <c r="W143" s="249">
        <v>4</v>
      </c>
      <c r="X143" s="249">
        <v>4</v>
      </c>
      <c r="Y143" s="249">
        <v>4</v>
      </c>
      <c r="Z143" s="249">
        <v>4</v>
      </c>
      <c r="AA143" s="249">
        <v>4</v>
      </c>
      <c r="AB143" s="249">
        <v>4</v>
      </c>
      <c r="AC143" s="249">
        <v>4</v>
      </c>
      <c r="AD143" s="249">
        <v>4</v>
      </c>
      <c r="AE143" s="249">
        <v>4</v>
      </c>
      <c r="AF143" s="249">
        <v>4</v>
      </c>
    </row>
    <row r="144" spans="1:32" x14ac:dyDescent="0.2">
      <c r="A144" s="9" t="s">
        <v>237</v>
      </c>
      <c r="B144" s="9"/>
      <c r="C144" s="197">
        <f>+$B$189</f>
        <v>30303.200000000001</v>
      </c>
      <c r="D144" s="197">
        <f t="shared" ref="D144:AF144" si="52">+$B$189</f>
        <v>30303.200000000001</v>
      </c>
      <c r="E144" s="197">
        <f t="shared" si="52"/>
        <v>30303.200000000001</v>
      </c>
      <c r="F144" s="197">
        <f t="shared" si="52"/>
        <v>30303.200000000001</v>
      </c>
      <c r="G144" s="197">
        <f t="shared" si="52"/>
        <v>30303.200000000001</v>
      </c>
      <c r="H144" s="197">
        <f t="shared" si="52"/>
        <v>30303.200000000001</v>
      </c>
      <c r="I144" s="197">
        <f t="shared" si="52"/>
        <v>30303.200000000001</v>
      </c>
      <c r="J144" s="197">
        <f t="shared" si="52"/>
        <v>30303.200000000001</v>
      </c>
      <c r="K144" s="197">
        <f t="shared" si="52"/>
        <v>30303.200000000001</v>
      </c>
      <c r="L144" s="197">
        <f t="shared" si="52"/>
        <v>30303.200000000001</v>
      </c>
      <c r="M144" s="197">
        <f t="shared" si="52"/>
        <v>30303.200000000001</v>
      </c>
      <c r="N144" s="197">
        <f t="shared" si="52"/>
        <v>30303.200000000001</v>
      </c>
      <c r="O144" s="197">
        <f t="shared" si="52"/>
        <v>30303.200000000001</v>
      </c>
      <c r="P144" s="197">
        <f t="shared" si="52"/>
        <v>30303.200000000001</v>
      </c>
      <c r="Q144" s="197">
        <f t="shared" si="52"/>
        <v>30303.200000000001</v>
      </c>
      <c r="R144" s="197">
        <f t="shared" si="52"/>
        <v>30303.200000000001</v>
      </c>
      <c r="S144" s="197">
        <f t="shared" si="52"/>
        <v>30303.200000000001</v>
      </c>
      <c r="T144" s="197">
        <f t="shared" si="52"/>
        <v>30303.200000000001</v>
      </c>
      <c r="U144" s="197">
        <f t="shared" si="52"/>
        <v>30303.200000000001</v>
      </c>
      <c r="V144" s="197">
        <f t="shared" si="52"/>
        <v>30303.200000000001</v>
      </c>
      <c r="W144" s="361">
        <f t="shared" si="52"/>
        <v>30303.200000000001</v>
      </c>
      <c r="X144" s="361">
        <f t="shared" si="52"/>
        <v>30303.200000000001</v>
      </c>
      <c r="Y144" s="361">
        <f t="shared" si="52"/>
        <v>30303.200000000001</v>
      </c>
      <c r="Z144" s="361">
        <f t="shared" si="52"/>
        <v>30303.200000000001</v>
      </c>
      <c r="AA144" s="361">
        <f t="shared" si="52"/>
        <v>30303.200000000001</v>
      </c>
      <c r="AB144" s="361">
        <f t="shared" si="52"/>
        <v>30303.200000000001</v>
      </c>
      <c r="AC144" s="361">
        <f t="shared" si="52"/>
        <v>30303.200000000001</v>
      </c>
      <c r="AD144" s="361">
        <f t="shared" si="52"/>
        <v>30303.200000000001</v>
      </c>
      <c r="AE144" s="361">
        <f t="shared" si="52"/>
        <v>30303.200000000001</v>
      </c>
      <c r="AF144" s="361">
        <f t="shared" si="52"/>
        <v>30303.200000000001</v>
      </c>
    </row>
    <row r="145" spans="1:32" x14ac:dyDescent="0.2">
      <c r="A145" s="368" t="s">
        <v>317</v>
      </c>
      <c r="B145" s="368"/>
      <c r="C145" s="102">
        <v>0</v>
      </c>
      <c r="D145" s="102">
        <v>0</v>
      </c>
      <c r="E145" s="102">
        <v>0.05</v>
      </c>
      <c r="F145" s="102">
        <v>0.05</v>
      </c>
      <c r="G145" s="102">
        <v>0.05</v>
      </c>
      <c r="H145" s="102">
        <v>0.1</v>
      </c>
      <c r="I145" s="102">
        <v>0.1</v>
      </c>
      <c r="J145" s="102">
        <v>0.1</v>
      </c>
      <c r="K145" s="102">
        <v>0.15</v>
      </c>
      <c r="L145" s="102">
        <v>0.15</v>
      </c>
      <c r="M145" s="102">
        <v>0.15</v>
      </c>
      <c r="N145" s="102">
        <v>0.15</v>
      </c>
      <c r="O145" s="102">
        <v>0.2</v>
      </c>
      <c r="P145" s="102">
        <v>0.2</v>
      </c>
      <c r="Q145" s="102">
        <v>0.2</v>
      </c>
      <c r="R145" s="102">
        <v>0.25</v>
      </c>
      <c r="S145" s="102">
        <v>0.25</v>
      </c>
      <c r="T145" s="102">
        <v>0.25</v>
      </c>
      <c r="U145" s="102">
        <v>0.3</v>
      </c>
      <c r="V145" s="102">
        <v>0.3</v>
      </c>
      <c r="W145" s="102">
        <v>0.3</v>
      </c>
      <c r="X145" s="102">
        <v>0.35</v>
      </c>
      <c r="Y145" s="102">
        <v>0.35</v>
      </c>
      <c r="Z145" s="102">
        <v>0.35</v>
      </c>
      <c r="AA145" s="102">
        <v>0.4</v>
      </c>
      <c r="AB145" s="102">
        <v>0.4</v>
      </c>
      <c r="AC145" s="102">
        <v>0.4</v>
      </c>
      <c r="AD145" s="102">
        <v>0.45</v>
      </c>
      <c r="AE145" s="102">
        <v>0.45</v>
      </c>
      <c r="AF145" s="102">
        <v>0.45</v>
      </c>
    </row>
    <row r="146" spans="1:32" x14ac:dyDescent="0.2">
      <c r="A146" s="20"/>
      <c r="B146" s="20"/>
      <c r="C146" s="79"/>
      <c r="D146" s="79"/>
      <c r="E146" s="79"/>
      <c r="F146" s="79"/>
      <c r="G146" s="79"/>
      <c r="H146" s="79"/>
      <c r="I146" s="79"/>
      <c r="J146" s="79"/>
      <c r="K146" s="79"/>
      <c r="L146" s="79"/>
      <c r="M146" s="79"/>
      <c r="N146" s="79"/>
      <c r="O146" s="79"/>
      <c r="P146" s="79"/>
      <c r="Q146" s="79"/>
      <c r="R146" s="79"/>
      <c r="S146" s="79"/>
      <c r="T146" s="79"/>
      <c r="U146" s="79"/>
      <c r="V146" s="79"/>
      <c r="W146" s="79"/>
      <c r="X146" s="79"/>
      <c r="Y146" s="79"/>
      <c r="Z146" s="79"/>
      <c r="AA146" s="79"/>
      <c r="AB146" s="79"/>
      <c r="AC146" s="79"/>
      <c r="AD146" s="79"/>
      <c r="AE146" s="79"/>
      <c r="AF146" s="79"/>
    </row>
    <row r="147" spans="1:32" x14ac:dyDescent="0.2">
      <c r="A147" s="20"/>
      <c r="B147" s="20"/>
      <c r="C147" s="79"/>
      <c r="D147" s="79"/>
      <c r="E147" s="79"/>
      <c r="F147" s="79"/>
      <c r="G147" s="79"/>
      <c r="H147" s="79"/>
      <c r="I147" s="79"/>
      <c r="J147" s="79"/>
      <c r="K147" s="79"/>
      <c r="L147" s="79"/>
      <c r="M147" s="79"/>
      <c r="N147" s="79"/>
      <c r="O147" s="79"/>
      <c r="P147" s="79"/>
      <c r="Q147" s="79"/>
      <c r="R147" s="79"/>
      <c r="S147" s="79"/>
      <c r="T147" s="79"/>
      <c r="U147" s="79"/>
      <c r="V147" s="79"/>
      <c r="W147" s="79"/>
      <c r="X147" s="79"/>
      <c r="Y147" s="79"/>
      <c r="Z147" s="79"/>
      <c r="AA147" s="79"/>
      <c r="AB147" s="79"/>
      <c r="AC147" s="79"/>
      <c r="AD147" s="79"/>
      <c r="AE147" s="79"/>
      <c r="AF147" s="79"/>
    </row>
    <row r="148" spans="1:32" x14ac:dyDescent="0.2">
      <c r="A148" s="400" t="s">
        <v>118</v>
      </c>
      <c r="B148" s="2"/>
    </row>
    <row r="149" spans="1:32" x14ac:dyDescent="0.2">
      <c r="A149" s="2"/>
      <c r="B149" s="2"/>
      <c r="C149" s="402" t="s">
        <v>62</v>
      </c>
      <c r="D149" s="402" t="s">
        <v>63</v>
      </c>
      <c r="E149" s="402" t="s">
        <v>64</v>
      </c>
      <c r="F149" s="402" t="s">
        <v>69</v>
      </c>
      <c r="G149" s="402" t="s">
        <v>70</v>
      </c>
      <c r="H149" s="402" t="s">
        <v>71</v>
      </c>
      <c r="I149" s="402" t="s">
        <v>72</v>
      </c>
      <c r="J149" s="402" t="s">
        <v>73</v>
      </c>
      <c r="K149" s="402" t="s">
        <v>74</v>
      </c>
      <c r="L149" s="402" t="s">
        <v>75</v>
      </c>
      <c r="M149" s="402" t="s">
        <v>76</v>
      </c>
      <c r="N149" s="402" t="s">
        <v>77</v>
      </c>
      <c r="O149" s="402" t="s">
        <v>78</v>
      </c>
      <c r="P149" s="402" t="s">
        <v>79</v>
      </c>
      <c r="Q149" s="402" t="s">
        <v>80</v>
      </c>
      <c r="R149" s="402" t="s">
        <v>81</v>
      </c>
      <c r="S149" s="402" t="s">
        <v>82</v>
      </c>
      <c r="T149" s="402" t="s">
        <v>83</v>
      </c>
      <c r="U149" s="402" t="s">
        <v>84</v>
      </c>
      <c r="V149" s="402" t="s">
        <v>86</v>
      </c>
      <c r="W149" s="402" t="s">
        <v>87</v>
      </c>
      <c r="X149" s="402" t="s">
        <v>88</v>
      </c>
      <c r="Y149" s="402" t="s">
        <v>89</v>
      </c>
      <c r="Z149" s="402" t="s">
        <v>107</v>
      </c>
      <c r="AA149" s="402" t="s">
        <v>108</v>
      </c>
      <c r="AB149" s="402" t="s">
        <v>109</v>
      </c>
      <c r="AC149" s="402" t="s">
        <v>110</v>
      </c>
      <c r="AD149" s="402" t="s">
        <v>111</v>
      </c>
      <c r="AE149" s="402" t="s">
        <v>112</v>
      </c>
      <c r="AF149" s="402" t="s">
        <v>113</v>
      </c>
    </row>
    <row r="150" spans="1:32" x14ac:dyDescent="0.2">
      <c r="A150" s="134" t="s">
        <v>150</v>
      </c>
      <c r="B150" s="133"/>
      <c r="C150" s="364">
        <f t="shared" ref="C150:AF150" si="53">+C122</f>
        <v>18096.800000000003</v>
      </c>
      <c r="D150" s="364">
        <f t="shared" si="53"/>
        <v>29252.800000000003</v>
      </c>
      <c r="E150" s="364">
        <f t="shared" si="53"/>
        <v>18860.159999999974</v>
      </c>
      <c r="F150" s="364">
        <f t="shared" si="53"/>
        <v>31705.391999999993</v>
      </c>
      <c r="G150" s="364">
        <f t="shared" si="53"/>
        <v>44456.288639999984</v>
      </c>
      <c r="H150" s="364">
        <f t="shared" si="53"/>
        <v>42470.243212800007</v>
      </c>
      <c r="I150" s="364">
        <f t="shared" si="53"/>
        <v>48609.569677055988</v>
      </c>
      <c r="J150" s="364">
        <f t="shared" si="53"/>
        <v>56033.662670597085</v>
      </c>
      <c r="K150" s="364">
        <f t="shared" si="53"/>
        <v>55909.917524009041</v>
      </c>
      <c r="L150" s="364">
        <f t="shared" si="53"/>
        <v>58920.65027448922</v>
      </c>
      <c r="M150" s="364">
        <f t="shared" si="53"/>
        <v>71383.257679979055</v>
      </c>
      <c r="N150" s="364">
        <f t="shared" si="53"/>
        <v>45116.777233578585</v>
      </c>
      <c r="O150" s="364">
        <f t="shared" si="53"/>
        <v>45521.607178250211</v>
      </c>
      <c r="P150" s="364">
        <f t="shared" si="53"/>
        <v>47526.066521815199</v>
      </c>
      <c r="Q150" s="364">
        <f t="shared" si="53"/>
        <v>49530.555052251497</v>
      </c>
      <c r="R150" s="364">
        <f t="shared" si="53"/>
        <v>49087.473353296518</v>
      </c>
      <c r="S150" s="364">
        <f t="shared" si="53"/>
        <v>51154.142820362467</v>
      </c>
      <c r="T150" s="364">
        <f t="shared" si="53"/>
        <v>53221.965676769672</v>
      </c>
      <c r="U150" s="364">
        <f t="shared" si="53"/>
        <v>49280.344990305079</v>
      </c>
      <c r="V150" s="364">
        <f t="shared" si="53"/>
        <v>51398.604690111184</v>
      </c>
      <c r="W150" s="364">
        <f t="shared" si="53"/>
        <v>34516.149583913386</v>
      </c>
      <c r="X150" s="364">
        <f t="shared" si="53"/>
        <v>30785.385375591635</v>
      </c>
      <c r="Y150" s="364">
        <f t="shared" si="53"/>
        <v>33118.638683103491</v>
      </c>
      <c r="Z150" s="364">
        <f t="shared" si="53"/>
        <v>35515.317056765547</v>
      </c>
      <c r="AA150" s="364">
        <f t="shared" si="53"/>
        <v>31853.828997900942</v>
      </c>
      <c r="AB150" s="364">
        <f t="shared" si="53"/>
        <v>34255.503977858927</v>
      </c>
      <c r="AC150" s="364">
        <f t="shared" si="53"/>
        <v>36708.752457416093</v>
      </c>
      <c r="AD150" s="364">
        <f t="shared" si="53"/>
        <v>33104.985906564398</v>
      </c>
      <c r="AE150" s="364">
        <f t="shared" si="53"/>
        <v>35614.536824695708</v>
      </c>
      <c r="AF150" s="364">
        <f t="shared" si="53"/>
        <v>38126.818761189643</v>
      </c>
    </row>
    <row r="151" spans="1:32" x14ac:dyDescent="0.2">
      <c r="A151" s="95" t="s">
        <v>119</v>
      </c>
      <c r="B151" s="95"/>
      <c r="C151" s="211">
        <f t="shared" ref="C151:AF151" si="54">+C117</f>
        <v>106061.2</v>
      </c>
      <c r="D151" s="211">
        <f t="shared" si="54"/>
        <v>106061.2</v>
      </c>
      <c r="E151" s="211">
        <f t="shared" si="54"/>
        <v>127273.44</v>
      </c>
      <c r="F151" s="211">
        <f t="shared" si="54"/>
        <v>127273.44</v>
      </c>
      <c r="G151" s="211">
        <f t="shared" si="54"/>
        <v>127273.44</v>
      </c>
      <c r="H151" s="211">
        <f t="shared" si="54"/>
        <v>133334.08000000002</v>
      </c>
      <c r="I151" s="211">
        <f t="shared" si="54"/>
        <v>133334.08000000002</v>
      </c>
      <c r="J151" s="211">
        <f t="shared" si="54"/>
        <v>133334.08000000002</v>
      </c>
      <c r="K151" s="211">
        <f t="shared" si="54"/>
        <v>139394.72</v>
      </c>
      <c r="L151" s="211">
        <f t="shared" si="54"/>
        <v>139394.72</v>
      </c>
      <c r="M151" s="211">
        <f t="shared" si="54"/>
        <v>139394.72</v>
      </c>
      <c r="N151" s="211">
        <f t="shared" si="54"/>
        <v>139394.72</v>
      </c>
      <c r="O151" s="211">
        <f t="shared" si="54"/>
        <v>145455.35999999999</v>
      </c>
      <c r="P151" s="211">
        <f t="shared" si="54"/>
        <v>145455.35999999999</v>
      </c>
      <c r="Q151" s="211">
        <f t="shared" si="54"/>
        <v>145455.35999999999</v>
      </c>
      <c r="R151" s="211">
        <f t="shared" si="54"/>
        <v>151516</v>
      </c>
      <c r="S151" s="211">
        <f t="shared" si="54"/>
        <v>151516</v>
      </c>
      <c r="T151" s="211">
        <f t="shared" si="54"/>
        <v>151516</v>
      </c>
      <c r="U151" s="211">
        <f t="shared" si="54"/>
        <v>157576.64000000001</v>
      </c>
      <c r="V151" s="211">
        <f t="shared" si="54"/>
        <v>157576.64000000001</v>
      </c>
      <c r="W151" s="211">
        <f t="shared" si="54"/>
        <v>157576.64000000001</v>
      </c>
      <c r="X151" s="211">
        <f t="shared" si="54"/>
        <v>163637.28000000003</v>
      </c>
      <c r="Y151" s="211">
        <f t="shared" si="54"/>
        <v>163637.28000000003</v>
      </c>
      <c r="Z151" s="211">
        <f t="shared" si="54"/>
        <v>163637.28000000003</v>
      </c>
      <c r="AA151" s="211">
        <f t="shared" si="54"/>
        <v>169697.91999999998</v>
      </c>
      <c r="AB151" s="211">
        <f t="shared" si="54"/>
        <v>169697.91999999998</v>
      </c>
      <c r="AC151" s="211">
        <f t="shared" si="54"/>
        <v>169697.91999999998</v>
      </c>
      <c r="AD151" s="211">
        <f t="shared" si="54"/>
        <v>175758.56</v>
      </c>
      <c r="AE151" s="211">
        <f t="shared" si="54"/>
        <v>175758.56</v>
      </c>
      <c r="AF151" s="211">
        <f t="shared" si="54"/>
        <v>175758.56</v>
      </c>
    </row>
    <row r="152" spans="1:32" hidden="1" x14ac:dyDescent="0.2">
      <c r="A152" s="95" t="s">
        <v>120</v>
      </c>
      <c r="B152" s="95"/>
      <c r="C152" s="211"/>
      <c r="D152" s="211"/>
      <c r="E152" s="211"/>
      <c r="F152" s="211"/>
      <c r="G152" s="211"/>
      <c r="H152" s="211"/>
      <c r="I152" s="211"/>
      <c r="J152" s="211"/>
      <c r="K152" s="211"/>
      <c r="L152" s="211"/>
      <c r="M152" s="211"/>
      <c r="N152" s="211"/>
      <c r="O152" s="211"/>
      <c r="P152" s="211"/>
      <c r="Q152" s="211"/>
      <c r="R152" s="211"/>
      <c r="S152" s="211"/>
      <c r="T152" s="211"/>
      <c r="U152" s="211"/>
      <c r="V152" s="211"/>
      <c r="W152" s="211"/>
      <c r="X152" s="211"/>
      <c r="Y152" s="211"/>
      <c r="Z152" s="211"/>
      <c r="AA152" s="211"/>
      <c r="AB152" s="211"/>
      <c r="AC152" s="211"/>
      <c r="AD152" s="211"/>
      <c r="AE152" s="211"/>
      <c r="AF152" s="211"/>
    </row>
    <row r="153" spans="1:32" s="90" customFormat="1" x14ac:dyDescent="0.2">
      <c r="A153" s="103" t="s">
        <v>121</v>
      </c>
      <c r="B153" s="365">
        <v>1</v>
      </c>
      <c r="C153" s="211">
        <f>ROUND(C151*$B$153,0)</f>
        <v>106061</v>
      </c>
      <c r="D153" s="211">
        <f t="shared" ref="D153:AF153" si="55">ROUND(D151*$B$153,0)</f>
        <v>106061</v>
      </c>
      <c r="E153" s="211">
        <f t="shared" si="55"/>
        <v>127273</v>
      </c>
      <c r="F153" s="211">
        <f t="shared" si="55"/>
        <v>127273</v>
      </c>
      <c r="G153" s="211">
        <f t="shared" si="55"/>
        <v>127273</v>
      </c>
      <c r="H153" s="211">
        <f t="shared" si="55"/>
        <v>133334</v>
      </c>
      <c r="I153" s="211">
        <f t="shared" si="55"/>
        <v>133334</v>
      </c>
      <c r="J153" s="211">
        <f t="shared" si="55"/>
        <v>133334</v>
      </c>
      <c r="K153" s="211">
        <f t="shared" si="55"/>
        <v>139395</v>
      </c>
      <c r="L153" s="211">
        <f t="shared" si="55"/>
        <v>139395</v>
      </c>
      <c r="M153" s="211">
        <f t="shared" si="55"/>
        <v>139395</v>
      </c>
      <c r="N153" s="211">
        <f t="shared" si="55"/>
        <v>139395</v>
      </c>
      <c r="O153" s="211">
        <f t="shared" si="55"/>
        <v>145455</v>
      </c>
      <c r="P153" s="211">
        <f t="shared" si="55"/>
        <v>145455</v>
      </c>
      <c r="Q153" s="211">
        <f t="shared" si="55"/>
        <v>145455</v>
      </c>
      <c r="R153" s="211">
        <f t="shared" si="55"/>
        <v>151516</v>
      </c>
      <c r="S153" s="211">
        <f t="shared" si="55"/>
        <v>151516</v>
      </c>
      <c r="T153" s="211">
        <f t="shared" si="55"/>
        <v>151516</v>
      </c>
      <c r="U153" s="211">
        <f t="shared" si="55"/>
        <v>157577</v>
      </c>
      <c r="V153" s="211">
        <f t="shared" si="55"/>
        <v>157577</v>
      </c>
      <c r="W153" s="211">
        <f t="shared" si="55"/>
        <v>157577</v>
      </c>
      <c r="X153" s="211">
        <f t="shared" si="55"/>
        <v>163637</v>
      </c>
      <c r="Y153" s="211">
        <f t="shared" si="55"/>
        <v>163637</v>
      </c>
      <c r="Z153" s="211">
        <f t="shared" si="55"/>
        <v>163637</v>
      </c>
      <c r="AA153" s="211">
        <f t="shared" si="55"/>
        <v>169698</v>
      </c>
      <c r="AB153" s="211">
        <f t="shared" si="55"/>
        <v>169698</v>
      </c>
      <c r="AC153" s="211">
        <f t="shared" si="55"/>
        <v>169698</v>
      </c>
      <c r="AD153" s="211">
        <f t="shared" si="55"/>
        <v>175759</v>
      </c>
      <c r="AE153" s="211">
        <f t="shared" si="55"/>
        <v>175759</v>
      </c>
      <c r="AF153" s="211">
        <f t="shared" si="55"/>
        <v>175759</v>
      </c>
    </row>
    <row r="154" spans="1:32" s="90" customFormat="1" x14ac:dyDescent="0.2">
      <c r="A154" s="179" t="s">
        <v>175</v>
      </c>
      <c r="B154" s="180"/>
      <c r="C154" s="242">
        <f>C151-C152-C153</f>
        <v>0.19999999999708962</v>
      </c>
      <c r="D154" s="242">
        <f t="shared" ref="D154:AF154" si="56">D151-D152-D153</f>
        <v>0.19999999999708962</v>
      </c>
      <c r="E154" s="242">
        <f t="shared" si="56"/>
        <v>0.44000000000232831</v>
      </c>
      <c r="F154" s="242">
        <f t="shared" si="56"/>
        <v>0.44000000000232831</v>
      </c>
      <c r="G154" s="242">
        <f t="shared" si="56"/>
        <v>0.44000000000232831</v>
      </c>
      <c r="H154" s="242">
        <f t="shared" si="56"/>
        <v>8.0000000016298145E-2</v>
      </c>
      <c r="I154" s="242">
        <f t="shared" si="56"/>
        <v>8.0000000016298145E-2</v>
      </c>
      <c r="J154" s="242">
        <f t="shared" si="56"/>
        <v>8.0000000016298145E-2</v>
      </c>
      <c r="K154" s="242">
        <f t="shared" si="56"/>
        <v>-0.27999999999883585</v>
      </c>
      <c r="L154" s="242">
        <f t="shared" si="56"/>
        <v>-0.27999999999883585</v>
      </c>
      <c r="M154" s="242">
        <f t="shared" si="56"/>
        <v>-0.27999999999883585</v>
      </c>
      <c r="N154" s="242">
        <f t="shared" si="56"/>
        <v>-0.27999999999883585</v>
      </c>
      <c r="O154" s="242">
        <f t="shared" si="56"/>
        <v>0.35999999998603016</v>
      </c>
      <c r="P154" s="242">
        <f t="shared" si="56"/>
        <v>0.35999999998603016</v>
      </c>
      <c r="Q154" s="242">
        <f t="shared" si="56"/>
        <v>0.35999999998603016</v>
      </c>
      <c r="R154" s="242">
        <f t="shared" si="56"/>
        <v>0</v>
      </c>
      <c r="S154" s="242">
        <f t="shared" si="56"/>
        <v>0</v>
      </c>
      <c r="T154" s="242">
        <f t="shared" si="56"/>
        <v>0</v>
      </c>
      <c r="U154" s="242">
        <f t="shared" si="56"/>
        <v>-0.35999999998603016</v>
      </c>
      <c r="V154" s="242">
        <f t="shared" si="56"/>
        <v>-0.35999999998603016</v>
      </c>
      <c r="W154" s="242">
        <f t="shared" si="56"/>
        <v>-0.35999999998603016</v>
      </c>
      <c r="X154" s="242">
        <f t="shared" si="56"/>
        <v>0.28000000002793968</v>
      </c>
      <c r="Y154" s="242">
        <f t="shared" si="56"/>
        <v>0.28000000002793968</v>
      </c>
      <c r="Z154" s="242">
        <f t="shared" si="56"/>
        <v>0.28000000002793968</v>
      </c>
      <c r="AA154" s="242">
        <f t="shared" si="56"/>
        <v>-8.0000000016298145E-2</v>
      </c>
      <c r="AB154" s="242">
        <f t="shared" si="56"/>
        <v>-8.0000000016298145E-2</v>
      </c>
      <c r="AC154" s="242">
        <f t="shared" si="56"/>
        <v>-8.0000000016298145E-2</v>
      </c>
      <c r="AD154" s="242">
        <f t="shared" si="56"/>
        <v>-0.44000000000232831</v>
      </c>
      <c r="AE154" s="242">
        <f t="shared" si="56"/>
        <v>-0.44000000000232831</v>
      </c>
      <c r="AF154" s="242">
        <f t="shared" si="56"/>
        <v>-0.44000000000232831</v>
      </c>
    </row>
    <row r="155" spans="1:32" x14ac:dyDescent="0.2">
      <c r="A155" s="110" t="s">
        <v>127</v>
      </c>
      <c r="B155" s="110"/>
      <c r="C155" s="243">
        <f>+C150+C154</f>
        <v>18097</v>
      </c>
      <c r="D155" s="243">
        <f t="shared" ref="D155:AF155" si="57">+D150+D154</f>
        <v>29253</v>
      </c>
      <c r="E155" s="243">
        <f t="shared" si="57"/>
        <v>18860.599999999977</v>
      </c>
      <c r="F155" s="243">
        <f t="shared" si="57"/>
        <v>31705.831999999995</v>
      </c>
      <c r="G155" s="243">
        <f t="shared" si="57"/>
        <v>44456.728639999987</v>
      </c>
      <c r="H155" s="243">
        <f t="shared" si="57"/>
        <v>42470.323212800024</v>
      </c>
      <c r="I155" s="243">
        <f t="shared" si="57"/>
        <v>48609.649677056004</v>
      </c>
      <c r="J155" s="243">
        <f t="shared" si="57"/>
        <v>56033.742670597101</v>
      </c>
      <c r="K155" s="243">
        <f t="shared" si="57"/>
        <v>55909.637524009042</v>
      </c>
      <c r="L155" s="243">
        <f t="shared" si="57"/>
        <v>58920.370274489222</v>
      </c>
      <c r="M155" s="243">
        <f t="shared" si="57"/>
        <v>71382.977679979056</v>
      </c>
      <c r="N155" s="243">
        <f t="shared" si="57"/>
        <v>45116.497233578586</v>
      </c>
      <c r="O155" s="243">
        <f t="shared" si="57"/>
        <v>45521.967178250197</v>
      </c>
      <c r="P155" s="243">
        <f t="shared" si="57"/>
        <v>47526.426521815185</v>
      </c>
      <c r="Q155" s="243">
        <f t="shared" si="57"/>
        <v>49530.915052251483</v>
      </c>
      <c r="R155" s="243">
        <f t="shared" si="57"/>
        <v>49087.473353296518</v>
      </c>
      <c r="S155" s="243">
        <f t="shared" si="57"/>
        <v>51154.142820362467</v>
      </c>
      <c r="T155" s="243">
        <f t="shared" si="57"/>
        <v>53221.965676769672</v>
      </c>
      <c r="U155" s="243">
        <f t="shared" si="57"/>
        <v>49279.984990305093</v>
      </c>
      <c r="V155" s="243">
        <f t="shared" si="57"/>
        <v>51398.244690111198</v>
      </c>
      <c r="W155" s="243">
        <f t="shared" si="57"/>
        <v>34515.7895839134</v>
      </c>
      <c r="X155" s="243">
        <f t="shared" si="57"/>
        <v>30785.665375591663</v>
      </c>
      <c r="Y155" s="243">
        <f t="shared" si="57"/>
        <v>33118.918683103519</v>
      </c>
      <c r="Z155" s="243">
        <f t="shared" si="57"/>
        <v>35515.597056765575</v>
      </c>
      <c r="AA155" s="243">
        <f t="shared" si="57"/>
        <v>31853.748997900926</v>
      </c>
      <c r="AB155" s="243">
        <f t="shared" si="57"/>
        <v>34255.423977858911</v>
      </c>
      <c r="AC155" s="243">
        <f t="shared" si="57"/>
        <v>36708.672457416076</v>
      </c>
      <c r="AD155" s="243">
        <f t="shared" si="57"/>
        <v>33104.545906564395</v>
      </c>
      <c r="AE155" s="243">
        <f t="shared" si="57"/>
        <v>35614.096824695705</v>
      </c>
      <c r="AF155" s="243">
        <f t="shared" si="57"/>
        <v>38126.37876118964</v>
      </c>
    </row>
    <row r="156" spans="1:32" s="2" customFormat="1" x14ac:dyDescent="0.2">
      <c r="A156" s="9" t="s">
        <v>128</v>
      </c>
      <c r="B156" s="152">
        <f>+C138</f>
        <v>0</v>
      </c>
      <c r="C156" s="366">
        <f>ROUND(IF(C155&lt;0,0,C155*$C$138),0)</f>
        <v>0</v>
      </c>
      <c r="D156" s="366">
        <f t="shared" ref="D156:AF156" si="58">ROUND(IF(D155&lt;0,0,D155*$C$138),0)</f>
        <v>0</v>
      </c>
      <c r="E156" s="366">
        <f t="shared" si="58"/>
        <v>0</v>
      </c>
      <c r="F156" s="366">
        <f t="shared" si="58"/>
        <v>0</v>
      </c>
      <c r="G156" s="366">
        <f t="shared" si="58"/>
        <v>0</v>
      </c>
      <c r="H156" s="366">
        <f t="shared" si="58"/>
        <v>0</v>
      </c>
      <c r="I156" s="366">
        <f t="shared" si="58"/>
        <v>0</v>
      </c>
      <c r="J156" s="366">
        <f t="shared" si="58"/>
        <v>0</v>
      </c>
      <c r="K156" s="366">
        <f t="shared" si="58"/>
        <v>0</v>
      </c>
      <c r="L156" s="366">
        <f t="shared" si="58"/>
        <v>0</v>
      </c>
      <c r="M156" s="366">
        <f t="shared" si="58"/>
        <v>0</v>
      </c>
      <c r="N156" s="366">
        <f t="shared" si="58"/>
        <v>0</v>
      </c>
      <c r="O156" s="366">
        <f t="shared" si="58"/>
        <v>0</v>
      </c>
      <c r="P156" s="366">
        <f t="shared" si="58"/>
        <v>0</v>
      </c>
      <c r="Q156" s="366">
        <f t="shared" si="58"/>
        <v>0</v>
      </c>
      <c r="R156" s="366">
        <f t="shared" si="58"/>
        <v>0</v>
      </c>
      <c r="S156" s="366">
        <f t="shared" si="58"/>
        <v>0</v>
      </c>
      <c r="T156" s="366">
        <f t="shared" si="58"/>
        <v>0</v>
      </c>
      <c r="U156" s="366">
        <f t="shared" si="58"/>
        <v>0</v>
      </c>
      <c r="V156" s="366">
        <f t="shared" si="58"/>
        <v>0</v>
      </c>
      <c r="W156" s="366">
        <f t="shared" si="58"/>
        <v>0</v>
      </c>
      <c r="X156" s="366">
        <f t="shared" si="58"/>
        <v>0</v>
      </c>
      <c r="Y156" s="366">
        <f t="shared" si="58"/>
        <v>0</v>
      </c>
      <c r="Z156" s="366">
        <f t="shared" si="58"/>
        <v>0</v>
      </c>
      <c r="AA156" s="366">
        <f t="shared" si="58"/>
        <v>0</v>
      </c>
      <c r="AB156" s="366">
        <f t="shared" si="58"/>
        <v>0</v>
      </c>
      <c r="AC156" s="366">
        <f t="shared" si="58"/>
        <v>0</v>
      </c>
      <c r="AD156" s="366">
        <f t="shared" si="58"/>
        <v>0</v>
      </c>
      <c r="AE156" s="366">
        <f t="shared" si="58"/>
        <v>0</v>
      </c>
      <c r="AF156" s="366">
        <f t="shared" si="58"/>
        <v>0</v>
      </c>
    </row>
    <row r="157" spans="1:32" x14ac:dyDescent="0.2">
      <c r="A157" s="9" t="s">
        <v>232</v>
      </c>
      <c r="B157" s="152">
        <f>+C137</f>
        <v>0.03</v>
      </c>
      <c r="C157" s="244">
        <f t="shared" ref="C157:AF157" si="59">ROUND(($B$157*C126),0)</f>
        <v>450</v>
      </c>
      <c r="D157" s="244">
        <f t="shared" si="59"/>
        <v>792</v>
      </c>
      <c r="E157" s="244">
        <f t="shared" si="59"/>
        <v>488</v>
      </c>
      <c r="F157" s="244">
        <f t="shared" si="59"/>
        <v>881</v>
      </c>
      <c r="G157" s="244">
        <f t="shared" si="59"/>
        <v>1273</v>
      </c>
      <c r="H157" s="244">
        <f t="shared" si="59"/>
        <v>1222</v>
      </c>
      <c r="I157" s="244">
        <f t="shared" si="59"/>
        <v>1416</v>
      </c>
      <c r="J157" s="244">
        <f t="shared" si="59"/>
        <v>1648</v>
      </c>
      <c r="K157" s="244">
        <f t="shared" si="59"/>
        <v>1655</v>
      </c>
      <c r="L157" s="244">
        <f t="shared" si="59"/>
        <v>1756</v>
      </c>
      <c r="M157" s="244">
        <f t="shared" si="59"/>
        <v>2141</v>
      </c>
      <c r="N157" s="244">
        <f t="shared" si="59"/>
        <v>1354</v>
      </c>
      <c r="O157" s="244">
        <f t="shared" si="59"/>
        <v>1366</v>
      </c>
      <c r="P157" s="244">
        <f t="shared" si="59"/>
        <v>1426</v>
      </c>
      <c r="Q157" s="244">
        <f t="shared" si="59"/>
        <v>1486</v>
      </c>
      <c r="R157" s="244">
        <f t="shared" si="59"/>
        <v>1473</v>
      </c>
      <c r="S157" s="244">
        <f t="shared" si="59"/>
        <v>1535</v>
      </c>
      <c r="T157" s="244">
        <f t="shared" si="59"/>
        <v>1597</v>
      </c>
      <c r="U157" s="244">
        <f t="shared" si="59"/>
        <v>1478</v>
      </c>
      <c r="V157" s="244">
        <f t="shared" si="59"/>
        <v>1542</v>
      </c>
      <c r="W157" s="244">
        <f t="shared" si="59"/>
        <v>1035</v>
      </c>
      <c r="X157" s="244">
        <f t="shared" si="59"/>
        <v>924</v>
      </c>
      <c r="Y157" s="244">
        <f t="shared" si="59"/>
        <v>994</v>
      </c>
      <c r="Z157" s="244">
        <f t="shared" si="59"/>
        <v>1065</v>
      </c>
      <c r="AA157" s="244">
        <f t="shared" si="59"/>
        <v>956</v>
      </c>
      <c r="AB157" s="244">
        <f t="shared" si="59"/>
        <v>1028</v>
      </c>
      <c r="AC157" s="244">
        <f t="shared" si="59"/>
        <v>1101</v>
      </c>
      <c r="AD157" s="244">
        <f t="shared" si="59"/>
        <v>993</v>
      </c>
      <c r="AE157" s="244">
        <f t="shared" si="59"/>
        <v>1068</v>
      </c>
      <c r="AF157" s="244">
        <f t="shared" si="59"/>
        <v>1144</v>
      </c>
    </row>
    <row r="158" spans="1:32" x14ac:dyDescent="0.2">
      <c r="A158" s="132" t="s">
        <v>233</v>
      </c>
      <c r="B158" s="132" t="s">
        <v>235</v>
      </c>
      <c r="C158" s="245"/>
      <c r="D158" s="211"/>
      <c r="E158" s="367"/>
      <c r="F158" s="211"/>
      <c r="G158" s="211"/>
      <c r="H158" s="211"/>
      <c r="I158" s="211"/>
      <c r="J158" s="211"/>
      <c r="K158" s="211"/>
      <c r="L158" s="211"/>
      <c r="M158" s="211"/>
      <c r="N158" s="211"/>
      <c r="O158" s="211"/>
      <c r="P158" s="211"/>
      <c r="Q158" s="211"/>
      <c r="R158" s="211"/>
      <c r="S158" s="211"/>
      <c r="T158" s="211"/>
      <c r="U158" s="211"/>
      <c r="V158" s="211"/>
      <c r="W158" s="211"/>
      <c r="X158" s="211"/>
      <c r="Y158" s="211"/>
      <c r="Z158" s="211"/>
      <c r="AA158" s="211"/>
      <c r="AB158" s="211"/>
      <c r="AC158" s="211"/>
      <c r="AD158" s="211"/>
      <c r="AE158" s="211"/>
      <c r="AF158" s="211"/>
    </row>
    <row r="159" spans="1:32" x14ac:dyDescent="0.2">
      <c r="A159" s="133" t="s">
        <v>234</v>
      </c>
      <c r="B159" s="133"/>
      <c r="C159" s="246">
        <f>+C161/C160</f>
        <v>5611.7037037037035</v>
      </c>
      <c r="D159" s="211">
        <f>C159*(1+$F$86)</f>
        <v>5780.0548148148146</v>
      </c>
      <c r="E159" s="211">
        <f t="shared" ref="E159:AF159" si="60">D159*(1+$F$86)</f>
        <v>5953.4564592592587</v>
      </c>
      <c r="F159" s="211">
        <f t="shared" si="60"/>
        <v>6132.0601530370368</v>
      </c>
      <c r="G159" s="211">
        <f t="shared" si="60"/>
        <v>6316.0219576281479</v>
      </c>
      <c r="H159" s="211">
        <f t="shared" si="60"/>
        <v>6505.5026163569928</v>
      </c>
      <c r="I159" s="211">
        <f t="shared" si="60"/>
        <v>6700.6676948477025</v>
      </c>
      <c r="J159" s="211">
        <f t="shared" si="60"/>
        <v>6901.6877256931339</v>
      </c>
      <c r="K159" s="211">
        <f t="shared" si="60"/>
        <v>7108.738357463928</v>
      </c>
      <c r="L159" s="211">
        <f t="shared" si="60"/>
        <v>7322.0005081878462</v>
      </c>
      <c r="M159" s="211">
        <f t="shared" si="60"/>
        <v>7541.660523433482</v>
      </c>
      <c r="N159" s="211">
        <f t="shared" si="60"/>
        <v>7767.910339136487</v>
      </c>
      <c r="O159" s="211">
        <f t="shared" si="60"/>
        <v>8000.9476493105822</v>
      </c>
      <c r="P159" s="211">
        <f t="shared" si="60"/>
        <v>8240.9760787898995</v>
      </c>
      <c r="Q159" s="211">
        <f t="shared" si="60"/>
        <v>8488.2053611535976</v>
      </c>
      <c r="R159" s="211">
        <f t="shared" si="60"/>
        <v>8742.8515219882065</v>
      </c>
      <c r="S159" s="211">
        <f t="shared" si="60"/>
        <v>9005.1370676478527</v>
      </c>
      <c r="T159" s="211">
        <f t="shared" si="60"/>
        <v>9275.2911796772878</v>
      </c>
      <c r="U159" s="211">
        <f t="shared" si="60"/>
        <v>9553.549915067606</v>
      </c>
      <c r="V159" s="211">
        <f t="shared" si="60"/>
        <v>9840.1564125196346</v>
      </c>
      <c r="W159" s="211">
        <f t="shared" si="60"/>
        <v>10135.361104895224</v>
      </c>
      <c r="X159" s="211">
        <f t="shared" si="60"/>
        <v>10439.421938042082</v>
      </c>
      <c r="Y159" s="211">
        <f t="shared" si="60"/>
        <v>10752.604596183344</v>
      </c>
      <c r="Z159" s="211">
        <f t="shared" si="60"/>
        <v>11075.182734068845</v>
      </c>
      <c r="AA159" s="211">
        <f t="shared" si="60"/>
        <v>11407.43821609091</v>
      </c>
      <c r="AB159" s="211">
        <f t="shared" si="60"/>
        <v>11749.661362573637</v>
      </c>
      <c r="AC159" s="211">
        <f t="shared" si="60"/>
        <v>12102.151203450847</v>
      </c>
      <c r="AD159" s="211">
        <f t="shared" si="60"/>
        <v>12465.215739554373</v>
      </c>
      <c r="AE159" s="211">
        <f t="shared" si="60"/>
        <v>12839.172211741005</v>
      </c>
      <c r="AF159" s="211">
        <f t="shared" si="60"/>
        <v>13224.347378093235</v>
      </c>
    </row>
    <row r="160" spans="1:32" x14ac:dyDescent="0.2">
      <c r="A160" s="133" t="s">
        <v>122</v>
      </c>
      <c r="B160" s="133"/>
      <c r="C160" s="362">
        <v>13.5</v>
      </c>
      <c r="D160" s="211">
        <v>14</v>
      </c>
      <c r="E160" s="211">
        <v>14</v>
      </c>
      <c r="F160" s="211">
        <v>14</v>
      </c>
      <c r="G160" s="211">
        <v>14</v>
      </c>
      <c r="H160" s="211">
        <v>14</v>
      </c>
      <c r="I160" s="211">
        <v>14</v>
      </c>
      <c r="J160" s="211">
        <v>14</v>
      </c>
      <c r="K160" s="211">
        <v>14</v>
      </c>
      <c r="L160" s="211">
        <v>14</v>
      </c>
      <c r="M160" s="211">
        <v>14</v>
      </c>
      <c r="N160" s="211">
        <v>14</v>
      </c>
      <c r="O160" s="211">
        <v>14</v>
      </c>
      <c r="P160" s="211">
        <v>14</v>
      </c>
      <c r="Q160" s="211">
        <v>14</v>
      </c>
      <c r="R160" s="211">
        <v>14</v>
      </c>
      <c r="S160" s="211">
        <v>14</v>
      </c>
      <c r="T160" s="211">
        <v>14</v>
      </c>
      <c r="U160" s="211">
        <v>14</v>
      </c>
      <c r="V160" s="211">
        <v>14</v>
      </c>
      <c r="W160" s="211">
        <v>14</v>
      </c>
      <c r="X160" s="211">
        <v>14</v>
      </c>
      <c r="Y160" s="211">
        <v>14</v>
      </c>
      <c r="Z160" s="211">
        <v>14</v>
      </c>
      <c r="AA160" s="211">
        <v>14</v>
      </c>
      <c r="AB160" s="211">
        <v>14</v>
      </c>
      <c r="AC160" s="211">
        <v>14</v>
      </c>
      <c r="AD160" s="211">
        <v>14</v>
      </c>
      <c r="AE160" s="211">
        <v>14</v>
      </c>
      <c r="AF160" s="211">
        <v>14</v>
      </c>
    </row>
    <row r="161" spans="1:32" x14ac:dyDescent="0.2">
      <c r="A161" s="134" t="s">
        <v>123</v>
      </c>
      <c r="B161" s="134">
        <v>1.4</v>
      </c>
      <c r="C161" s="247">
        <f>ROUND(C151/$B$161,0)</f>
        <v>75758</v>
      </c>
      <c r="D161" s="247">
        <f t="shared" ref="D161:AF161" si="61">ROUND(D151/$B$161,0)</f>
        <v>75758</v>
      </c>
      <c r="E161" s="247">
        <f t="shared" si="61"/>
        <v>90910</v>
      </c>
      <c r="F161" s="247">
        <f t="shared" si="61"/>
        <v>90910</v>
      </c>
      <c r="G161" s="247">
        <f t="shared" si="61"/>
        <v>90910</v>
      </c>
      <c r="H161" s="247">
        <f t="shared" si="61"/>
        <v>95239</v>
      </c>
      <c r="I161" s="247">
        <f t="shared" si="61"/>
        <v>95239</v>
      </c>
      <c r="J161" s="247">
        <f t="shared" si="61"/>
        <v>95239</v>
      </c>
      <c r="K161" s="247">
        <f t="shared" si="61"/>
        <v>99568</v>
      </c>
      <c r="L161" s="247">
        <f t="shared" si="61"/>
        <v>99568</v>
      </c>
      <c r="M161" s="247">
        <f t="shared" si="61"/>
        <v>99568</v>
      </c>
      <c r="N161" s="247">
        <f t="shared" si="61"/>
        <v>99568</v>
      </c>
      <c r="O161" s="247">
        <f t="shared" si="61"/>
        <v>103897</v>
      </c>
      <c r="P161" s="247">
        <f t="shared" si="61"/>
        <v>103897</v>
      </c>
      <c r="Q161" s="247">
        <f t="shared" si="61"/>
        <v>103897</v>
      </c>
      <c r="R161" s="247">
        <f t="shared" si="61"/>
        <v>108226</v>
      </c>
      <c r="S161" s="247">
        <f t="shared" si="61"/>
        <v>108226</v>
      </c>
      <c r="T161" s="247">
        <f t="shared" si="61"/>
        <v>108226</v>
      </c>
      <c r="U161" s="247">
        <f t="shared" si="61"/>
        <v>112555</v>
      </c>
      <c r="V161" s="247">
        <f t="shared" si="61"/>
        <v>112555</v>
      </c>
      <c r="W161" s="247">
        <f t="shared" si="61"/>
        <v>112555</v>
      </c>
      <c r="X161" s="247">
        <f t="shared" si="61"/>
        <v>116884</v>
      </c>
      <c r="Y161" s="247">
        <f t="shared" si="61"/>
        <v>116884</v>
      </c>
      <c r="Z161" s="247">
        <f t="shared" si="61"/>
        <v>116884</v>
      </c>
      <c r="AA161" s="247">
        <f t="shared" si="61"/>
        <v>121213</v>
      </c>
      <c r="AB161" s="247">
        <f t="shared" si="61"/>
        <v>121213</v>
      </c>
      <c r="AC161" s="247">
        <f t="shared" si="61"/>
        <v>121213</v>
      </c>
      <c r="AD161" s="247">
        <f t="shared" si="61"/>
        <v>125542</v>
      </c>
      <c r="AE161" s="247">
        <f t="shared" si="61"/>
        <v>125542</v>
      </c>
      <c r="AF161" s="247">
        <f t="shared" si="61"/>
        <v>125542</v>
      </c>
    </row>
    <row r="162" spans="1:32" x14ac:dyDescent="0.2">
      <c r="A162" s="134" t="s">
        <v>124</v>
      </c>
      <c r="B162" s="134"/>
      <c r="C162" s="247">
        <f>+C151-C161-C163</f>
        <v>24691.496296296293</v>
      </c>
      <c r="D162" s="247">
        <f t="shared" ref="D162:AF162" si="62">+D151-D161-D163</f>
        <v>24691.496296296293</v>
      </c>
      <c r="E162" s="247">
        <f t="shared" si="62"/>
        <v>29629.365925925929</v>
      </c>
      <c r="F162" s="247">
        <f t="shared" si="62"/>
        <v>29629.365925925929</v>
      </c>
      <c r="G162" s="247">
        <f t="shared" si="62"/>
        <v>29629.365925925929</v>
      </c>
      <c r="H162" s="247">
        <f t="shared" si="62"/>
        <v>31040.339259259275</v>
      </c>
      <c r="I162" s="247">
        <f t="shared" si="62"/>
        <v>31040.339259259275</v>
      </c>
      <c r="J162" s="247">
        <f t="shared" si="62"/>
        <v>31040.339259259275</v>
      </c>
      <c r="K162" s="247">
        <f t="shared" si="62"/>
        <v>32451.312592592592</v>
      </c>
      <c r="L162" s="247">
        <f t="shared" si="62"/>
        <v>32451.312592592592</v>
      </c>
      <c r="M162" s="247">
        <f t="shared" si="62"/>
        <v>32451.312592592592</v>
      </c>
      <c r="N162" s="247">
        <f t="shared" si="62"/>
        <v>32451.312592592592</v>
      </c>
      <c r="O162" s="247">
        <f t="shared" si="62"/>
        <v>33862.285925925913</v>
      </c>
      <c r="P162" s="247">
        <f t="shared" si="62"/>
        <v>33862.285925925913</v>
      </c>
      <c r="Q162" s="247">
        <f t="shared" si="62"/>
        <v>33862.285925925913</v>
      </c>
      <c r="R162" s="247">
        <f t="shared" si="62"/>
        <v>35273.259259259255</v>
      </c>
      <c r="S162" s="247">
        <f t="shared" si="62"/>
        <v>35273.259259259255</v>
      </c>
      <c r="T162" s="247">
        <f t="shared" si="62"/>
        <v>35273.259259259255</v>
      </c>
      <c r="U162" s="247">
        <f t="shared" si="62"/>
        <v>36684.232592592605</v>
      </c>
      <c r="V162" s="247">
        <f t="shared" si="62"/>
        <v>36684.232592592605</v>
      </c>
      <c r="W162" s="247">
        <f t="shared" si="62"/>
        <v>36684.232592592605</v>
      </c>
      <c r="X162" s="247">
        <f t="shared" si="62"/>
        <v>38095.205925925955</v>
      </c>
      <c r="Y162" s="247">
        <f t="shared" si="62"/>
        <v>38095.205925925955</v>
      </c>
      <c r="Z162" s="247">
        <f t="shared" si="62"/>
        <v>38095.205925925955</v>
      </c>
      <c r="AA162" s="247">
        <f t="shared" si="62"/>
        <v>39506.179259259239</v>
      </c>
      <c r="AB162" s="247">
        <f t="shared" si="62"/>
        <v>39506.179259259239</v>
      </c>
      <c r="AC162" s="247">
        <f t="shared" si="62"/>
        <v>39506.179259259239</v>
      </c>
      <c r="AD162" s="247">
        <f t="shared" si="62"/>
        <v>40917.152592592589</v>
      </c>
      <c r="AE162" s="247">
        <f t="shared" si="62"/>
        <v>40917.152592592589</v>
      </c>
      <c r="AF162" s="247">
        <f t="shared" si="62"/>
        <v>40917.152592592589</v>
      </c>
    </row>
    <row r="163" spans="1:32" x14ac:dyDescent="0.2">
      <c r="A163" s="134" t="s">
        <v>126</v>
      </c>
      <c r="B163" s="134">
        <v>13.5</v>
      </c>
      <c r="C163" s="211">
        <f>+C161/B163</f>
        <v>5611.7037037037035</v>
      </c>
      <c r="D163" s="211">
        <f t="shared" ref="D163:AF163" si="63">D161/13.5</f>
        <v>5611.7037037037035</v>
      </c>
      <c r="E163" s="211">
        <f t="shared" si="63"/>
        <v>6734.0740740740739</v>
      </c>
      <c r="F163" s="211">
        <f t="shared" si="63"/>
        <v>6734.0740740740739</v>
      </c>
      <c r="G163" s="211">
        <f t="shared" si="63"/>
        <v>6734.0740740740739</v>
      </c>
      <c r="H163" s="211">
        <f t="shared" si="63"/>
        <v>7054.7407407407409</v>
      </c>
      <c r="I163" s="211">
        <f t="shared" si="63"/>
        <v>7054.7407407407409</v>
      </c>
      <c r="J163" s="211">
        <f t="shared" si="63"/>
        <v>7054.7407407407409</v>
      </c>
      <c r="K163" s="211">
        <f t="shared" si="63"/>
        <v>7375.4074074074078</v>
      </c>
      <c r="L163" s="211">
        <f t="shared" si="63"/>
        <v>7375.4074074074078</v>
      </c>
      <c r="M163" s="211">
        <f t="shared" si="63"/>
        <v>7375.4074074074078</v>
      </c>
      <c r="N163" s="211">
        <f t="shared" si="63"/>
        <v>7375.4074074074078</v>
      </c>
      <c r="O163" s="211">
        <f t="shared" si="63"/>
        <v>7696.0740740740739</v>
      </c>
      <c r="P163" s="211">
        <f t="shared" si="63"/>
        <v>7696.0740740740739</v>
      </c>
      <c r="Q163" s="211">
        <f t="shared" si="63"/>
        <v>7696.0740740740739</v>
      </c>
      <c r="R163" s="211">
        <f t="shared" si="63"/>
        <v>8016.7407407407409</v>
      </c>
      <c r="S163" s="211">
        <f t="shared" si="63"/>
        <v>8016.7407407407409</v>
      </c>
      <c r="T163" s="211">
        <f t="shared" si="63"/>
        <v>8016.7407407407409</v>
      </c>
      <c r="U163" s="211">
        <f t="shared" si="63"/>
        <v>8337.4074074074069</v>
      </c>
      <c r="V163" s="211">
        <f t="shared" si="63"/>
        <v>8337.4074074074069</v>
      </c>
      <c r="W163" s="211">
        <f t="shared" si="63"/>
        <v>8337.4074074074069</v>
      </c>
      <c r="X163" s="211">
        <f t="shared" si="63"/>
        <v>8658.0740740740748</v>
      </c>
      <c r="Y163" s="211">
        <f t="shared" si="63"/>
        <v>8658.0740740740748</v>
      </c>
      <c r="Z163" s="211">
        <f t="shared" si="63"/>
        <v>8658.0740740740748</v>
      </c>
      <c r="AA163" s="211">
        <f t="shared" si="63"/>
        <v>8978.7407407407409</v>
      </c>
      <c r="AB163" s="211">
        <f t="shared" si="63"/>
        <v>8978.7407407407409</v>
      </c>
      <c r="AC163" s="211">
        <f t="shared" si="63"/>
        <v>8978.7407407407409</v>
      </c>
      <c r="AD163" s="211">
        <f t="shared" si="63"/>
        <v>9299.4074074074069</v>
      </c>
      <c r="AE163" s="211">
        <f t="shared" si="63"/>
        <v>9299.4074074074069</v>
      </c>
      <c r="AF163" s="211">
        <f t="shared" si="63"/>
        <v>9299.4074074074069</v>
      </c>
    </row>
    <row r="164" spans="1:32" x14ac:dyDescent="0.2">
      <c r="A164" s="134" t="s">
        <v>125</v>
      </c>
      <c r="B164" s="134"/>
      <c r="C164" s="246">
        <f>+C161+C162+C163</f>
        <v>106061.2</v>
      </c>
      <c r="D164" s="246">
        <f t="shared" ref="D164:AF164" si="64">+D161+D162+D163</f>
        <v>106061.2</v>
      </c>
      <c r="E164" s="246">
        <f t="shared" si="64"/>
        <v>127273.44</v>
      </c>
      <c r="F164" s="246">
        <f t="shared" si="64"/>
        <v>127273.44</v>
      </c>
      <c r="G164" s="246">
        <f t="shared" si="64"/>
        <v>127273.44</v>
      </c>
      <c r="H164" s="246">
        <f t="shared" si="64"/>
        <v>133334.08000000002</v>
      </c>
      <c r="I164" s="246">
        <f t="shared" si="64"/>
        <v>133334.08000000002</v>
      </c>
      <c r="J164" s="246">
        <f t="shared" si="64"/>
        <v>133334.08000000002</v>
      </c>
      <c r="K164" s="246">
        <f t="shared" si="64"/>
        <v>139394.72</v>
      </c>
      <c r="L164" s="246">
        <f t="shared" si="64"/>
        <v>139394.72</v>
      </c>
      <c r="M164" s="246">
        <f t="shared" si="64"/>
        <v>139394.72</v>
      </c>
      <c r="N164" s="246">
        <f t="shared" si="64"/>
        <v>139394.72</v>
      </c>
      <c r="O164" s="246">
        <f t="shared" si="64"/>
        <v>145455.35999999999</v>
      </c>
      <c r="P164" s="246">
        <f t="shared" si="64"/>
        <v>145455.35999999999</v>
      </c>
      <c r="Q164" s="246">
        <f t="shared" si="64"/>
        <v>145455.35999999999</v>
      </c>
      <c r="R164" s="246">
        <f t="shared" si="64"/>
        <v>151516</v>
      </c>
      <c r="S164" s="246">
        <f t="shared" si="64"/>
        <v>151516</v>
      </c>
      <c r="T164" s="246">
        <f t="shared" si="64"/>
        <v>151516</v>
      </c>
      <c r="U164" s="246">
        <f t="shared" si="64"/>
        <v>157576.64000000001</v>
      </c>
      <c r="V164" s="246">
        <f t="shared" si="64"/>
        <v>157576.64000000001</v>
      </c>
      <c r="W164" s="246">
        <f t="shared" si="64"/>
        <v>157576.64000000001</v>
      </c>
      <c r="X164" s="246">
        <f t="shared" si="64"/>
        <v>163637.28000000003</v>
      </c>
      <c r="Y164" s="246">
        <f t="shared" si="64"/>
        <v>163637.28000000003</v>
      </c>
      <c r="Z164" s="246">
        <f t="shared" si="64"/>
        <v>163637.28000000003</v>
      </c>
      <c r="AA164" s="246">
        <f t="shared" si="64"/>
        <v>169697.91999999998</v>
      </c>
      <c r="AB164" s="246">
        <f t="shared" si="64"/>
        <v>169697.91999999998</v>
      </c>
      <c r="AC164" s="246">
        <f t="shared" si="64"/>
        <v>169697.91999999998</v>
      </c>
      <c r="AD164" s="246">
        <f t="shared" si="64"/>
        <v>175758.56</v>
      </c>
      <c r="AE164" s="246">
        <f t="shared" si="64"/>
        <v>175758.56</v>
      </c>
      <c r="AF164" s="246">
        <f t="shared" si="64"/>
        <v>175758.56</v>
      </c>
    </row>
    <row r="165" spans="1:32" x14ac:dyDescent="0.2">
      <c r="A165" s="20" t="s">
        <v>236</v>
      </c>
      <c r="C165" s="248" t="str">
        <f>IF(C164=C151,"OK", "NO")</f>
        <v>OK</v>
      </c>
      <c r="D165" s="248" t="str">
        <f t="shared" ref="D165:AF165" si="65">IF(D164=D151,"OK", "NO")</f>
        <v>OK</v>
      </c>
      <c r="E165" s="248" t="str">
        <f t="shared" si="65"/>
        <v>OK</v>
      </c>
      <c r="F165" s="248" t="str">
        <f t="shared" si="65"/>
        <v>OK</v>
      </c>
      <c r="G165" s="248" t="str">
        <f t="shared" si="65"/>
        <v>OK</v>
      </c>
      <c r="H165" s="248" t="str">
        <f t="shared" si="65"/>
        <v>OK</v>
      </c>
      <c r="I165" s="248" t="str">
        <f t="shared" si="65"/>
        <v>OK</v>
      </c>
      <c r="J165" s="248" t="str">
        <f t="shared" si="65"/>
        <v>OK</v>
      </c>
      <c r="K165" s="248" t="str">
        <f t="shared" si="65"/>
        <v>OK</v>
      </c>
      <c r="L165" s="248" t="str">
        <f t="shared" si="65"/>
        <v>OK</v>
      </c>
      <c r="M165" s="248" t="str">
        <f t="shared" si="65"/>
        <v>OK</v>
      </c>
      <c r="N165" s="248" t="str">
        <f t="shared" si="65"/>
        <v>OK</v>
      </c>
      <c r="O165" s="248" t="str">
        <f t="shared" si="65"/>
        <v>OK</v>
      </c>
      <c r="P165" s="248" t="str">
        <f t="shared" si="65"/>
        <v>OK</v>
      </c>
      <c r="Q165" s="248" t="str">
        <f t="shared" si="65"/>
        <v>OK</v>
      </c>
      <c r="R165" s="248" t="str">
        <f t="shared" si="65"/>
        <v>OK</v>
      </c>
      <c r="S165" s="248" t="str">
        <f t="shared" si="65"/>
        <v>OK</v>
      </c>
      <c r="T165" s="248" t="str">
        <f t="shared" si="65"/>
        <v>OK</v>
      </c>
      <c r="U165" s="248" t="str">
        <f t="shared" si="65"/>
        <v>OK</v>
      </c>
      <c r="V165" s="248" t="str">
        <f t="shared" si="65"/>
        <v>OK</v>
      </c>
      <c r="W165" s="248" t="str">
        <f t="shared" si="65"/>
        <v>OK</v>
      </c>
      <c r="X165" s="248" t="str">
        <f t="shared" si="65"/>
        <v>OK</v>
      </c>
      <c r="Y165" s="248" t="str">
        <f t="shared" si="65"/>
        <v>OK</v>
      </c>
      <c r="Z165" s="248" t="str">
        <f t="shared" si="65"/>
        <v>OK</v>
      </c>
      <c r="AA165" s="248" t="str">
        <f t="shared" si="65"/>
        <v>OK</v>
      </c>
      <c r="AB165" s="248" t="str">
        <f t="shared" si="65"/>
        <v>OK</v>
      </c>
      <c r="AC165" s="248" t="str">
        <f t="shared" si="65"/>
        <v>OK</v>
      </c>
      <c r="AD165" s="248" t="str">
        <f t="shared" si="65"/>
        <v>OK</v>
      </c>
      <c r="AE165" s="248" t="str">
        <f t="shared" si="65"/>
        <v>OK</v>
      </c>
      <c r="AF165" s="248" t="str">
        <f t="shared" si="65"/>
        <v>OK</v>
      </c>
    </row>
    <row r="166" spans="1:32" x14ac:dyDescent="0.2">
      <c r="C166" s="241"/>
    </row>
    <row r="168" spans="1:32" ht="15.75" x14ac:dyDescent="0.2">
      <c r="A168" s="401" t="s">
        <v>319</v>
      </c>
      <c r="B168" s="4"/>
      <c r="C168" s="402" t="s">
        <v>62</v>
      </c>
      <c r="D168" s="402" t="s">
        <v>63</v>
      </c>
      <c r="E168" s="402" t="s">
        <v>64</v>
      </c>
      <c r="F168" s="402" t="s">
        <v>69</v>
      </c>
      <c r="G168" s="402" t="s">
        <v>70</v>
      </c>
      <c r="H168" s="402" t="s">
        <v>71</v>
      </c>
      <c r="I168" s="402" t="s">
        <v>72</v>
      </c>
      <c r="J168" s="402" t="s">
        <v>73</v>
      </c>
      <c r="K168" s="402" t="s">
        <v>74</v>
      </c>
      <c r="L168" s="402" t="s">
        <v>75</v>
      </c>
      <c r="M168" s="402" t="s">
        <v>76</v>
      </c>
      <c r="N168" s="402" t="s">
        <v>77</v>
      </c>
      <c r="O168" s="402" t="s">
        <v>78</v>
      </c>
      <c r="P168" s="402" t="s">
        <v>79</v>
      </c>
      <c r="Q168" s="402" t="s">
        <v>80</v>
      </c>
      <c r="R168" s="402" t="s">
        <v>81</v>
      </c>
      <c r="S168" s="402" t="s">
        <v>82</v>
      </c>
      <c r="T168" s="402" t="s">
        <v>83</v>
      </c>
      <c r="U168" s="402" t="s">
        <v>84</v>
      </c>
      <c r="V168" s="402" t="s">
        <v>86</v>
      </c>
      <c r="W168" s="402" t="s">
        <v>87</v>
      </c>
      <c r="X168" s="402" t="s">
        <v>88</v>
      </c>
      <c r="Y168" s="402" t="s">
        <v>89</v>
      </c>
      <c r="Z168" s="402" t="s">
        <v>107</v>
      </c>
      <c r="AA168" s="402" t="s">
        <v>108</v>
      </c>
      <c r="AB168" s="402" t="s">
        <v>109</v>
      </c>
      <c r="AC168" s="402" t="s">
        <v>110</v>
      </c>
      <c r="AD168" s="402" t="s">
        <v>111</v>
      </c>
      <c r="AE168" s="402" t="s">
        <v>112</v>
      </c>
      <c r="AF168" s="402" t="s">
        <v>113</v>
      </c>
    </row>
    <row r="169" spans="1:32" x14ac:dyDescent="0.2">
      <c r="A169" s="95" t="s">
        <v>156</v>
      </c>
      <c r="B169" s="4"/>
      <c r="C169" s="211">
        <f t="shared" ref="C169:AF169" si="66">+C100</f>
        <v>244380</v>
      </c>
      <c r="D169" s="211">
        <f t="shared" si="66"/>
        <v>266975</v>
      </c>
      <c r="E169" s="211">
        <f t="shared" si="66"/>
        <v>290706.59999999998</v>
      </c>
      <c r="F169" s="211">
        <f t="shared" si="66"/>
        <v>315675.83199999999</v>
      </c>
      <c r="G169" s="211">
        <f t="shared" si="66"/>
        <v>338621.72863999999</v>
      </c>
      <c r="H169" s="211">
        <f t="shared" si="66"/>
        <v>345775.32321280002</v>
      </c>
      <c r="I169" s="211">
        <f t="shared" si="66"/>
        <v>353040.649677056</v>
      </c>
      <c r="J169" s="211">
        <f t="shared" si="66"/>
        <v>360724.7426705971</v>
      </c>
      <c r="K169" s="211">
        <f t="shared" si="66"/>
        <v>368328.63752400904</v>
      </c>
      <c r="L169" s="211">
        <f t="shared" si="66"/>
        <v>372448.37027448922</v>
      </c>
      <c r="M169" s="211">
        <f t="shared" si="66"/>
        <v>376661.97767997906</v>
      </c>
      <c r="N169" s="211">
        <f t="shared" si="66"/>
        <v>337915.49723357859</v>
      </c>
      <c r="O169" s="211">
        <f t="shared" si="66"/>
        <v>348966.9671782502</v>
      </c>
      <c r="P169" s="211">
        <f t="shared" si="66"/>
        <v>352531.42652181518</v>
      </c>
      <c r="Q169" s="211">
        <f t="shared" si="66"/>
        <v>356097.91505225148</v>
      </c>
      <c r="R169" s="211">
        <f t="shared" si="66"/>
        <v>359681.47335329652</v>
      </c>
      <c r="S169" s="211">
        <f t="shared" si="66"/>
        <v>363353.14282036247</v>
      </c>
      <c r="T169" s="211">
        <f t="shared" si="66"/>
        <v>367027.96567676967</v>
      </c>
      <c r="U169" s="211">
        <f t="shared" si="66"/>
        <v>370790.98499030509</v>
      </c>
      <c r="V169" s="211">
        <f t="shared" si="66"/>
        <v>374556.2446901112</v>
      </c>
      <c r="W169" s="211">
        <f t="shared" si="66"/>
        <v>378322.7895839134</v>
      </c>
      <c r="X169" s="211">
        <f t="shared" si="66"/>
        <v>382178.66537559166</v>
      </c>
      <c r="Y169" s="211">
        <f t="shared" si="66"/>
        <v>386036.91868310352</v>
      </c>
      <c r="Z169" s="211">
        <f t="shared" si="66"/>
        <v>389999.59705676557</v>
      </c>
      <c r="AA169" s="211">
        <f t="shared" si="66"/>
        <v>393963.74899790093</v>
      </c>
      <c r="AB169" s="211">
        <f t="shared" si="66"/>
        <v>397931.42397785891</v>
      </c>
      <c r="AC169" s="211">
        <f t="shared" si="66"/>
        <v>401987.67245741608</v>
      </c>
      <c r="AD169" s="211">
        <f t="shared" si="66"/>
        <v>406045.5459065644</v>
      </c>
      <c r="AE169" s="211">
        <f t="shared" si="66"/>
        <v>410194.09682469571</v>
      </c>
      <c r="AF169" s="211">
        <f t="shared" si="66"/>
        <v>414344.37876118964</v>
      </c>
    </row>
    <row r="170" spans="1:32" x14ac:dyDescent="0.2">
      <c r="A170" s="95" t="s">
        <v>287</v>
      </c>
      <c r="B170" s="4"/>
      <c r="C170" s="211">
        <f t="shared" ref="C170:AF170" si="67">+C109</f>
        <v>72562</v>
      </c>
      <c r="D170" s="211">
        <f t="shared" si="67"/>
        <v>79388</v>
      </c>
      <c r="E170" s="211">
        <f t="shared" si="67"/>
        <v>86563</v>
      </c>
      <c r="F170" s="211">
        <f t="shared" si="67"/>
        <v>94091</v>
      </c>
      <c r="G170" s="211">
        <f t="shared" si="67"/>
        <v>101020</v>
      </c>
      <c r="H170" s="211">
        <f t="shared" si="67"/>
        <v>103085</v>
      </c>
      <c r="I170" s="211">
        <f t="shared" si="67"/>
        <v>105180</v>
      </c>
      <c r="J170" s="211">
        <f t="shared" si="67"/>
        <v>107361</v>
      </c>
      <c r="K170" s="211">
        <f t="shared" si="67"/>
        <v>109551</v>
      </c>
      <c r="L170" s="211">
        <f t="shared" si="67"/>
        <v>110686</v>
      </c>
      <c r="M170" s="211">
        <f t="shared" si="67"/>
        <v>111851</v>
      </c>
      <c r="N170" s="211">
        <f t="shared" si="67"/>
        <v>99695</v>
      </c>
      <c r="O170" s="211">
        <f t="shared" si="67"/>
        <v>102974</v>
      </c>
      <c r="P170" s="211">
        <f t="shared" si="67"/>
        <v>104012</v>
      </c>
      <c r="Q170" s="211">
        <f t="shared" si="67"/>
        <v>105051</v>
      </c>
      <c r="R170" s="211">
        <f t="shared" si="67"/>
        <v>106090</v>
      </c>
      <c r="S170" s="211">
        <f t="shared" si="67"/>
        <v>107157</v>
      </c>
      <c r="T170" s="211">
        <f t="shared" si="67"/>
        <v>108224</v>
      </c>
      <c r="U170" s="211">
        <f t="shared" si="67"/>
        <v>109318</v>
      </c>
      <c r="V170" s="211">
        <f t="shared" si="67"/>
        <v>110413</v>
      </c>
      <c r="W170" s="211">
        <f t="shared" si="67"/>
        <v>111506</v>
      </c>
      <c r="X170" s="211">
        <f t="shared" si="67"/>
        <v>112627</v>
      </c>
      <c r="Y170" s="211">
        <f t="shared" si="67"/>
        <v>113747</v>
      </c>
      <c r="Z170" s="211">
        <f t="shared" si="67"/>
        <v>114897</v>
      </c>
      <c r="AA170" s="211">
        <f t="shared" si="67"/>
        <v>116046</v>
      </c>
      <c r="AB170" s="211">
        <f t="shared" si="67"/>
        <v>117195</v>
      </c>
      <c r="AC170" s="211">
        <f t="shared" si="67"/>
        <v>118372</v>
      </c>
      <c r="AD170" s="211">
        <f t="shared" si="67"/>
        <v>119547</v>
      </c>
      <c r="AE170" s="211">
        <f t="shared" si="67"/>
        <v>120751</v>
      </c>
      <c r="AF170" s="211">
        <f t="shared" si="67"/>
        <v>121953</v>
      </c>
    </row>
    <row r="171" spans="1:32" x14ac:dyDescent="0.2">
      <c r="A171" s="95" t="s">
        <v>288</v>
      </c>
      <c r="B171" s="4"/>
      <c r="C171" s="211">
        <f t="shared" ref="C171:AF171" si="68">+C115+C117+C120+C125</f>
        <v>156821.20000000001</v>
      </c>
      <c r="D171" s="211">
        <f t="shared" si="68"/>
        <v>161187.73581760708</v>
      </c>
      <c r="E171" s="211">
        <f t="shared" si="68"/>
        <v>187878.18842609454</v>
      </c>
      <c r="F171" s="211">
        <f t="shared" si="68"/>
        <v>192202.4616650063</v>
      </c>
      <c r="G171" s="211">
        <f t="shared" si="68"/>
        <v>195183.14856586375</v>
      </c>
      <c r="H171" s="211">
        <f t="shared" si="68"/>
        <v>201958.20981176401</v>
      </c>
      <c r="I171" s="211">
        <f t="shared" si="68"/>
        <v>200674.65211995933</v>
      </c>
      <c r="J171" s="211">
        <f t="shared" si="68"/>
        <v>198423.36654356433</v>
      </c>
      <c r="K171" s="211">
        <f t="shared" si="68"/>
        <v>203614.20668834963</v>
      </c>
      <c r="L171" s="211">
        <f t="shared" si="68"/>
        <v>203224.0668403742</v>
      </c>
      <c r="M171" s="211">
        <f t="shared" si="68"/>
        <v>193427.72</v>
      </c>
      <c r="N171" s="211">
        <f t="shared" si="68"/>
        <v>193103.72</v>
      </c>
      <c r="O171" s="211">
        <f t="shared" si="68"/>
        <v>200471.36</v>
      </c>
      <c r="P171" s="211">
        <f t="shared" si="68"/>
        <v>200993.36</v>
      </c>
      <c r="Q171" s="211">
        <f t="shared" si="68"/>
        <v>201516.36</v>
      </c>
      <c r="R171" s="211">
        <f t="shared" si="68"/>
        <v>204504</v>
      </c>
      <c r="S171" s="211">
        <f t="shared" si="68"/>
        <v>205042</v>
      </c>
      <c r="T171" s="211">
        <f t="shared" si="68"/>
        <v>205582</v>
      </c>
      <c r="U171" s="211">
        <f t="shared" si="68"/>
        <v>212192.64000000001</v>
      </c>
      <c r="V171" s="211">
        <f t="shared" si="68"/>
        <v>212744.64</v>
      </c>
      <c r="W171" s="211">
        <f t="shared" si="68"/>
        <v>232300.64</v>
      </c>
      <c r="X171" s="211">
        <f t="shared" si="68"/>
        <v>238766.28000000003</v>
      </c>
      <c r="Y171" s="211">
        <f t="shared" si="68"/>
        <v>239171.28000000003</v>
      </c>
      <c r="Z171" s="211">
        <f t="shared" si="68"/>
        <v>239587.28000000003</v>
      </c>
      <c r="AA171" s="211">
        <f t="shared" si="68"/>
        <v>246063.91999999998</v>
      </c>
      <c r="AB171" s="211">
        <f t="shared" si="68"/>
        <v>246480.91999999998</v>
      </c>
      <c r="AC171" s="211">
        <f t="shared" si="68"/>
        <v>246906.91999999998</v>
      </c>
      <c r="AD171" s="211">
        <f t="shared" si="68"/>
        <v>253393.56</v>
      </c>
      <c r="AE171" s="211">
        <f t="shared" si="68"/>
        <v>253828.56</v>
      </c>
      <c r="AF171" s="211">
        <f t="shared" si="68"/>
        <v>254264.56</v>
      </c>
    </row>
    <row r="172" spans="1:32" x14ac:dyDescent="0.2">
      <c r="A172" s="95" t="s">
        <v>289</v>
      </c>
      <c r="B172" s="4"/>
      <c r="C172" s="211">
        <f>+C169-C170-C171</f>
        <v>14996.799999999988</v>
      </c>
      <c r="D172" s="211">
        <f t="shared" ref="D172:AF172" si="69">+D169-D170-D171</f>
        <v>26399.264182392915</v>
      </c>
      <c r="E172" s="211">
        <f t="shared" si="69"/>
        <v>16265.41157390544</v>
      </c>
      <c r="F172" s="211">
        <f t="shared" si="69"/>
        <v>29382.370334993699</v>
      </c>
      <c r="G172" s="211">
        <f t="shared" si="69"/>
        <v>42418.580074136233</v>
      </c>
      <c r="H172" s="211">
        <f t="shared" si="69"/>
        <v>40732.113401036011</v>
      </c>
      <c r="I172" s="211">
        <f t="shared" si="69"/>
        <v>47185.997557096678</v>
      </c>
      <c r="J172" s="211">
        <f t="shared" si="69"/>
        <v>54940.376127032767</v>
      </c>
      <c r="K172" s="211">
        <f t="shared" si="69"/>
        <v>55163.430835659412</v>
      </c>
      <c r="L172" s="211">
        <f t="shared" si="69"/>
        <v>58538.30343411502</v>
      </c>
      <c r="M172" s="211">
        <f t="shared" si="69"/>
        <v>71383.257679979055</v>
      </c>
      <c r="N172" s="211">
        <f t="shared" si="69"/>
        <v>45116.777233578585</v>
      </c>
      <c r="O172" s="211">
        <f t="shared" si="69"/>
        <v>45521.607178250211</v>
      </c>
      <c r="P172" s="211">
        <f t="shared" si="69"/>
        <v>47526.066521815199</v>
      </c>
      <c r="Q172" s="211">
        <f t="shared" si="69"/>
        <v>49530.555052251497</v>
      </c>
      <c r="R172" s="211">
        <f t="shared" si="69"/>
        <v>49087.473353296518</v>
      </c>
      <c r="S172" s="211">
        <f t="shared" si="69"/>
        <v>51154.142820362467</v>
      </c>
      <c r="T172" s="211">
        <f t="shared" si="69"/>
        <v>53221.965676769672</v>
      </c>
      <c r="U172" s="211">
        <f t="shared" si="69"/>
        <v>49280.344990305079</v>
      </c>
      <c r="V172" s="211">
        <f t="shared" si="69"/>
        <v>51398.604690111184</v>
      </c>
      <c r="W172" s="211">
        <f t="shared" si="69"/>
        <v>34516.149583913386</v>
      </c>
      <c r="X172" s="211">
        <f t="shared" si="69"/>
        <v>30785.385375591635</v>
      </c>
      <c r="Y172" s="211">
        <f t="shared" si="69"/>
        <v>33118.638683103491</v>
      </c>
      <c r="Z172" s="211">
        <f t="shared" si="69"/>
        <v>35515.317056765547</v>
      </c>
      <c r="AA172" s="211">
        <f t="shared" si="69"/>
        <v>31853.828997900942</v>
      </c>
      <c r="AB172" s="211">
        <f t="shared" si="69"/>
        <v>34255.503977858927</v>
      </c>
      <c r="AC172" s="211">
        <f t="shared" si="69"/>
        <v>36708.752457416093</v>
      </c>
      <c r="AD172" s="211">
        <f t="shared" si="69"/>
        <v>33104.985906564398</v>
      </c>
      <c r="AE172" s="211">
        <f t="shared" si="69"/>
        <v>35614.536824695708</v>
      </c>
      <c r="AF172" s="211">
        <f t="shared" si="69"/>
        <v>38126.818761189643</v>
      </c>
    </row>
    <row r="173" spans="1:32" x14ac:dyDescent="0.2">
      <c r="A173" s="95" t="s">
        <v>290</v>
      </c>
      <c r="B173" s="4"/>
      <c r="C173" s="360">
        <f>+C170/C169</f>
        <v>0.2969228251084377</v>
      </c>
      <c r="D173" s="360">
        <f t="shared" ref="D173:AF173" si="70">+D170/D169</f>
        <v>0.297361176140088</v>
      </c>
      <c r="E173" s="360">
        <f t="shared" si="70"/>
        <v>0.29776757734430526</v>
      </c>
      <c r="F173" s="360">
        <f t="shared" si="70"/>
        <v>0.298062095548702</v>
      </c>
      <c r="G173" s="360">
        <f t="shared" si="70"/>
        <v>0.29832698688806741</v>
      </c>
      <c r="H173" s="360">
        <f t="shared" si="70"/>
        <v>0.29812711630829292</v>
      </c>
      <c r="I173" s="360">
        <f t="shared" si="70"/>
        <v>0.29792603230311698</v>
      </c>
      <c r="J173" s="360">
        <f t="shared" si="70"/>
        <v>0.29762582739725957</v>
      </c>
      <c r="K173" s="360">
        <f t="shared" si="70"/>
        <v>0.2974273212542673</v>
      </c>
      <c r="L173" s="360">
        <f t="shared" si="70"/>
        <v>0.29718481495415316</v>
      </c>
      <c r="M173" s="360">
        <f t="shared" si="70"/>
        <v>0.29695325418545765</v>
      </c>
      <c r="N173" s="360">
        <f t="shared" si="70"/>
        <v>0.2950293810617613</v>
      </c>
      <c r="O173" s="360">
        <f t="shared" si="70"/>
        <v>0.29508237078325383</v>
      </c>
      <c r="P173" s="360">
        <f t="shared" si="70"/>
        <v>0.29504319948497865</v>
      </c>
      <c r="Q173" s="360">
        <f t="shared" si="70"/>
        <v>0.29500593954498583</v>
      </c>
      <c r="R173" s="360">
        <f t="shared" si="70"/>
        <v>0.2949554198911804</v>
      </c>
      <c r="S173" s="360">
        <f t="shared" si="70"/>
        <v>0.29491144391443219</v>
      </c>
      <c r="T173" s="360">
        <f t="shared" si="70"/>
        <v>0.29486581438132042</v>
      </c>
      <c r="U173" s="360">
        <f t="shared" si="70"/>
        <v>0.29482378058047526</v>
      </c>
      <c r="V173" s="360">
        <f t="shared" si="70"/>
        <v>0.29478349797998993</v>
      </c>
      <c r="W173" s="360">
        <f t="shared" si="70"/>
        <v>0.29473772944695303</v>
      </c>
      <c r="X173" s="360">
        <f t="shared" si="70"/>
        <v>0.29469724556527555</v>
      </c>
      <c r="Y173" s="360">
        <f t="shared" si="70"/>
        <v>0.29465316526726953</v>
      </c>
      <c r="Z173" s="360">
        <f t="shared" si="70"/>
        <v>0.29460799669307453</v>
      </c>
      <c r="AA173" s="360">
        <f t="shared" si="70"/>
        <v>0.29456009669716671</v>
      </c>
      <c r="AB173" s="360">
        <f t="shared" si="70"/>
        <v>0.29451054362201057</v>
      </c>
      <c r="AC173" s="360">
        <f t="shared" si="70"/>
        <v>0.29446674142113038</v>
      </c>
      <c r="AD173" s="360">
        <f t="shared" si="70"/>
        <v>0.29441771053809096</v>
      </c>
      <c r="AE173" s="360">
        <f t="shared" si="70"/>
        <v>0.29437527486312232</v>
      </c>
      <c r="AF173" s="360">
        <f t="shared" si="70"/>
        <v>0.29432763240234155</v>
      </c>
    </row>
    <row r="174" spans="1:32" x14ac:dyDescent="0.2">
      <c r="A174" s="188" t="s">
        <v>291</v>
      </c>
      <c r="B174" s="188"/>
      <c r="C174" s="213">
        <f>ROUND(C171/(1-C173),0)</f>
        <v>223050</v>
      </c>
      <c r="D174" s="213">
        <f t="shared" ref="D174:AF174" si="71">ROUND(D171/(1-D173),0)</f>
        <v>229403</v>
      </c>
      <c r="E174" s="213">
        <f t="shared" si="71"/>
        <v>267544</v>
      </c>
      <c r="F174" s="213">
        <f t="shared" si="71"/>
        <v>273817</v>
      </c>
      <c r="G174" s="213">
        <f t="shared" si="71"/>
        <v>278168</v>
      </c>
      <c r="H174" s="213">
        <f t="shared" si="71"/>
        <v>287742</v>
      </c>
      <c r="I174" s="213">
        <f t="shared" si="71"/>
        <v>285831</v>
      </c>
      <c r="J174" s="213">
        <f t="shared" si="71"/>
        <v>282504</v>
      </c>
      <c r="K174" s="213">
        <f t="shared" si="71"/>
        <v>289812</v>
      </c>
      <c r="L174" s="213">
        <f t="shared" si="71"/>
        <v>289157</v>
      </c>
      <c r="M174" s="213">
        <f t="shared" si="71"/>
        <v>275128</v>
      </c>
      <c r="N174" s="213">
        <f t="shared" si="71"/>
        <v>273917</v>
      </c>
      <c r="O174" s="213">
        <f t="shared" si="71"/>
        <v>284390</v>
      </c>
      <c r="P174" s="213">
        <f t="shared" si="71"/>
        <v>285114</v>
      </c>
      <c r="Q174" s="213">
        <f t="shared" si="71"/>
        <v>285841</v>
      </c>
      <c r="R174" s="213">
        <f t="shared" si="71"/>
        <v>290058</v>
      </c>
      <c r="S174" s="213">
        <f t="shared" si="71"/>
        <v>290803</v>
      </c>
      <c r="T174" s="213">
        <f t="shared" si="71"/>
        <v>291550</v>
      </c>
      <c r="U174" s="213">
        <f t="shared" si="71"/>
        <v>300907</v>
      </c>
      <c r="V174" s="213">
        <f t="shared" si="71"/>
        <v>301673</v>
      </c>
      <c r="W174" s="213">
        <f t="shared" si="71"/>
        <v>329382</v>
      </c>
      <c r="X174" s="213">
        <f t="shared" si="71"/>
        <v>338530</v>
      </c>
      <c r="Y174" s="213">
        <f t="shared" si="71"/>
        <v>339083</v>
      </c>
      <c r="Z174" s="213">
        <f t="shared" si="71"/>
        <v>339651</v>
      </c>
      <c r="AA174" s="213">
        <f t="shared" si="71"/>
        <v>348809</v>
      </c>
      <c r="AB174" s="213">
        <f t="shared" si="71"/>
        <v>349376</v>
      </c>
      <c r="AC174" s="213">
        <f t="shared" si="71"/>
        <v>349958</v>
      </c>
      <c r="AD174" s="213">
        <f t="shared" si="71"/>
        <v>359127</v>
      </c>
      <c r="AE174" s="213">
        <f t="shared" si="71"/>
        <v>359722</v>
      </c>
      <c r="AF174" s="213">
        <f t="shared" si="71"/>
        <v>360315</v>
      </c>
    </row>
    <row r="175" spans="1:32" x14ac:dyDescent="0.2">
      <c r="A175" s="9" t="s">
        <v>292</v>
      </c>
      <c r="B175" s="9"/>
      <c r="C175" s="383">
        <f>ROUND((C169-C174)/C169,4)</f>
        <v>8.7300000000000003E-2</v>
      </c>
      <c r="D175" s="383">
        <f t="shared" ref="D175:AF175" si="72">ROUND((D169-D174)/D169,4)</f>
        <v>0.14069999999999999</v>
      </c>
      <c r="E175" s="383">
        <f t="shared" si="72"/>
        <v>7.9699999999999993E-2</v>
      </c>
      <c r="F175" s="383">
        <f t="shared" si="72"/>
        <v>0.1326</v>
      </c>
      <c r="G175" s="383">
        <f t="shared" si="72"/>
        <v>0.17849999999999999</v>
      </c>
      <c r="H175" s="383">
        <f t="shared" si="72"/>
        <v>0.1678</v>
      </c>
      <c r="I175" s="383">
        <f t="shared" si="72"/>
        <v>0.19040000000000001</v>
      </c>
      <c r="J175" s="383">
        <f t="shared" si="72"/>
        <v>0.21679999999999999</v>
      </c>
      <c r="K175" s="383">
        <f t="shared" si="72"/>
        <v>0.2132</v>
      </c>
      <c r="L175" s="383">
        <f t="shared" si="72"/>
        <v>0.22359999999999999</v>
      </c>
      <c r="M175" s="383">
        <f t="shared" si="72"/>
        <v>0.26960000000000001</v>
      </c>
      <c r="N175" s="383">
        <f t="shared" si="72"/>
        <v>0.18940000000000001</v>
      </c>
      <c r="O175" s="383">
        <f t="shared" si="72"/>
        <v>0.18509999999999999</v>
      </c>
      <c r="P175" s="383">
        <f t="shared" si="72"/>
        <v>0.19120000000000001</v>
      </c>
      <c r="Q175" s="383">
        <f t="shared" si="72"/>
        <v>0.1973</v>
      </c>
      <c r="R175" s="383">
        <f t="shared" si="72"/>
        <v>0.19359999999999999</v>
      </c>
      <c r="S175" s="383">
        <f t="shared" si="72"/>
        <v>0.19969999999999999</v>
      </c>
      <c r="T175" s="383">
        <f t="shared" si="72"/>
        <v>0.2056</v>
      </c>
      <c r="U175" s="383">
        <f t="shared" si="72"/>
        <v>0.1885</v>
      </c>
      <c r="V175" s="383">
        <f t="shared" si="72"/>
        <v>0.1946</v>
      </c>
      <c r="W175" s="383">
        <f t="shared" si="72"/>
        <v>0.12939999999999999</v>
      </c>
      <c r="X175" s="383">
        <f t="shared" si="72"/>
        <v>0.1142</v>
      </c>
      <c r="Y175" s="383">
        <f t="shared" si="72"/>
        <v>0.1216</v>
      </c>
      <c r="Z175" s="383">
        <f t="shared" si="72"/>
        <v>0.12909999999999999</v>
      </c>
      <c r="AA175" s="383">
        <f t="shared" si="72"/>
        <v>0.11459999999999999</v>
      </c>
      <c r="AB175" s="383">
        <f t="shared" si="72"/>
        <v>0.122</v>
      </c>
      <c r="AC175" s="383">
        <f t="shared" si="72"/>
        <v>0.12939999999999999</v>
      </c>
      <c r="AD175" s="383">
        <f t="shared" si="72"/>
        <v>0.11550000000000001</v>
      </c>
      <c r="AE175" s="383">
        <f t="shared" si="72"/>
        <v>0.123</v>
      </c>
      <c r="AF175" s="383">
        <f t="shared" si="72"/>
        <v>0.13039999999999999</v>
      </c>
    </row>
    <row r="178" spans="1:4" x14ac:dyDescent="0.2">
      <c r="A178" s="9" t="s">
        <v>318</v>
      </c>
      <c r="B178" s="199" t="s">
        <v>324</v>
      </c>
      <c r="C178" s="4"/>
    </row>
    <row r="179" spans="1:4" x14ac:dyDescent="0.2">
      <c r="A179" s="4" t="s">
        <v>308</v>
      </c>
      <c r="B179" s="128">
        <v>1594.15</v>
      </c>
      <c r="C179" s="4"/>
    </row>
    <row r="180" spans="1:4" x14ac:dyDescent="0.2">
      <c r="A180" s="4" t="s">
        <v>122</v>
      </c>
      <c r="B180" s="4">
        <v>13.5</v>
      </c>
      <c r="C180" s="4"/>
    </row>
    <row r="181" spans="1:4" x14ac:dyDescent="0.2">
      <c r="A181" s="4" t="s">
        <v>309</v>
      </c>
      <c r="B181" s="128">
        <v>21521.03</v>
      </c>
      <c r="C181" s="4"/>
      <c r="D181" s="80"/>
    </row>
    <row r="182" spans="1:4" x14ac:dyDescent="0.2">
      <c r="A182" s="4" t="s">
        <v>124</v>
      </c>
      <c r="B182" s="128">
        <v>7101.94</v>
      </c>
      <c r="C182" s="126">
        <v>0.33</v>
      </c>
    </row>
    <row r="183" spans="1:4" x14ac:dyDescent="0.2">
      <c r="A183" s="4" t="s">
        <v>310</v>
      </c>
      <c r="B183" s="4">
        <v>86.08</v>
      </c>
      <c r="C183" s="187">
        <v>4.0000000000000001E-3</v>
      </c>
    </row>
    <row r="184" spans="1:4" x14ac:dyDescent="0.2">
      <c r="A184" s="4" t="s">
        <v>243</v>
      </c>
      <c r="B184" s="4"/>
      <c r="C184" s="4"/>
    </row>
    <row r="185" spans="1:4" x14ac:dyDescent="0.2">
      <c r="A185" s="4" t="s">
        <v>311</v>
      </c>
      <c r="B185" s="128">
        <v>1594.15</v>
      </c>
      <c r="C185" s="4">
        <v>13.5</v>
      </c>
      <c r="D185" s="80"/>
    </row>
    <row r="186" spans="1:4" x14ac:dyDescent="0.2">
      <c r="A186" s="4" t="s">
        <v>312</v>
      </c>
      <c r="B186" s="4">
        <v>10000</v>
      </c>
      <c r="C186" s="4"/>
    </row>
    <row r="187" spans="1:4" x14ac:dyDescent="0.2">
      <c r="A187" s="4" t="s">
        <v>313</v>
      </c>
      <c r="B187" s="4">
        <v>450</v>
      </c>
      <c r="C187" s="126">
        <v>0.04</v>
      </c>
    </row>
    <row r="188" spans="1:4" x14ac:dyDescent="0.2">
      <c r="A188" s="4" t="s">
        <v>314</v>
      </c>
      <c r="B188" s="128">
        <v>2044.15</v>
      </c>
      <c r="C188" s="4"/>
    </row>
    <row r="189" spans="1:4" x14ac:dyDescent="0.2">
      <c r="A189" s="4" t="s">
        <v>315</v>
      </c>
      <c r="B189" s="128">
        <v>30303.200000000001</v>
      </c>
      <c r="C189" s="4"/>
    </row>
    <row r="190" spans="1:4" x14ac:dyDescent="0.2">
      <c r="A190" s="110" t="s">
        <v>316</v>
      </c>
      <c r="B190" s="338">
        <v>2525.27</v>
      </c>
      <c r="C190" s="110">
        <v>12</v>
      </c>
    </row>
  </sheetData>
  <mergeCells count="7">
    <mergeCell ref="A42:A44"/>
    <mergeCell ref="A30:A34"/>
    <mergeCell ref="A1:E1"/>
    <mergeCell ref="A5:A7"/>
    <mergeCell ref="A9:A15"/>
    <mergeCell ref="C13:D13"/>
    <mergeCell ref="C31:C32"/>
  </mergeCells>
  <phoneticPr fontId="2" type="noConversion"/>
  <printOptions horizontalCentered="1"/>
  <pageMargins left="0.39370078740157483" right="0.39370078740157483" top="0.39370078740157483" bottom="0.39370078740157483" header="0.51181102362204722" footer="0.51181102362204722"/>
  <pageSetup paperSize="9" scale="97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H107"/>
  <sheetViews>
    <sheetView tabSelected="1" zoomScale="110" zoomScaleNormal="110" workbookViewId="0">
      <pane ySplit="1" topLeftCell="A2" activePane="bottomLeft" state="frozen"/>
      <selection activeCell="C37" sqref="C37"/>
      <selection pane="bottomLeft" activeCell="E92" sqref="E92"/>
    </sheetView>
  </sheetViews>
  <sheetFormatPr defaultRowHeight="12.75" x14ac:dyDescent="0.2"/>
  <cols>
    <col min="1" max="1" width="45.28515625" style="1" customWidth="1"/>
    <col min="2" max="2" width="4.5703125" style="1" customWidth="1"/>
    <col min="3" max="3" width="15" style="1" customWidth="1"/>
    <col min="4" max="4" width="12.42578125" style="1" customWidth="1"/>
    <col min="5" max="5" width="12.5703125" style="1" customWidth="1"/>
    <col min="6" max="6" width="12.85546875" style="6" customWidth="1"/>
    <col min="7" max="7" width="12.140625" style="1" customWidth="1"/>
    <col min="8" max="8" width="11.7109375" style="1" customWidth="1"/>
    <col min="9" max="9" width="11.85546875" style="1" customWidth="1"/>
    <col min="10" max="11" width="13" style="1" customWidth="1"/>
    <col min="12" max="12" width="13.42578125" style="1" customWidth="1"/>
    <col min="13" max="13" width="12.5703125" style="1" customWidth="1"/>
    <col min="14" max="14" width="12.28515625" style="1" customWidth="1"/>
    <col min="15" max="15" width="14.140625" style="1" customWidth="1"/>
    <col min="16" max="19" width="13" style="1" bestFit="1" customWidth="1"/>
    <col min="20" max="20" width="12" style="1" customWidth="1"/>
    <col min="21" max="21" width="13" style="1" bestFit="1" customWidth="1"/>
    <col min="22" max="22" width="12.42578125" style="1" customWidth="1"/>
    <col min="23" max="23" width="12.140625" style="1" customWidth="1"/>
    <col min="24" max="33" width="13" style="1" hidden="1" customWidth="1"/>
    <col min="34" max="34" width="10.85546875" style="1" bestFit="1" customWidth="1"/>
    <col min="35" max="16384" width="9.140625" style="1"/>
  </cols>
  <sheetData>
    <row r="1" spans="1:33" ht="20.25" customHeight="1" x14ac:dyDescent="0.2">
      <c r="A1" s="603" t="s">
        <v>331</v>
      </c>
      <c r="B1" s="603"/>
      <c r="C1" s="603"/>
      <c r="D1" s="603"/>
      <c r="E1" s="603"/>
      <c r="F1" s="603"/>
      <c r="G1" s="603"/>
      <c r="H1" s="603"/>
      <c r="I1" s="603"/>
      <c r="J1" s="603"/>
      <c r="K1" s="603"/>
      <c r="L1" s="603"/>
      <c r="M1" s="603"/>
      <c r="N1" s="603"/>
      <c r="O1" s="603"/>
      <c r="P1" s="603"/>
      <c r="Q1" s="603"/>
      <c r="R1" s="603"/>
      <c r="S1" s="603"/>
      <c r="T1" s="603"/>
      <c r="U1" s="603"/>
      <c r="V1" s="603"/>
      <c r="W1" s="603"/>
    </row>
    <row r="2" spans="1:33" ht="4.5" customHeight="1" thickBot="1" x14ac:dyDescent="0.25"/>
    <row r="3" spans="1:33" ht="15.75" customHeight="1" thickBot="1" x14ac:dyDescent="0.25">
      <c r="A3" s="612" t="s">
        <v>281</v>
      </c>
      <c r="B3" s="613"/>
      <c r="C3" s="613"/>
      <c r="D3" s="613"/>
      <c r="E3" s="613"/>
      <c r="F3" s="613"/>
      <c r="G3" s="613"/>
      <c r="H3" s="613"/>
      <c r="I3" s="613"/>
      <c r="J3" s="613"/>
      <c r="K3" s="613"/>
      <c r="L3" s="613"/>
      <c r="M3" s="613"/>
      <c r="N3" s="613"/>
      <c r="O3" s="613"/>
      <c r="P3" s="613"/>
      <c r="Q3" s="613"/>
      <c r="R3" s="613"/>
      <c r="S3" s="613"/>
      <c r="T3" s="613"/>
      <c r="U3" s="613"/>
      <c r="V3" s="613"/>
      <c r="W3" s="614"/>
    </row>
    <row r="4" spans="1:33" ht="5.25" customHeight="1" x14ac:dyDescent="0.2"/>
    <row r="5" spans="1:33" ht="25.5" customHeight="1" thickBot="1" x14ac:dyDescent="0.25">
      <c r="A5" s="403" t="s">
        <v>24</v>
      </c>
      <c r="B5" s="404"/>
      <c r="C5" s="405" t="s">
        <v>25</v>
      </c>
      <c r="D5" s="406">
        <v>2024</v>
      </c>
      <c r="E5" s="402">
        <f>+D5+1</f>
        <v>2025</v>
      </c>
      <c r="F5" s="402">
        <f t="shared" ref="F5:W5" si="0">+E5+1</f>
        <v>2026</v>
      </c>
      <c r="G5" s="402">
        <f t="shared" si="0"/>
        <v>2027</v>
      </c>
      <c r="H5" s="402">
        <f t="shared" si="0"/>
        <v>2028</v>
      </c>
      <c r="I5" s="402">
        <f t="shared" si="0"/>
        <v>2029</v>
      </c>
      <c r="J5" s="402">
        <f t="shared" si="0"/>
        <v>2030</v>
      </c>
      <c r="K5" s="402">
        <f t="shared" si="0"/>
        <v>2031</v>
      </c>
      <c r="L5" s="402">
        <f t="shared" si="0"/>
        <v>2032</v>
      </c>
      <c r="M5" s="402">
        <f t="shared" si="0"/>
        <v>2033</v>
      </c>
      <c r="N5" s="402">
        <f t="shared" si="0"/>
        <v>2034</v>
      </c>
      <c r="O5" s="402">
        <f t="shared" si="0"/>
        <v>2035</v>
      </c>
      <c r="P5" s="402">
        <f t="shared" si="0"/>
        <v>2036</v>
      </c>
      <c r="Q5" s="402">
        <f t="shared" si="0"/>
        <v>2037</v>
      </c>
      <c r="R5" s="402">
        <f t="shared" si="0"/>
        <v>2038</v>
      </c>
      <c r="S5" s="402">
        <f t="shared" si="0"/>
        <v>2039</v>
      </c>
      <c r="T5" s="402">
        <f t="shared" si="0"/>
        <v>2040</v>
      </c>
      <c r="U5" s="402">
        <f t="shared" si="0"/>
        <v>2041</v>
      </c>
      <c r="V5" s="402">
        <f t="shared" si="0"/>
        <v>2042</v>
      </c>
      <c r="W5" s="402">
        <f t="shared" si="0"/>
        <v>2043</v>
      </c>
      <c r="X5" s="16">
        <v>21</v>
      </c>
      <c r="Y5" s="16">
        <v>22</v>
      </c>
      <c r="Z5" s="16">
        <v>23</v>
      </c>
      <c r="AA5" s="16">
        <v>24</v>
      </c>
      <c r="AB5" s="16">
        <v>25</v>
      </c>
      <c r="AC5" s="16">
        <v>26</v>
      </c>
      <c r="AD5" s="16">
        <v>27</v>
      </c>
      <c r="AE5" s="16">
        <v>28</v>
      </c>
      <c r="AF5" s="16">
        <v>29</v>
      </c>
      <c r="AG5" s="16">
        <v>30</v>
      </c>
    </row>
    <row r="6" spans="1:33" ht="25.5" customHeight="1" x14ac:dyDescent="0.2">
      <c r="A6" s="93" t="s">
        <v>320</v>
      </c>
      <c r="B6" s="265"/>
      <c r="C6" s="252">
        <f>SUM(D6:W6)</f>
        <v>6444615</v>
      </c>
      <c r="D6" s="112">
        <f>ROUND('DATI PROGETTO E FINANZIAMENTO'!C91,0)</f>
        <v>230400</v>
      </c>
      <c r="E6" s="18">
        <f>ROUND('DATI PROGETTO E FINANZIAMENTO'!D91,0)</f>
        <v>252144</v>
      </c>
      <c r="F6" s="112">
        <f>ROUND('DATI PROGETTO E FINANZIAMENTO'!E91,0)</f>
        <v>275011</v>
      </c>
      <c r="G6" s="116">
        <f>ROUND('DATI PROGETTO E FINANZIAMENTO'!F91,0)</f>
        <v>298954</v>
      </c>
      <c r="H6" s="112">
        <f>ROUND('DATI PROGETTO E FINANZIAMENTO'!G91,0)</f>
        <v>321024</v>
      </c>
      <c r="I6" s="112">
        <f>ROUND('DATI PROGETTO E FINANZIAMENTO'!H91,0)</f>
        <v>327456</v>
      </c>
      <c r="J6" s="112">
        <f>ROUND('DATI PROGETTO E FINANZIAMENTO'!I91,0)</f>
        <v>333984</v>
      </c>
      <c r="K6" s="112">
        <f>ROUND('DATI PROGETTO E FINANZIAMENTO'!J91,0)</f>
        <v>340704</v>
      </c>
      <c r="L6" s="112">
        <f>ROUND('DATI PROGETTO E FINANZIAMENTO'!K91,0)</f>
        <v>347520</v>
      </c>
      <c r="M6" s="112">
        <f>ROUND('DATI PROGETTO E FINANZIAMENTO'!L91,0)</f>
        <v>350976</v>
      </c>
      <c r="N6" s="112">
        <f>ROUND('DATI PROGETTO E FINANZIAMENTO'!M91,0)</f>
        <v>354528</v>
      </c>
      <c r="O6" s="112">
        <f>ROUND('DATI PROGETTO E FINANZIAMENTO'!N91,0)</f>
        <v>315110</v>
      </c>
      <c r="P6" s="112">
        <f>ROUND('DATI PROGETTO E FINANZIAMENTO'!O91,0)</f>
        <v>325469</v>
      </c>
      <c r="Q6" s="112">
        <f>ROUND('DATI PROGETTO E FINANZIAMENTO'!P91,0)</f>
        <v>328752</v>
      </c>
      <c r="R6" s="112">
        <f>ROUND('DATI PROGETTO E FINANZIAMENTO'!Q91,0)</f>
        <v>332035</v>
      </c>
      <c r="S6" s="112">
        <f>ROUND('DATI PROGETTO E FINANZIAMENTO'!R91,0)</f>
        <v>335318</v>
      </c>
      <c r="T6" s="112">
        <f>ROUND('DATI PROGETTO E FINANZIAMENTO'!S91,0)</f>
        <v>338688</v>
      </c>
      <c r="U6" s="112">
        <f>ROUND('DATI PROGETTO E FINANZIAMENTO'!T91,0)</f>
        <v>342058</v>
      </c>
      <c r="V6" s="112">
        <f>ROUND('DATI PROGETTO E FINANZIAMENTO'!U91,0)</f>
        <v>345514</v>
      </c>
      <c r="W6" s="112">
        <f>ROUND('DATI PROGETTO E FINANZIAMENTO'!V91,0)</f>
        <v>348970</v>
      </c>
      <c r="X6" s="120">
        <f>ROUND('DATI PROGETTO E FINANZIAMENTO'!W91,0)</f>
        <v>352426</v>
      </c>
      <c r="Y6" s="120">
        <f>ROUND('DATI PROGETTO E FINANZIAMENTO'!X91,0)</f>
        <v>355968</v>
      </c>
      <c r="Z6" s="120">
        <f>ROUND('DATI PROGETTO E FINANZIAMENTO'!Y91,0)</f>
        <v>359510</v>
      </c>
      <c r="AA6" s="120">
        <f>ROUND('DATI PROGETTO E FINANZIAMENTO'!Z91,0)</f>
        <v>363139</v>
      </c>
      <c r="AB6" s="120">
        <f>ROUND('DATI PROGETTO E FINANZIAMENTO'!AA91,0)</f>
        <v>366768</v>
      </c>
      <c r="AC6" s="120">
        <f>ROUND('DATI PROGETTO E FINANZIAMENTO'!AB91,0)</f>
        <v>370397</v>
      </c>
      <c r="AD6" s="120">
        <f>ROUND('DATI PROGETTO E FINANZIAMENTO'!AC91,0)</f>
        <v>374112</v>
      </c>
      <c r="AE6" s="120">
        <f>ROUND('DATI PROGETTO E FINANZIAMENTO'!AD91,0)</f>
        <v>377827</v>
      </c>
      <c r="AF6" s="120">
        <f>ROUND('DATI PROGETTO E FINANZIAMENTO'!AE91,0)</f>
        <v>381629</v>
      </c>
      <c r="AG6" s="120">
        <f>ROUND('DATI PROGETTO E FINANZIAMENTO'!AF91,0)</f>
        <v>385430</v>
      </c>
    </row>
    <row r="7" spans="1:33" ht="25.5" customHeight="1" x14ac:dyDescent="0.2">
      <c r="A7" s="19" t="s">
        <v>46</v>
      </c>
      <c r="B7" s="266"/>
      <c r="C7" s="252">
        <f t="shared" ref="C7:C25" si="1">SUM(D7:W7)</f>
        <v>0</v>
      </c>
      <c r="D7" s="112">
        <f>+'DATI PROGETTO E FINANZIAMENTO'!C39</f>
        <v>0</v>
      </c>
      <c r="E7" s="112">
        <f>+'DATI PROGETTO E FINANZIAMENTO'!D39</f>
        <v>0</v>
      </c>
      <c r="F7" s="112">
        <f>+'DATI PROGETTO E FINANZIAMENTO'!E39</f>
        <v>0</v>
      </c>
      <c r="G7" s="112">
        <f>+'DATI PROGETTO E FINANZIAMENTO'!F39</f>
        <v>0</v>
      </c>
      <c r="H7" s="112">
        <f>+'DATI PROGETTO E FINANZIAMENTO'!G39</f>
        <v>0</v>
      </c>
      <c r="I7" s="112">
        <f>+'DATI PROGETTO E FINANZIAMENTO'!H39</f>
        <v>0</v>
      </c>
      <c r="J7" s="112">
        <f>+'DATI PROGETTO E FINANZIAMENTO'!I39</f>
        <v>0</v>
      </c>
      <c r="K7" s="112">
        <f>+'DATI PROGETTO E FINANZIAMENTO'!J39</f>
        <v>0</v>
      </c>
      <c r="L7" s="112">
        <f>+'DATI PROGETTO E FINANZIAMENTO'!K39</f>
        <v>0</v>
      </c>
      <c r="M7" s="112">
        <f>+'DATI PROGETTO E FINANZIAMENTO'!L39</f>
        <v>0</v>
      </c>
      <c r="N7" s="112">
        <f>+'DATI PROGETTO E FINANZIAMENTO'!M39</f>
        <v>0</v>
      </c>
      <c r="O7" s="112">
        <f>+'DATI PROGETTO E FINANZIAMENTO'!N39</f>
        <v>0</v>
      </c>
      <c r="P7" s="112">
        <f>+'DATI PROGETTO E FINANZIAMENTO'!O39</f>
        <v>0</v>
      </c>
      <c r="Q7" s="112">
        <f>+'DATI PROGETTO E FINANZIAMENTO'!P39</f>
        <v>0</v>
      </c>
      <c r="R7" s="112">
        <f>+'DATI PROGETTO E FINANZIAMENTO'!Q39</f>
        <v>0</v>
      </c>
      <c r="S7" s="112">
        <f>+'DATI PROGETTO E FINANZIAMENTO'!R39</f>
        <v>0</v>
      </c>
      <c r="T7" s="112">
        <f>+'DATI PROGETTO E FINANZIAMENTO'!S39</f>
        <v>0</v>
      </c>
      <c r="U7" s="112">
        <f>+'DATI PROGETTO E FINANZIAMENTO'!T39</f>
        <v>0</v>
      </c>
      <c r="V7" s="112">
        <f>+'DATI PROGETTO E FINANZIAMENTO'!U39</f>
        <v>0</v>
      </c>
      <c r="W7" s="112">
        <f>+'DATI PROGETTO E FINANZIAMENTO'!V39</f>
        <v>0</v>
      </c>
      <c r="X7" s="112"/>
      <c r="Y7" s="112"/>
      <c r="Z7" s="112"/>
      <c r="AA7" s="112"/>
      <c r="AB7" s="112"/>
      <c r="AC7" s="112"/>
      <c r="AD7" s="112"/>
      <c r="AE7" s="112"/>
      <c r="AF7" s="112"/>
      <c r="AG7" s="112"/>
    </row>
    <row r="8" spans="1:33" ht="25.5" customHeight="1" x14ac:dyDescent="0.2">
      <c r="A8" s="19" t="s">
        <v>47</v>
      </c>
      <c r="B8" s="266"/>
      <c r="C8" s="252">
        <f t="shared" si="1"/>
        <v>0</v>
      </c>
      <c r="D8" s="112">
        <f>+'DATI PROGETTO E FINANZIAMENTO'!C40</f>
        <v>0</v>
      </c>
      <c r="E8" s="112">
        <f>+'DATI PROGETTO E FINANZIAMENTO'!D40</f>
        <v>0</v>
      </c>
      <c r="F8" s="112">
        <f>+'DATI PROGETTO E FINANZIAMENTO'!E40</f>
        <v>0</v>
      </c>
      <c r="G8" s="112">
        <f>+'DATI PROGETTO E FINANZIAMENTO'!F40</f>
        <v>0</v>
      </c>
      <c r="H8" s="112">
        <f>+'DATI PROGETTO E FINANZIAMENTO'!G40</f>
        <v>0</v>
      </c>
      <c r="I8" s="112">
        <f>+'DATI PROGETTO E FINANZIAMENTO'!H40</f>
        <v>0</v>
      </c>
      <c r="J8" s="112">
        <f>+'DATI PROGETTO E FINANZIAMENTO'!I40</f>
        <v>0</v>
      </c>
      <c r="K8" s="112">
        <f>+'DATI PROGETTO E FINANZIAMENTO'!J40</f>
        <v>0</v>
      </c>
      <c r="L8" s="112">
        <f>+'DATI PROGETTO E FINANZIAMENTO'!K40</f>
        <v>0</v>
      </c>
      <c r="M8" s="112">
        <f>+'DATI PROGETTO E FINANZIAMENTO'!L40</f>
        <v>0</v>
      </c>
      <c r="N8" s="112">
        <f>+'DATI PROGETTO E FINANZIAMENTO'!M40</f>
        <v>0</v>
      </c>
      <c r="O8" s="112">
        <f>+'DATI PROGETTO E FINANZIAMENTO'!N40</f>
        <v>0</v>
      </c>
      <c r="P8" s="112">
        <f>+'DATI PROGETTO E FINANZIAMENTO'!O40</f>
        <v>0</v>
      </c>
      <c r="Q8" s="112">
        <f>+'DATI PROGETTO E FINANZIAMENTO'!P40</f>
        <v>0</v>
      </c>
      <c r="R8" s="112">
        <f>+'DATI PROGETTO E FINANZIAMENTO'!Q40</f>
        <v>0</v>
      </c>
      <c r="S8" s="112">
        <f>+'DATI PROGETTO E FINANZIAMENTO'!R40</f>
        <v>0</v>
      </c>
      <c r="T8" s="112">
        <f>+'DATI PROGETTO E FINANZIAMENTO'!S40</f>
        <v>0</v>
      </c>
      <c r="U8" s="112">
        <f>+'DATI PROGETTO E FINANZIAMENTO'!T40</f>
        <v>0</v>
      </c>
      <c r="V8" s="112">
        <f>+'DATI PROGETTO E FINANZIAMENTO'!U40</f>
        <v>0</v>
      </c>
      <c r="W8" s="112">
        <f>+'DATI PROGETTO E FINANZIAMENTO'!V40</f>
        <v>0</v>
      </c>
      <c r="X8" s="112"/>
      <c r="Y8" s="112"/>
      <c r="Z8" s="112"/>
      <c r="AA8" s="112"/>
      <c r="AB8" s="112"/>
      <c r="AC8" s="112"/>
      <c r="AD8" s="112"/>
      <c r="AE8" s="112"/>
      <c r="AF8" s="112"/>
      <c r="AG8" s="112"/>
    </row>
    <row r="9" spans="1:33" ht="25.5" customHeight="1" x14ac:dyDescent="0.2">
      <c r="A9" s="111" t="s">
        <v>321</v>
      </c>
      <c r="B9" s="267"/>
      <c r="C9" s="252">
        <f t="shared" si="1"/>
        <v>322456</v>
      </c>
      <c r="D9" s="250">
        <f>+'DATI PROGETTO E FINANZIAMENTO'!C96</f>
        <v>9980</v>
      </c>
      <c r="E9" s="250">
        <f>+'DATI PROGETTO E FINANZIAMENTO'!D96</f>
        <v>10751</v>
      </c>
      <c r="F9" s="250">
        <f>+'DATI PROGETTO E FINANZIAMENTO'!E96</f>
        <v>11534</v>
      </c>
      <c r="G9" s="250">
        <f>+'DATI PROGETTO E FINANZIAMENTO'!F96</f>
        <v>12477</v>
      </c>
      <c r="H9" s="250">
        <f>+'DATI PROGETTO E FINANZIAMENTO'!G96</f>
        <v>13268</v>
      </c>
      <c r="I9" s="250">
        <f>+'DATI PROGETTO E FINANZIAMENTO'!H96</f>
        <v>13903</v>
      </c>
      <c r="J9" s="250">
        <f>+'DATI PROGETTO E FINANZIAMENTO'!I96</f>
        <v>14552</v>
      </c>
      <c r="K9" s="250">
        <f>+'DATI PROGETTO E FINANZIAMENTO'!J96</f>
        <v>15426</v>
      </c>
      <c r="L9" s="250">
        <f>+'DATI PROGETTO E FINANZIAMENTO'!K96</f>
        <v>16122</v>
      </c>
      <c r="M9" s="250">
        <f>+'DATI PROGETTO E FINANZIAMENTO'!L96</f>
        <v>16692</v>
      </c>
      <c r="N9" s="250">
        <f>+'DATI PROGETTO E FINANZIAMENTO'!M96</f>
        <v>17258</v>
      </c>
      <c r="O9" s="250">
        <f>+'DATI PROGETTO E FINANZIAMENTO'!N96</f>
        <v>17832</v>
      </c>
      <c r="P9" s="250">
        <f>+'DATI PROGETTO E FINANZIAMENTO'!O96</f>
        <v>18425</v>
      </c>
      <c r="Q9" s="250">
        <f>+'DATI PROGETTO E FINANZIAMENTO'!P96</f>
        <v>18605</v>
      </c>
      <c r="R9" s="250">
        <f>+'DATI PROGETTO E FINANZIAMENTO'!Q96</f>
        <v>18785</v>
      </c>
      <c r="S9" s="250">
        <f>+'DATI PROGETTO E FINANZIAMENTO'!R96</f>
        <v>18980</v>
      </c>
      <c r="T9" s="250">
        <f>+'DATI PROGETTO E FINANZIAMENTO'!S96</f>
        <v>19174</v>
      </c>
      <c r="U9" s="250">
        <f>+'DATI PROGETTO E FINANZIAMENTO'!T96</f>
        <v>19369</v>
      </c>
      <c r="V9" s="250">
        <f>+'DATI PROGETTO E FINANZIAMENTO'!U96</f>
        <v>19564</v>
      </c>
      <c r="W9" s="250">
        <f>+'DATI PROGETTO E FINANZIAMENTO'!V96</f>
        <v>19759</v>
      </c>
      <c r="X9" s="250">
        <f>+'DATI PROGETTO E FINANZIAMENTO'!W96</f>
        <v>19953</v>
      </c>
      <c r="Y9" s="250">
        <f>+'DATI PROGETTO E FINANZIAMENTO'!X96</f>
        <v>20148</v>
      </c>
      <c r="Z9" s="250">
        <f>+'DATI PROGETTO E FINANZIAMENTO'!Y96</f>
        <v>20343</v>
      </c>
      <c r="AA9" s="250">
        <f>+'DATI PROGETTO E FINANZIAMENTO'!Z96</f>
        <v>20553</v>
      </c>
      <c r="AB9" s="250">
        <f>+'DATI PROGETTO E FINANZIAMENTO'!AA96</f>
        <v>20762</v>
      </c>
      <c r="AC9" s="250">
        <f>+'DATI PROGETTO E FINANZIAMENTO'!AB96</f>
        <v>20972</v>
      </c>
      <c r="AD9" s="250">
        <f>+'DATI PROGETTO E FINANZIAMENTO'!AC96</f>
        <v>21182</v>
      </c>
      <c r="AE9" s="250">
        <f>+'DATI PROGETTO E FINANZIAMENTO'!AD96</f>
        <v>21391</v>
      </c>
      <c r="AF9" s="250">
        <f>+'DATI PROGETTO E FINANZIAMENTO'!AE96</f>
        <v>21601</v>
      </c>
      <c r="AG9" s="250">
        <f>+'DATI PROGETTO E FINANZIAMENTO'!AF96</f>
        <v>21811</v>
      </c>
    </row>
    <row r="10" spans="1:33" ht="25.5" customHeight="1" thickBot="1" x14ac:dyDescent="0.25">
      <c r="A10" s="111" t="s">
        <v>100</v>
      </c>
      <c r="B10" s="267"/>
      <c r="C10" s="252">
        <f t="shared" si="1"/>
        <v>97189</v>
      </c>
      <c r="D10" s="112">
        <f>ROUND('DATI PROGETTO E FINANZIAMENTO'!C97,0)</f>
        <v>4000</v>
      </c>
      <c r="E10" s="112">
        <f>ROUND('DATI PROGETTO E FINANZIAMENTO'!D97,0)</f>
        <v>4080</v>
      </c>
      <c r="F10" s="112">
        <f>ROUND('DATI PROGETTO E FINANZIAMENTO'!E97,0)</f>
        <v>4162</v>
      </c>
      <c r="G10" s="112">
        <f>ROUND('DATI PROGETTO E FINANZIAMENTO'!F97,0)</f>
        <v>4245</v>
      </c>
      <c r="H10" s="112">
        <f>ROUND('DATI PROGETTO E FINANZIAMENTO'!G97,0)</f>
        <v>4330</v>
      </c>
      <c r="I10" s="112">
        <f>ROUND('DATI PROGETTO E FINANZIAMENTO'!H97,0)</f>
        <v>4416</v>
      </c>
      <c r="J10" s="112">
        <f>ROUND('DATI PROGETTO E FINANZIAMENTO'!I97,0)</f>
        <v>4505</v>
      </c>
      <c r="K10" s="112">
        <f>ROUND('DATI PROGETTO E FINANZIAMENTO'!J97,0)</f>
        <v>4595</v>
      </c>
      <c r="L10" s="112">
        <f>ROUND('DATI PROGETTO E FINANZIAMENTO'!K97,0)</f>
        <v>4687</v>
      </c>
      <c r="M10" s="112">
        <f>ROUND('DATI PROGETTO E FINANZIAMENTO'!L97,0)</f>
        <v>4780</v>
      </c>
      <c r="N10" s="112">
        <f>ROUND('DATI PROGETTO E FINANZIAMENTO'!M97,0)</f>
        <v>4876</v>
      </c>
      <c r="O10" s="112">
        <f>ROUND('DATI PROGETTO E FINANZIAMENTO'!N97,0)</f>
        <v>4973</v>
      </c>
      <c r="P10" s="112">
        <f>ROUND('DATI PROGETTO E FINANZIAMENTO'!O97,0)</f>
        <v>5073</v>
      </c>
      <c r="Q10" s="112">
        <f>ROUND('DATI PROGETTO E FINANZIAMENTO'!P97,0)</f>
        <v>5174</v>
      </c>
      <c r="R10" s="112">
        <f>ROUND('DATI PROGETTO E FINANZIAMENTO'!Q97,0)</f>
        <v>5278</v>
      </c>
      <c r="S10" s="112">
        <f>ROUND('DATI PROGETTO E FINANZIAMENTO'!R97,0)</f>
        <v>5383</v>
      </c>
      <c r="T10" s="112">
        <f>ROUND('DATI PROGETTO E FINANZIAMENTO'!S97,0)</f>
        <v>5491</v>
      </c>
      <c r="U10" s="112">
        <f>ROUND('DATI PROGETTO E FINANZIAMENTO'!T97,0)</f>
        <v>5601</v>
      </c>
      <c r="V10" s="112">
        <f>ROUND('DATI PROGETTO E FINANZIAMENTO'!U97,0)</f>
        <v>5713</v>
      </c>
      <c r="W10" s="112">
        <f>ROUND('DATI PROGETTO E FINANZIAMENTO'!V97,0)</f>
        <v>5827</v>
      </c>
      <c r="X10" s="112" t="e">
        <f>ROUND('DATI PROGETTO E FINANZIAMENTO'!#REF!,0)</f>
        <v>#REF!</v>
      </c>
      <c r="Y10" s="112" t="e">
        <f>ROUND('DATI PROGETTO E FINANZIAMENTO'!#REF!,0)</f>
        <v>#REF!</v>
      </c>
      <c r="Z10" s="112" t="e">
        <f>ROUND('DATI PROGETTO E FINANZIAMENTO'!#REF!,0)</f>
        <v>#REF!</v>
      </c>
      <c r="AA10" s="112" t="e">
        <f>ROUND('DATI PROGETTO E FINANZIAMENTO'!#REF!,0)</f>
        <v>#REF!</v>
      </c>
      <c r="AB10" s="112" t="e">
        <f>ROUND('DATI PROGETTO E FINANZIAMENTO'!#REF!,0)</f>
        <v>#REF!</v>
      </c>
      <c r="AC10" s="112" t="e">
        <f>ROUND('DATI PROGETTO E FINANZIAMENTO'!#REF!,0)</f>
        <v>#REF!</v>
      </c>
      <c r="AD10" s="112" t="e">
        <f>ROUND('DATI PROGETTO E FINANZIAMENTO'!#REF!,0)</f>
        <v>#REF!</v>
      </c>
      <c r="AE10" s="112" t="e">
        <f>ROUND('DATI PROGETTO E FINANZIAMENTO'!#REF!,0)</f>
        <v>#REF!</v>
      </c>
      <c r="AF10" s="112" t="e">
        <f>ROUND('DATI PROGETTO E FINANZIAMENTO'!#REF!,0)</f>
        <v>#REF!</v>
      </c>
      <c r="AG10" s="112" t="e">
        <f>ROUND('DATI PROGETTO E FINANZIAMENTO'!#REF!,0)</f>
        <v>#REF!</v>
      </c>
    </row>
    <row r="11" spans="1:33" ht="25.5" customHeight="1" thickBot="1" x14ac:dyDescent="0.25">
      <c r="A11" s="275" t="s">
        <v>51</v>
      </c>
      <c r="B11" s="276"/>
      <c r="C11" s="277">
        <f>+SUM(C6:C10)</f>
        <v>6864260</v>
      </c>
      <c r="D11" s="114">
        <f>+SUM(D6:D10)</f>
        <v>244380</v>
      </c>
      <c r="E11" s="114">
        <f t="shared" ref="E11:AG11" si="2">+SUM(E6:E10)</f>
        <v>266975</v>
      </c>
      <c r="F11" s="114">
        <f t="shared" si="2"/>
        <v>290707</v>
      </c>
      <c r="G11" s="115">
        <f t="shared" si="2"/>
        <v>315676</v>
      </c>
      <c r="H11" s="115">
        <f t="shared" si="2"/>
        <v>338622</v>
      </c>
      <c r="I11" s="115">
        <f t="shared" si="2"/>
        <v>345775</v>
      </c>
      <c r="J11" s="115">
        <f t="shared" si="2"/>
        <v>353041</v>
      </c>
      <c r="K11" s="115">
        <f t="shared" si="2"/>
        <v>360725</v>
      </c>
      <c r="L11" s="115">
        <f t="shared" si="2"/>
        <v>368329</v>
      </c>
      <c r="M11" s="115">
        <f t="shared" si="2"/>
        <v>372448</v>
      </c>
      <c r="N11" s="115">
        <f t="shared" si="2"/>
        <v>376662</v>
      </c>
      <c r="O11" s="115">
        <f t="shared" si="2"/>
        <v>337915</v>
      </c>
      <c r="P11" s="115">
        <f t="shared" si="2"/>
        <v>348967</v>
      </c>
      <c r="Q11" s="115">
        <f t="shared" si="2"/>
        <v>352531</v>
      </c>
      <c r="R11" s="115">
        <f t="shared" si="2"/>
        <v>356098</v>
      </c>
      <c r="S11" s="115">
        <f t="shared" si="2"/>
        <v>359681</v>
      </c>
      <c r="T11" s="115">
        <f t="shared" si="2"/>
        <v>363353</v>
      </c>
      <c r="U11" s="115">
        <f t="shared" si="2"/>
        <v>367028</v>
      </c>
      <c r="V11" s="115">
        <f t="shared" si="2"/>
        <v>370791</v>
      </c>
      <c r="W11" s="114">
        <f t="shared" si="2"/>
        <v>374556</v>
      </c>
      <c r="X11" s="114" t="e">
        <f t="shared" si="2"/>
        <v>#REF!</v>
      </c>
      <c r="Y11" s="114" t="e">
        <f t="shared" si="2"/>
        <v>#REF!</v>
      </c>
      <c r="Z11" s="114" t="e">
        <f t="shared" si="2"/>
        <v>#REF!</v>
      </c>
      <c r="AA11" s="114" t="e">
        <f t="shared" si="2"/>
        <v>#REF!</v>
      </c>
      <c r="AB11" s="114" t="e">
        <f t="shared" si="2"/>
        <v>#REF!</v>
      </c>
      <c r="AC11" s="114" t="e">
        <f t="shared" si="2"/>
        <v>#REF!</v>
      </c>
      <c r="AD11" s="114" t="e">
        <f t="shared" si="2"/>
        <v>#REF!</v>
      </c>
      <c r="AE11" s="114" t="e">
        <f t="shared" si="2"/>
        <v>#REF!</v>
      </c>
      <c r="AF11" s="114" t="e">
        <f t="shared" si="2"/>
        <v>#REF!</v>
      </c>
      <c r="AG11" s="114" t="e">
        <f t="shared" si="2"/>
        <v>#REF!</v>
      </c>
    </row>
    <row r="12" spans="1:33" ht="25.5" customHeight="1" x14ac:dyDescent="0.2">
      <c r="A12" s="266" t="s">
        <v>54</v>
      </c>
      <c r="B12" s="266"/>
      <c r="C12" s="280">
        <f>SUM(D12:W12)</f>
        <v>-100000</v>
      </c>
      <c r="D12" s="273">
        <f>-'DATI PROGETTO E FINANZIAMENTO'!C17</f>
        <v>-10000</v>
      </c>
      <c r="E12" s="254">
        <f>-'DATI PROGETTO E FINANZIAMENTO'!D17</f>
        <v>-10000</v>
      </c>
      <c r="F12" s="254">
        <f>-'DATI PROGETTO E FINANZIAMENTO'!E17</f>
        <v>-10000</v>
      </c>
      <c r="G12" s="254">
        <f>-'DATI PROGETTO E FINANZIAMENTO'!F17</f>
        <v>-10000</v>
      </c>
      <c r="H12" s="254">
        <f>-'DATI PROGETTO E FINANZIAMENTO'!G17</f>
        <v>-10000</v>
      </c>
      <c r="I12" s="254">
        <f>-'DATI PROGETTO E FINANZIAMENTO'!H17</f>
        <v>-10000</v>
      </c>
      <c r="J12" s="254">
        <f>-'DATI PROGETTO E FINANZIAMENTO'!I17</f>
        <v>-10000</v>
      </c>
      <c r="K12" s="254">
        <f>-'DATI PROGETTO E FINANZIAMENTO'!J17</f>
        <v>-10000</v>
      </c>
      <c r="L12" s="254">
        <f>-'DATI PROGETTO E FINANZIAMENTO'!K17</f>
        <v>-10000</v>
      </c>
      <c r="M12" s="254">
        <f>-'DATI PROGETTO E FINANZIAMENTO'!L17</f>
        <v>-10000</v>
      </c>
      <c r="N12" s="255">
        <f>-'DATI PROGETTO E FINANZIAMENTO'!M17</f>
        <v>0</v>
      </c>
      <c r="O12" s="255">
        <f>-'DATI PROGETTO E FINANZIAMENTO'!N17</f>
        <v>0</v>
      </c>
      <c r="P12" s="255">
        <f>-'DATI PROGETTO E FINANZIAMENTO'!O17</f>
        <v>0</v>
      </c>
      <c r="Q12" s="255">
        <f>-'DATI PROGETTO E FINANZIAMENTO'!P17</f>
        <v>0</v>
      </c>
      <c r="R12" s="255">
        <f>-'DATI PROGETTO E FINANZIAMENTO'!Q17</f>
        <v>0</v>
      </c>
      <c r="S12" s="255">
        <f>-'DATI PROGETTO E FINANZIAMENTO'!R17</f>
        <v>0</v>
      </c>
      <c r="T12" s="255">
        <f>-'DATI PROGETTO E FINANZIAMENTO'!S17</f>
        <v>0</v>
      </c>
      <c r="U12" s="255">
        <f>-'DATI PROGETTO E FINANZIAMENTO'!T17</f>
        <v>0</v>
      </c>
      <c r="V12" s="255">
        <f>-'DATI PROGETTO E FINANZIAMENTO'!U17</f>
        <v>0</v>
      </c>
      <c r="W12" s="255">
        <f>-'DATI PROGETTO E FINANZIAMENTO'!V17</f>
        <v>0</v>
      </c>
      <c r="X12" s="255">
        <f>-'DATI PROGETTO E FINANZIAMENTO'!W17</f>
        <v>0</v>
      </c>
      <c r="Y12" s="255">
        <f>-'DATI PROGETTO E FINANZIAMENTO'!X17</f>
        <v>0</v>
      </c>
      <c r="Z12" s="255">
        <f>-'DATI PROGETTO E FINANZIAMENTO'!Y17</f>
        <v>0</v>
      </c>
      <c r="AA12" s="255">
        <f>-'DATI PROGETTO E FINANZIAMENTO'!Z17</f>
        <v>0</v>
      </c>
      <c r="AB12" s="255">
        <f>-'DATI PROGETTO E FINANZIAMENTO'!AA17</f>
        <v>0</v>
      </c>
      <c r="AC12" s="255">
        <f>-'DATI PROGETTO E FINANZIAMENTO'!AB17</f>
        <v>0</v>
      </c>
      <c r="AD12" s="255">
        <f>-'DATI PROGETTO E FINANZIAMENTO'!AC17</f>
        <v>0</v>
      </c>
      <c r="AE12" s="255">
        <f>-'DATI PROGETTO E FINANZIAMENTO'!AD17</f>
        <v>0</v>
      </c>
      <c r="AF12" s="255">
        <f>-'DATI PROGETTO E FINANZIAMENTO'!AE17</f>
        <v>0</v>
      </c>
      <c r="AG12" s="255">
        <f>-'DATI PROGETTO E FINANZIAMENTO'!AF17</f>
        <v>0</v>
      </c>
    </row>
    <row r="13" spans="1:33" ht="25.5" customHeight="1" x14ac:dyDescent="0.2">
      <c r="A13" s="267" t="s">
        <v>99</v>
      </c>
      <c r="B13" s="267"/>
      <c r="C13" s="280">
        <f t="shared" si="1"/>
        <v>-50400</v>
      </c>
      <c r="D13" s="274">
        <f>-'DATI PROGETTO E FINANZIAMENTO'!C62</f>
        <v>0</v>
      </c>
      <c r="E13" s="373">
        <f>-'DATI PROGETTO E FINANZIAMENTO'!D62</f>
        <v>-2000</v>
      </c>
      <c r="F13" s="373">
        <f>-'DATI PROGETTO E FINANZIAMENTO'!E62</f>
        <v>-5000</v>
      </c>
      <c r="G13" s="373">
        <f>-'DATI PROGETTO E FINANZIAMENTO'!F62</f>
        <v>-6600</v>
      </c>
      <c r="H13" s="373">
        <f>-'DATI PROGETTO E FINANZIAMENTO'!G62</f>
        <v>-7200</v>
      </c>
      <c r="I13" s="254">
        <f>-'DATI PROGETTO E FINANZIAMENTO'!H62</f>
        <v>-7200</v>
      </c>
      <c r="J13" s="254">
        <f>-'DATI PROGETTO E FINANZIAMENTO'!I62</f>
        <v>-5200</v>
      </c>
      <c r="K13" s="254">
        <f>-'DATI PROGETTO E FINANZIAMENTO'!J62</f>
        <v>-2200</v>
      </c>
      <c r="L13" s="254">
        <f>-'DATI PROGETTO E FINANZIAMENTO'!K62</f>
        <v>-600</v>
      </c>
      <c r="M13" s="254">
        <f>-'DATI PROGETTO E FINANZIAMENTO'!L62</f>
        <v>0</v>
      </c>
      <c r="N13" s="254">
        <f>-'DATI PROGETTO E FINANZIAMENTO'!M62</f>
        <v>0</v>
      </c>
      <c r="O13" s="254">
        <f>-'DATI PROGETTO E FINANZIAMENTO'!N62</f>
        <v>-3600</v>
      </c>
      <c r="P13" s="254">
        <f>-'DATI PROGETTO E FINANZIAMENTO'!O62</f>
        <v>-3600</v>
      </c>
      <c r="Q13" s="254">
        <f>-'DATI PROGETTO E FINANZIAMENTO'!P62</f>
        <v>-3600</v>
      </c>
      <c r="R13" s="254">
        <f>-'DATI PROGETTO E FINANZIAMENTO'!Q62</f>
        <v>-3600</v>
      </c>
      <c r="S13" s="254">
        <f>-'DATI PROGETTO E FINANZIAMENTO'!R62</f>
        <v>0</v>
      </c>
      <c r="T13" s="254">
        <f>-'DATI PROGETTO E FINANZIAMENTO'!S62</f>
        <v>0</v>
      </c>
      <c r="U13" s="254">
        <f>-'DATI PROGETTO E FINANZIAMENTO'!T62</f>
        <v>0</v>
      </c>
      <c r="V13" s="254">
        <f>-'DATI PROGETTO E FINANZIAMENTO'!U62</f>
        <v>0</v>
      </c>
      <c r="W13" s="254">
        <f>-'DATI PROGETTO E FINANZIAMENTO'!V62</f>
        <v>0</v>
      </c>
      <c r="X13" s="254">
        <f>-'DATI PROGETTO E FINANZIAMENTO'!W62</f>
        <v>0</v>
      </c>
      <c r="Y13" s="254">
        <f>-'DATI PROGETTO E FINANZIAMENTO'!X62</f>
        <v>0</v>
      </c>
      <c r="Z13" s="254">
        <f>-'DATI PROGETTO E FINANZIAMENTO'!Y62</f>
        <v>0</v>
      </c>
      <c r="AA13" s="254">
        <f>-'DATI PROGETTO E FINANZIAMENTO'!Z62</f>
        <v>0</v>
      </c>
      <c r="AB13" s="254">
        <f>-'DATI PROGETTO E FINANZIAMENTO'!AA62</f>
        <v>0</v>
      </c>
      <c r="AC13" s="254">
        <f>-'DATI PROGETTO E FINANZIAMENTO'!AB62</f>
        <v>0</v>
      </c>
      <c r="AD13" s="254">
        <f>-'DATI PROGETTO E FINANZIAMENTO'!AC62</f>
        <v>0</v>
      </c>
      <c r="AE13" s="254">
        <f>-'DATI PROGETTO E FINANZIAMENTO'!AD62</f>
        <v>0</v>
      </c>
      <c r="AF13" s="254">
        <f>-'DATI PROGETTO E FINANZIAMENTO'!AE62</f>
        <v>0</v>
      </c>
      <c r="AG13" s="254">
        <f>-'DATI PROGETTO E FINANZIAMENTO'!AF62</f>
        <v>0</v>
      </c>
    </row>
    <row r="14" spans="1:33" ht="25.5" customHeight="1" x14ac:dyDescent="0.2">
      <c r="A14" s="265" t="s">
        <v>239</v>
      </c>
      <c r="B14" s="265"/>
      <c r="C14" s="280">
        <f t="shared" si="1"/>
        <v>-2034272</v>
      </c>
      <c r="D14" s="273">
        <f>-'DATI PROGETTO E FINANZIAMENTO'!C109</f>
        <v>-72562</v>
      </c>
      <c r="E14" s="254">
        <f>-'DATI PROGETTO E FINANZIAMENTO'!D109</f>
        <v>-79388</v>
      </c>
      <c r="F14" s="254">
        <f>-'DATI PROGETTO E FINANZIAMENTO'!E109</f>
        <v>-86563</v>
      </c>
      <c r="G14" s="254">
        <f>-'DATI PROGETTO E FINANZIAMENTO'!F109</f>
        <v>-94091</v>
      </c>
      <c r="H14" s="254">
        <f>-'DATI PROGETTO E FINANZIAMENTO'!G109</f>
        <v>-101020</v>
      </c>
      <c r="I14" s="254">
        <f>-'DATI PROGETTO E FINANZIAMENTO'!H109</f>
        <v>-103085</v>
      </c>
      <c r="J14" s="254">
        <f>-'DATI PROGETTO E FINANZIAMENTO'!I109</f>
        <v>-105180</v>
      </c>
      <c r="K14" s="254">
        <f>-'DATI PROGETTO E FINANZIAMENTO'!J109</f>
        <v>-107361</v>
      </c>
      <c r="L14" s="254">
        <f>-'DATI PROGETTO E FINANZIAMENTO'!K109</f>
        <v>-109551</v>
      </c>
      <c r="M14" s="254">
        <f>-'DATI PROGETTO E FINANZIAMENTO'!L109</f>
        <v>-110686</v>
      </c>
      <c r="N14" s="254">
        <f>-'DATI PROGETTO E FINANZIAMENTO'!M109</f>
        <v>-111851</v>
      </c>
      <c r="O14" s="254">
        <f>-'DATI PROGETTO E FINANZIAMENTO'!N109</f>
        <v>-99695</v>
      </c>
      <c r="P14" s="254">
        <f>-'DATI PROGETTO E FINANZIAMENTO'!O109</f>
        <v>-102974</v>
      </c>
      <c r="Q14" s="254">
        <f>-'DATI PROGETTO E FINANZIAMENTO'!P109</f>
        <v>-104012</v>
      </c>
      <c r="R14" s="254">
        <f>-'DATI PROGETTO E FINANZIAMENTO'!Q109</f>
        <v>-105051</v>
      </c>
      <c r="S14" s="254">
        <f>-'DATI PROGETTO E FINANZIAMENTO'!R109</f>
        <v>-106090</v>
      </c>
      <c r="T14" s="254">
        <f>-'DATI PROGETTO E FINANZIAMENTO'!S109</f>
        <v>-107157</v>
      </c>
      <c r="U14" s="254">
        <f>-'DATI PROGETTO E FINANZIAMENTO'!T109</f>
        <v>-108224</v>
      </c>
      <c r="V14" s="254">
        <f>-'DATI PROGETTO E FINANZIAMENTO'!U109</f>
        <v>-109318</v>
      </c>
      <c r="W14" s="254">
        <f>-'DATI PROGETTO E FINANZIAMENTO'!V109</f>
        <v>-110413</v>
      </c>
      <c r="X14" s="254">
        <f>-'DATI PROGETTO E FINANZIAMENTO'!W109</f>
        <v>-111506</v>
      </c>
      <c r="Y14" s="254">
        <f>-'DATI PROGETTO E FINANZIAMENTO'!X109</f>
        <v>-112627</v>
      </c>
      <c r="Z14" s="254">
        <f>-'DATI PROGETTO E FINANZIAMENTO'!Y109</f>
        <v>-113747</v>
      </c>
      <c r="AA14" s="254">
        <f>-'DATI PROGETTO E FINANZIAMENTO'!Z109</f>
        <v>-114897</v>
      </c>
      <c r="AB14" s="254">
        <f>-'DATI PROGETTO E FINANZIAMENTO'!AA109</f>
        <v>-116046</v>
      </c>
      <c r="AC14" s="254">
        <f>-'DATI PROGETTO E FINANZIAMENTO'!AB109</f>
        <v>-117195</v>
      </c>
      <c r="AD14" s="254">
        <f>-'DATI PROGETTO E FINANZIAMENTO'!AC109</f>
        <v>-118372</v>
      </c>
      <c r="AE14" s="254">
        <f>-'DATI PROGETTO E FINANZIAMENTO'!AD109</f>
        <v>-119547</v>
      </c>
      <c r="AF14" s="254">
        <f>-'DATI PROGETTO E FINANZIAMENTO'!AE109</f>
        <v>-120751</v>
      </c>
      <c r="AG14" s="254">
        <f>-'DATI PROGETTO E FINANZIAMENTO'!AF109</f>
        <v>-121953</v>
      </c>
    </row>
    <row r="15" spans="1:33" ht="25.5" customHeight="1" x14ac:dyDescent="0.2">
      <c r="A15" s="265" t="s">
        <v>240</v>
      </c>
      <c r="B15" s="265"/>
      <c r="C15" s="280">
        <f t="shared" si="1"/>
        <v>-617785</v>
      </c>
      <c r="D15" s="273">
        <f>-'DATI PROGETTO E FINANZIAMENTO'!C111</f>
        <v>-21994</v>
      </c>
      <c r="E15" s="254">
        <f>-'DATI PROGETTO E FINANZIAMENTO'!D111</f>
        <v>-24028</v>
      </c>
      <c r="F15" s="254">
        <f>-'DATI PROGETTO E FINANZIAMENTO'!E111</f>
        <v>-26164</v>
      </c>
      <c r="G15" s="254">
        <f>-'DATI PROGETTO E FINANZIAMENTO'!F111</f>
        <v>-28411</v>
      </c>
      <c r="H15" s="254">
        <f>-'DATI PROGETTO E FINANZIAMENTO'!G111</f>
        <v>-30476</v>
      </c>
      <c r="I15" s="254">
        <f>-'DATI PROGETTO E FINANZIAMENTO'!H111</f>
        <v>-31120</v>
      </c>
      <c r="J15" s="254">
        <f>-'DATI PROGETTO E FINANZIAMENTO'!I111</f>
        <v>-31774</v>
      </c>
      <c r="K15" s="254">
        <f>-'DATI PROGETTO E FINANZIAMENTO'!J111</f>
        <v>-32465</v>
      </c>
      <c r="L15" s="254">
        <f>-'DATI PROGETTO E FINANZIAMENTO'!K111</f>
        <v>-33150</v>
      </c>
      <c r="M15" s="254">
        <f>-'DATI PROGETTO E FINANZIAMENTO'!L111</f>
        <v>-33520</v>
      </c>
      <c r="N15" s="254">
        <f>-'DATI PROGETTO E FINANZIAMENTO'!M111</f>
        <v>-33900</v>
      </c>
      <c r="O15" s="254">
        <f>-'DATI PROGETTO E FINANZIAMENTO'!N111</f>
        <v>-30412</v>
      </c>
      <c r="P15" s="254">
        <f>-'DATI PROGETTO E FINANZIAMENTO'!O111</f>
        <v>-31407</v>
      </c>
      <c r="Q15" s="254">
        <f>-'DATI PROGETTO E FINANZIAMENTO'!P111</f>
        <v>-31728</v>
      </c>
      <c r="R15" s="254">
        <f>-'DATI PROGETTO E FINANZIAMENTO'!Q111</f>
        <v>-32049</v>
      </c>
      <c r="S15" s="254">
        <f>-'DATI PROGETTO E FINANZIAMENTO'!R111</f>
        <v>-32371</v>
      </c>
      <c r="T15" s="254">
        <f>-'DATI PROGETTO E FINANZIAMENTO'!S111</f>
        <v>-32702</v>
      </c>
      <c r="U15" s="254">
        <f>-'DATI PROGETTO E FINANZIAMENTO'!T111</f>
        <v>-33033</v>
      </c>
      <c r="V15" s="254">
        <f>-'DATI PROGETTO E FINANZIAMENTO'!U111</f>
        <v>-33371</v>
      </c>
      <c r="W15" s="254">
        <f>-'DATI PROGETTO E FINANZIAMENTO'!V111</f>
        <v>-33710</v>
      </c>
      <c r="X15" s="254">
        <f>-'DATI PROGETTO E FINANZIAMENTO'!W111</f>
        <v>-34049</v>
      </c>
      <c r="Y15" s="254">
        <f>-'DATI PROGETTO E FINANZIAMENTO'!X111</f>
        <v>-34396</v>
      </c>
      <c r="Z15" s="254">
        <f>-'DATI PROGETTO E FINANZIAMENTO'!Y111</f>
        <v>-34743</v>
      </c>
      <c r="AA15" s="254">
        <f>-'DATI PROGETTO E FINANZIAMENTO'!Z111</f>
        <v>-35100</v>
      </c>
      <c r="AB15" s="254">
        <f>-'DATI PROGETTO E FINANZIAMENTO'!AA111</f>
        <v>-35457</v>
      </c>
      <c r="AC15" s="254">
        <f>-'DATI PROGETTO E FINANZIAMENTO'!AB111</f>
        <v>-35814</v>
      </c>
      <c r="AD15" s="254">
        <f>-'DATI PROGETTO E FINANZIAMENTO'!AC111</f>
        <v>-36179</v>
      </c>
      <c r="AE15" s="254">
        <f>-'DATI PROGETTO E FINANZIAMENTO'!AD111</f>
        <v>-36544</v>
      </c>
      <c r="AF15" s="254">
        <f>-'DATI PROGETTO E FINANZIAMENTO'!AE111</f>
        <v>-36917</v>
      </c>
      <c r="AG15" s="254">
        <f>-'DATI PROGETTO E FINANZIAMENTO'!AF111</f>
        <v>-37291</v>
      </c>
    </row>
    <row r="16" spans="1:33" ht="25.5" customHeight="1" x14ac:dyDescent="0.2">
      <c r="A16" s="265" t="s">
        <v>325</v>
      </c>
      <c r="B16" s="265"/>
      <c r="C16" s="280">
        <f t="shared" si="1"/>
        <v>-283711</v>
      </c>
      <c r="D16" s="273">
        <f>-'DATI PROGETTO E FINANZIAMENTO'!C112</f>
        <v>-12000</v>
      </c>
      <c r="E16" s="254">
        <f>-'DATI PROGETTO E FINANZIAMENTO'!D112</f>
        <v>-12240</v>
      </c>
      <c r="F16" s="254">
        <f>-'DATI PROGETTO E FINANZIAMENTO'!E112</f>
        <v>-12485</v>
      </c>
      <c r="G16" s="254">
        <f>-'DATI PROGETTO E FINANZIAMENTO'!F112</f>
        <v>-12860</v>
      </c>
      <c r="H16" s="254">
        <f>-'DATI PROGETTO E FINANZIAMENTO'!G112</f>
        <v>-13117</v>
      </c>
      <c r="I16" s="254">
        <f>-'DATI PROGETTO E FINANZIAMENTO'!H112</f>
        <v>-13379</v>
      </c>
      <c r="J16" s="254">
        <f>-'DATI PROGETTO E FINANZIAMENTO'!I112</f>
        <v>-13647</v>
      </c>
      <c r="K16" s="254">
        <f>-'DATI PROGETTO E FINANZIAMENTO'!J112</f>
        <v>-13920</v>
      </c>
      <c r="L16" s="254">
        <f>-'DATI PROGETTO E FINANZIAMENTO'!K112</f>
        <v>-14198</v>
      </c>
      <c r="M16" s="254">
        <f>-'DATI PROGETTO E FINANZIAMENTO'!L112</f>
        <v>-14340</v>
      </c>
      <c r="N16" s="254">
        <f>-'DATI PROGETTO E FINANZIAMENTO'!M112</f>
        <v>-14483</v>
      </c>
      <c r="O16" s="254">
        <f>-'DATI PROGETTO E FINANZIAMENTO'!N112</f>
        <v>-14628</v>
      </c>
      <c r="P16" s="254">
        <f>-'DATI PROGETTO E FINANZIAMENTO'!O112</f>
        <v>-14774</v>
      </c>
      <c r="Q16" s="254">
        <f>-'DATI PROGETTO E FINANZIAMENTO'!P112</f>
        <v>-14922</v>
      </c>
      <c r="R16" s="254">
        <f>-'DATI PROGETTO E FINANZIAMENTO'!Q112</f>
        <v>-15071</v>
      </c>
      <c r="S16" s="254">
        <f>-'DATI PROGETTO E FINANZIAMENTO'!R112</f>
        <v>-15222</v>
      </c>
      <c r="T16" s="254">
        <f>-'DATI PROGETTO E FINANZIAMENTO'!S112</f>
        <v>-15374</v>
      </c>
      <c r="U16" s="254">
        <f>-'DATI PROGETTO E FINANZIAMENTO'!T112</f>
        <v>-15528</v>
      </c>
      <c r="V16" s="254">
        <f>-'DATI PROGETTO E FINANZIAMENTO'!U112</f>
        <v>-15683</v>
      </c>
      <c r="W16" s="254">
        <f>-'DATI PROGETTO E FINANZIAMENTO'!V112</f>
        <v>-15840</v>
      </c>
      <c r="X16" s="254">
        <f>-'DATI PROGETTO E FINANZIAMENTO'!W112</f>
        <v>-30000</v>
      </c>
      <c r="Y16" s="254">
        <f>-'DATI PROGETTO E FINANZIAMENTO'!X112</f>
        <v>-30000</v>
      </c>
      <c r="Z16" s="254">
        <f>-'DATI PROGETTO E FINANZIAMENTO'!Y112</f>
        <v>-30000</v>
      </c>
      <c r="AA16" s="254">
        <f>-'DATI PROGETTO E FINANZIAMENTO'!Z112</f>
        <v>-30000</v>
      </c>
      <c r="AB16" s="254">
        <f>-'DATI PROGETTO E FINANZIAMENTO'!AA112</f>
        <v>-30000</v>
      </c>
      <c r="AC16" s="254">
        <f>-'DATI PROGETTO E FINANZIAMENTO'!AB112</f>
        <v>-30000</v>
      </c>
      <c r="AD16" s="254">
        <f>-'DATI PROGETTO E FINANZIAMENTO'!AC112</f>
        <v>-30000</v>
      </c>
      <c r="AE16" s="254">
        <f>-'DATI PROGETTO E FINANZIAMENTO'!AD112</f>
        <v>-30000</v>
      </c>
      <c r="AF16" s="254">
        <f>-'DATI PROGETTO E FINANZIAMENTO'!AE112</f>
        <v>-30000</v>
      </c>
      <c r="AG16" s="254">
        <f>-'DATI PROGETTO E FINANZIAMENTO'!AF112</f>
        <v>-30000</v>
      </c>
    </row>
    <row r="17" spans="1:34" ht="25.5" customHeight="1" x14ac:dyDescent="0.2">
      <c r="A17" s="265" t="s">
        <v>259</v>
      </c>
      <c r="B17" s="265"/>
      <c r="C17" s="280">
        <f t="shared" si="1"/>
        <v>0</v>
      </c>
      <c r="D17" s="273">
        <f>-'DATI PROGETTO E FINANZIAMENTO'!C113</f>
        <v>0</v>
      </c>
      <c r="E17" s="254">
        <f>-'DATI PROGETTO E FINANZIAMENTO'!D113</f>
        <v>0</v>
      </c>
      <c r="F17" s="254">
        <f>-'DATI PROGETTO E FINANZIAMENTO'!E113</f>
        <v>0</v>
      </c>
      <c r="G17" s="254">
        <f>-'DATI PROGETTO E FINANZIAMENTO'!F113</f>
        <v>0</v>
      </c>
      <c r="H17" s="254">
        <f>-'DATI PROGETTO E FINANZIAMENTO'!G113</f>
        <v>0</v>
      </c>
      <c r="I17" s="254">
        <f>-'DATI PROGETTO E FINANZIAMENTO'!H113</f>
        <v>0</v>
      </c>
      <c r="J17" s="254">
        <f>-'DATI PROGETTO E FINANZIAMENTO'!I113</f>
        <v>0</v>
      </c>
      <c r="K17" s="254">
        <f>-'DATI PROGETTO E FINANZIAMENTO'!J113</f>
        <v>0</v>
      </c>
      <c r="L17" s="254">
        <f>-'DATI PROGETTO E FINANZIAMENTO'!K113</f>
        <v>0</v>
      </c>
      <c r="M17" s="254">
        <f>-'DATI PROGETTO E FINANZIAMENTO'!L113</f>
        <v>0</v>
      </c>
      <c r="N17" s="254">
        <f>-'DATI PROGETTO E FINANZIAMENTO'!M113</f>
        <v>0</v>
      </c>
      <c r="O17" s="254">
        <f>-'DATI PROGETTO E FINANZIAMENTO'!N113</f>
        <v>0</v>
      </c>
      <c r="P17" s="254">
        <f>-'DATI PROGETTO E FINANZIAMENTO'!O113</f>
        <v>0</v>
      </c>
      <c r="Q17" s="254">
        <f>-'DATI PROGETTO E FINANZIAMENTO'!P113</f>
        <v>0</v>
      </c>
      <c r="R17" s="254">
        <f>-'DATI PROGETTO E FINANZIAMENTO'!Q113</f>
        <v>0</v>
      </c>
      <c r="S17" s="254">
        <f>-'DATI PROGETTO E FINANZIAMENTO'!R113</f>
        <v>0</v>
      </c>
      <c r="T17" s="254">
        <f>-'DATI PROGETTO E FINANZIAMENTO'!S113</f>
        <v>0</v>
      </c>
      <c r="U17" s="254">
        <f>-'DATI PROGETTO E FINANZIAMENTO'!T113</f>
        <v>0</v>
      </c>
      <c r="V17" s="254">
        <f>-'DATI PROGETTO E FINANZIAMENTO'!U113</f>
        <v>0</v>
      </c>
      <c r="W17" s="254">
        <f>-'DATI PROGETTO E FINANZIAMENTO'!V113</f>
        <v>0</v>
      </c>
      <c r="X17" s="254">
        <f>-'DATI PROGETTO E FINANZIAMENTO'!W113</f>
        <v>-5000</v>
      </c>
      <c r="Y17" s="254">
        <f>-'DATI PROGETTO E FINANZIAMENTO'!X113</f>
        <v>-5000</v>
      </c>
      <c r="Z17" s="254">
        <f>-'DATI PROGETTO E FINANZIAMENTO'!Y113</f>
        <v>-5000</v>
      </c>
      <c r="AA17" s="254">
        <f>-'DATI PROGETTO E FINANZIAMENTO'!Z113</f>
        <v>-5000</v>
      </c>
      <c r="AB17" s="254">
        <f>-'DATI PROGETTO E FINANZIAMENTO'!AA113</f>
        <v>-5000</v>
      </c>
      <c r="AC17" s="254">
        <f>-'DATI PROGETTO E FINANZIAMENTO'!AB113</f>
        <v>-5000</v>
      </c>
      <c r="AD17" s="254">
        <f>-'DATI PROGETTO E FINANZIAMENTO'!AC113</f>
        <v>-5000</v>
      </c>
      <c r="AE17" s="254">
        <f>-'DATI PROGETTO E FINANZIAMENTO'!AD113</f>
        <v>-5000</v>
      </c>
      <c r="AF17" s="254">
        <f>-'DATI PROGETTO E FINANZIAMENTO'!AE113</f>
        <v>-5000</v>
      </c>
      <c r="AG17" s="254">
        <f>-'DATI PROGETTO E FINANZIAMENTO'!AF113</f>
        <v>-5000</v>
      </c>
    </row>
    <row r="18" spans="1:34" ht="25.5" customHeight="1" x14ac:dyDescent="0.2">
      <c r="A18" s="265" t="s">
        <v>241</v>
      </c>
      <c r="B18" s="265"/>
      <c r="C18" s="280">
        <f t="shared" si="1"/>
        <v>-102965</v>
      </c>
      <c r="D18" s="273">
        <f>-'DATI PROGETTO E FINANZIAMENTO'!C114</f>
        <v>-3666</v>
      </c>
      <c r="E18" s="254">
        <f>-'DATI PROGETTO E FINANZIAMENTO'!D114</f>
        <v>-4005</v>
      </c>
      <c r="F18" s="254">
        <f>-'DATI PROGETTO E FINANZIAMENTO'!E114</f>
        <v>-4361</v>
      </c>
      <c r="G18" s="254">
        <f>-'DATI PROGETTO E FINANZIAMENTO'!F114</f>
        <v>-4735</v>
      </c>
      <c r="H18" s="254">
        <f>-'DATI PROGETTO E FINANZIAMENTO'!G114</f>
        <v>-5079</v>
      </c>
      <c r="I18" s="254">
        <f>-'DATI PROGETTO E FINANZIAMENTO'!H114</f>
        <v>-5187</v>
      </c>
      <c r="J18" s="254">
        <f>-'DATI PROGETTO E FINANZIAMENTO'!I114</f>
        <v>-5296</v>
      </c>
      <c r="K18" s="254">
        <f>-'DATI PROGETTO E FINANZIAMENTO'!J114</f>
        <v>-5411</v>
      </c>
      <c r="L18" s="254">
        <f>-'DATI PROGETTO E FINANZIAMENTO'!K114</f>
        <v>-5525</v>
      </c>
      <c r="M18" s="254">
        <f>-'DATI PROGETTO E FINANZIAMENTO'!L114</f>
        <v>-5587</v>
      </c>
      <c r="N18" s="254">
        <f>-'DATI PROGETTO E FINANZIAMENTO'!M114</f>
        <v>-5650</v>
      </c>
      <c r="O18" s="254">
        <f>-'DATI PROGETTO E FINANZIAMENTO'!N114</f>
        <v>-5069</v>
      </c>
      <c r="P18" s="254">
        <f>-'DATI PROGETTO E FINANZIAMENTO'!O114</f>
        <v>-5235</v>
      </c>
      <c r="Q18" s="254">
        <f>-'DATI PROGETTO E FINANZIAMENTO'!P114</f>
        <v>-5288</v>
      </c>
      <c r="R18" s="254">
        <f>-'DATI PROGETTO E FINANZIAMENTO'!Q114</f>
        <v>-5341</v>
      </c>
      <c r="S18" s="254">
        <f>-'DATI PROGETTO E FINANZIAMENTO'!R114</f>
        <v>-5395</v>
      </c>
      <c r="T18" s="254">
        <f>-'DATI PROGETTO E FINANZIAMENTO'!S114</f>
        <v>-5450</v>
      </c>
      <c r="U18" s="254">
        <f>-'DATI PROGETTO E FINANZIAMENTO'!T114</f>
        <v>-5505</v>
      </c>
      <c r="V18" s="254">
        <f>-'DATI PROGETTO E FINANZIAMENTO'!U114</f>
        <v>-5562</v>
      </c>
      <c r="W18" s="254">
        <f>-'DATI PROGETTO E FINANZIAMENTO'!V114</f>
        <v>-5618</v>
      </c>
      <c r="X18" s="254">
        <f>-'DATI PROGETTO E FINANZIAMENTO'!W114</f>
        <v>-5675</v>
      </c>
      <c r="Y18" s="254">
        <f>-'DATI PROGETTO E FINANZIAMENTO'!X114</f>
        <v>-5733</v>
      </c>
      <c r="Z18" s="254">
        <f>-'DATI PROGETTO E FINANZIAMENTO'!Y114</f>
        <v>-5791</v>
      </c>
      <c r="AA18" s="254">
        <f>-'DATI PROGETTO E FINANZIAMENTO'!Z114</f>
        <v>-5850</v>
      </c>
      <c r="AB18" s="254">
        <f>-'DATI PROGETTO E FINANZIAMENTO'!AA114</f>
        <v>-5909</v>
      </c>
      <c r="AC18" s="254">
        <f>-'DATI PROGETTO E FINANZIAMENTO'!AB114</f>
        <v>-5969</v>
      </c>
      <c r="AD18" s="254">
        <f>-'DATI PROGETTO E FINANZIAMENTO'!AC114</f>
        <v>-6030</v>
      </c>
      <c r="AE18" s="254">
        <f>-'DATI PROGETTO E FINANZIAMENTO'!AD114</f>
        <v>-6091</v>
      </c>
      <c r="AF18" s="254">
        <f>-'DATI PROGETTO E FINANZIAMENTO'!AE114</f>
        <v>-6153</v>
      </c>
      <c r="AG18" s="254">
        <f>-'DATI PROGETTO E FINANZIAMENTO'!AF114</f>
        <v>-6215</v>
      </c>
    </row>
    <row r="19" spans="1:34" ht="25.5" customHeight="1" x14ac:dyDescent="0.2">
      <c r="A19" s="265" t="s">
        <v>242</v>
      </c>
      <c r="B19" s="265"/>
      <c r="C19" s="280">
        <f t="shared" si="1"/>
        <v>-2611686.459259259</v>
      </c>
      <c r="D19" s="273">
        <f>-'DATI PROGETTO E FINANZIAMENTO'!C161-'DATI PROGETTO E FINANZIAMENTO'!C162</f>
        <v>-100449.49629629629</v>
      </c>
      <c r="E19" s="254">
        <f>-'DATI PROGETTO E FINANZIAMENTO'!D161-'DATI PROGETTO E FINANZIAMENTO'!D162</f>
        <v>-100449.49629629629</v>
      </c>
      <c r="F19" s="254">
        <f>-'DATI PROGETTO E FINANZIAMENTO'!E161-'DATI PROGETTO E FINANZIAMENTO'!E162</f>
        <v>-120539.36592592593</v>
      </c>
      <c r="G19" s="254">
        <f>-'DATI PROGETTO E FINANZIAMENTO'!F161-'DATI PROGETTO E FINANZIAMENTO'!F162</f>
        <v>-120539.36592592593</v>
      </c>
      <c r="H19" s="254">
        <f>-'DATI PROGETTO E FINANZIAMENTO'!G161-'DATI PROGETTO E FINANZIAMENTO'!G162</f>
        <v>-120539.36592592593</v>
      </c>
      <c r="I19" s="254">
        <f>-'DATI PROGETTO E FINANZIAMENTO'!H161-'DATI PROGETTO E FINANZIAMENTO'!H162</f>
        <v>-126279.33925925927</v>
      </c>
      <c r="J19" s="254">
        <f>-'DATI PROGETTO E FINANZIAMENTO'!I161-'DATI PROGETTO E FINANZIAMENTO'!I162</f>
        <v>-126279.33925925927</v>
      </c>
      <c r="K19" s="254">
        <f>-'DATI PROGETTO E FINANZIAMENTO'!J161-'DATI PROGETTO E FINANZIAMENTO'!J162</f>
        <v>-126279.33925925927</v>
      </c>
      <c r="L19" s="254">
        <f>-'DATI PROGETTO E FINANZIAMENTO'!K161-'DATI PROGETTO E FINANZIAMENTO'!K162</f>
        <v>-132019.31259259259</v>
      </c>
      <c r="M19" s="254">
        <f>-'DATI PROGETTO E FINANZIAMENTO'!L161-'DATI PROGETTO E FINANZIAMENTO'!L162</f>
        <v>-132019.31259259259</v>
      </c>
      <c r="N19" s="254">
        <f>-'DATI PROGETTO E FINANZIAMENTO'!M161-'DATI PROGETTO E FINANZIAMENTO'!M162</f>
        <v>-132019.31259259259</v>
      </c>
      <c r="O19" s="254">
        <f>-'DATI PROGETTO E FINANZIAMENTO'!N161-'DATI PROGETTO E FINANZIAMENTO'!N162</f>
        <v>-132019.31259259259</v>
      </c>
      <c r="P19" s="254">
        <f>-'DATI PROGETTO E FINANZIAMENTO'!O161-'DATI PROGETTO E FINANZIAMENTO'!O162</f>
        <v>-137759.28592592591</v>
      </c>
      <c r="Q19" s="254">
        <f>-'DATI PROGETTO E FINANZIAMENTO'!P161-'DATI PROGETTO E FINANZIAMENTO'!P162</f>
        <v>-137759.28592592591</v>
      </c>
      <c r="R19" s="254">
        <f>-'DATI PROGETTO E FINANZIAMENTO'!Q161-'DATI PROGETTO E FINANZIAMENTO'!Q162</f>
        <v>-137759.28592592591</v>
      </c>
      <c r="S19" s="254">
        <f>-'DATI PROGETTO E FINANZIAMENTO'!R161-'DATI PROGETTO E FINANZIAMENTO'!R162</f>
        <v>-143499.25925925927</v>
      </c>
      <c r="T19" s="254">
        <f>-'DATI PROGETTO E FINANZIAMENTO'!S161-'DATI PROGETTO E FINANZIAMENTO'!S162</f>
        <v>-143499.25925925927</v>
      </c>
      <c r="U19" s="254">
        <f>-'DATI PROGETTO E FINANZIAMENTO'!T161-'DATI PROGETTO E FINANZIAMENTO'!T162</f>
        <v>-143499.25925925927</v>
      </c>
      <c r="V19" s="254">
        <f>-'DATI PROGETTO E FINANZIAMENTO'!U161-'DATI PROGETTO E FINANZIAMENTO'!U162</f>
        <v>-149239.2325925926</v>
      </c>
      <c r="W19" s="254">
        <f>-'DATI PROGETTO E FINANZIAMENTO'!V161-'DATI PROGETTO E FINANZIAMENTO'!V162</f>
        <v>-149239.2325925926</v>
      </c>
      <c r="X19" s="254">
        <f>-'DATI PROGETTO E FINANZIAMENTO'!W161-'DATI PROGETTO E FINANZIAMENTO'!W162</f>
        <v>-149239.2325925926</v>
      </c>
      <c r="Y19" s="254">
        <f>-'DATI PROGETTO E FINANZIAMENTO'!X161-'DATI PROGETTO E FINANZIAMENTO'!X162</f>
        <v>-154979.20592592595</v>
      </c>
      <c r="Z19" s="254">
        <f>-'DATI PROGETTO E FINANZIAMENTO'!Y161-'DATI PROGETTO E FINANZIAMENTO'!Y162</f>
        <v>-154979.20592592595</v>
      </c>
      <c r="AA19" s="254">
        <f>-'DATI PROGETTO E FINANZIAMENTO'!Z161-'DATI PROGETTO E FINANZIAMENTO'!Z162</f>
        <v>-154979.20592592595</v>
      </c>
      <c r="AB19" s="254">
        <f>-'DATI PROGETTO E FINANZIAMENTO'!AA161-'DATI PROGETTO E FINANZIAMENTO'!AA162</f>
        <v>-160719.17925925925</v>
      </c>
      <c r="AC19" s="254">
        <f>-'DATI PROGETTO E FINANZIAMENTO'!AB161-'DATI PROGETTO E FINANZIAMENTO'!AB162</f>
        <v>-160719.17925925925</v>
      </c>
      <c r="AD19" s="254">
        <f>-'DATI PROGETTO E FINANZIAMENTO'!AC161-'DATI PROGETTO E FINANZIAMENTO'!AC162</f>
        <v>-160719.17925925925</v>
      </c>
      <c r="AE19" s="254">
        <f>-'DATI PROGETTO E FINANZIAMENTO'!AD161-'DATI PROGETTO E FINANZIAMENTO'!AD162</f>
        <v>-166459.15259259258</v>
      </c>
      <c r="AF19" s="254">
        <f>-'DATI PROGETTO E FINANZIAMENTO'!AE161-'DATI PROGETTO E FINANZIAMENTO'!AE162</f>
        <v>-166459.15259259258</v>
      </c>
      <c r="AG19" s="254">
        <f>-'DATI PROGETTO E FINANZIAMENTO'!AF161-'DATI PROGETTO E FINANZIAMENTO'!AF162</f>
        <v>-166459.15259259258</v>
      </c>
    </row>
    <row r="20" spans="1:34" ht="25.5" customHeight="1" x14ac:dyDescent="0.2">
      <c r="A20" s="265" t="s">
        <v>243</v>
      </c>
      <c r="B20" s="265"/>
      <c r="C20" s="280">
        <f t="shared" si="1"/>
        <v>-145904.74074074076</v>
      </c>
      <c r="D20" s="273">
        <f>-'DATI PROGETTO E FINANZIAMENTO'!C163</f>
        <v>-5611.7037037037035</v>
      </c>
      <c r="E20" s="254">
        <f>-'DATI PROGETTO E FINANZIAMENTO'!D163</f>
        <v>-5611.7037037037035</v>
      </c>
      <c r="F20" s="254">
        <f>-'DATI PROGETTO E FINANZIAMENTO'!E163</f>
        <v>-6734.0740740740739</v>
      </c>
      <c r="G20" s="254">
        <f>-'DATI PROGETTO E FINANZIAMENTO'!F163</f>
        <v>-6734.0740740740739</v>
      </c>
      <c r="H20" s="254">
        <f>-'DATI PROGETTO E FINANZIAMENTO'!G163</f>
        <v>-6734.0740740740739</v>
      </c>
      <c r="I20" s="254">
        <f>-'DATI PROGETTO E FINANZIAMENTO'!H163</f>
        <v>-7054.7407407407409</v>
      </c>
      <c r="J20" s="254">
        <f>-'DATI PROGETTO E FINANZIAMENTO'!I163</f>
        <v>-7054.7407407407409</v>
      </c>
      <c r="K20" s="254">
        <f>-'DATI PROGETTO E FINANZIAMENTO'!J163</f>
        <v>-7054.7407407407409</v>
      </c>
      <c r="L20" s="254">
        <f>-'DATI PROGETTO E FINANZIAMENTO'!K163</f>
        <v>-7375.4074074074078</v>
      </c>
      <c r="M20" s="254">
        <f>-'DATI PROGETTO E FINANZIAMENTO'!L163</f>
        <v>-7375.4074074074078</v>
      </c>
      <c r="N20" s="254">
        <f>-'DATI PROGETTO E FINANZIAMENTO'!M163</f>
        <v>-7375.4074074074078</v>
      </c>
      <c r="O20" s="254">
        <f>-'DATI PROGETTO E FINANZIAMENTO'!N163</f>
        <v>-7375.4074074074078</v>
      </c>
      <c r="P20" s="254">
        <f>-'DATI PROGETTO E FINANZIAMENTO'!O163</f>
        <v>-7696.0740740740739</v>
      </c>
      <c r="Q20" s="254">
        <f>-'DATI PROGETTO E FINANZIAMENTO'!P163</f>
        <v>-7696.0740740740739</v>
      </c>
      <c r="R20" s="254">
        <f>-'DATI PROGETTO E FINANZIAMENTO'!Q163</f>
        <v>-7696.0740740740739</v>
      </c>
      <c r="S20" s="254">
        <f>-'DATI PROGETTO E FINANZIAMENTO'!R163</f>
        <v>-8016.7407407407409</v>
      </c>
      <c r="T20" s="254">
        <f>-'DATI PROGETTO E FINANZIAMENTO'!S163</f>
        <v>-8016.7407407407409</v>
      </c>
      <c r="U20" s="254">
        <f>-'DATI PROGETTO E FINANZIAMENTO'!T163</f>
        <v>-8016.7407407407409</v>
      </c>
      <c r="V20" s="254">
        <f>-'DATI PROGETTO E FINANZIAMENTO'!U163</f>
        <v>-8337.4074074074069</v>
      </c>
      <c r="W20" s="254">
        <f>-'DATI PROGETTO E FINANZIAMENTO'!V163</f>
        <v>-8337.4074074074069</v>
      </c>
      <c r="X20" s="254">
        <f>-'DATI PROGETTO E FINANZIAMENTO'!W163</f>
        <v>-8337.4074074074069</v>
      </c>
      <c r="Y20" s="254">
        <f>-'DATI PROGETTO E FINANZIAMENTO'!X163</f>
        <v>-8658.0740740740748</v>
      </c>
      <c r="Z20" s="254">
        <f>-'DATI PROGETTO E FINANZIAMENTO'!Y163</f>
        <v>-8658.0740740740748</v>
      </c>
      <c r="AA20" s="254">
        <f>-'DATI PROGETTO E FINANZIAMENTO'!Z163</f>
        <v>-8658.0740740740748</v>
      </c>
      <c r="AB20" s="254">
        <f>-'DATI PROGETTO E FINANZIAMENTO'!AA163</f>
        <v>-8978.7407407407409</v>
      </c>
      <c r="AC20" s="254">
        <f>-'DATI PROGETTO E FINANZIAMENTO'!AB163</f>
        <v>-8978.7407407407409</v>
      </c>
      <c r="AD20" s="254">
        <f>-'DATI PROGETTO E FINANZIAMENTO'!AC163</f>
        <v>-8978.7407407407409</v>
      </c>
      <c r="AE20" s="254">
        <f>-'DATI PROGETTO E FINANZIAMENTO'!AD163</f>
        <v>-9299.4074074074069</v>
      </c>
      <c r="AF20" s="254">
        <f>-'DATI PROGETTO E FINANZIAMENTO'!AE163</f>
        <v>-9299.4074074074069</v>
      </c>
      <c r="AG20" s="254">
        <f>-'DATI PROGETTO E FINANZIAMENTO'!AF163</f>
        <v>-9299.4074074074069</v>
      </c>
    </row>
    <row r="21" spans="1:34" ht="25.5" customHeight="1" thickBot="1" x14ac:dyDescent="0.25">
      <c r="A21" s="265" t="s">
        <v>244</v>
      </c>
      <c r="B21" s="265"/>
      <c r="C21" s="280">
        <f t="shared" si="1"/>
        <v>-18292.836478583122</v>
      </c>
      <c r="D21" s="273">
        <f>-'DATI PROGETTO E FINANZIAMENTO'!C123</f>
        <v>-3099.9999999999854</v>
      </c>
      <c r="E21" s="254">
        <f>-'DATI PROGETTO E FINANZIAMENTO'!D123</f>
        <v>-2853.5358176070731</v>
      </c>
      <c r="F21" s="254">
        <f>-'DATI PROGETTO E FINANZIAMENTO'!E123</f>
        <v>-2594.7484260945421</v>
      </c>
      <c r="G21" s="254">
        <f>-'DATI PROGETTO E FINANZIAMENTO'!F123</f>
        <v>-2323.0216650063085</v>
      </c>
      <c r="H21" s="254">
        <f>-'DATI PROGETTO E FINANZIAMENTO'!G123</f>
        <v>-2037.7085658637516</v>
      </c>
      <c r="I21" s="254">
        <f>-'DATI PROGETTO E FINANZIAMENTO'!H123</f>
        <v>-1738.129811763989</v>
      </c>
      <c r="J21" s="254">
        <f>-'DATI PROGETTO E FINANZIAMENTO'!I123</f>
        <v>-1423.5721199593063</v>
      </c>
      <c r="K21" s="254">
        <f>-'DATI PROGETTO E FINANZIAMENTO'!J123</f>
        <v>-1093.2865435643253</v>
      </c>
      <c r="L21" s="254">
        <f>-'DATI PROGETTO E FINANZIAMENTO'!K123</f>
        <v>-746.48668834964155</v>
      </c>
      <c r="M21" s="254">
        <f>-'DATI PROGETTO E FINANZIAMENTO'!L123</f>
        <v>-382.34684037419902</v>
      </c>
      <c r="N21" s="112">
        <f>-'DATI PROGETTO E FINANZIAMENTO'!M123</f>
        <v>0</v>
      </c>
      <c r="O21" s="112">
        <f>-'DATI PROGETTO E FINANZIAMENTO'!N123</f>
        <v>0</v>
      </c>
      <c r="P21" s="112">
        <f>-'DATI PROGETTO E FINANZIAMENTO'!O123</f>
        <v>0</v>
      </c>
      <c r="Q21" s="112">
        <f>-'DATI PROGETTO E FINANZIAMENTO'!P123</f>
        <v>0</v>
      </c>
      <c r="R21" s="112">
        <f>-'DATI PROGETTO E FINANZIAMENTO'!Q123</f>
        <v>0</v>
      </c>
      <c r="S21" s="112">
        <f>-'DATI PROGETTO E FINANZIAMENTO'!R123</f>
        <v>0</v>
      </c>
      <c r="T21" s="112">
        <f>-'DATI PROGETTO E FINANZIAMENTO'!S123</f>
        <v>0</v>
      </c>
      <c r="U21" s="112">
        <f>-'DATI PROGETTO E FINANZIAMENTO'!T123</f>
        <v>0</v>
      </c>
      <c r="V21" s="112">
        <f>-'DATI PROGETTO E FINANZIAMENTO'!U123</f>
        <v>0</v>
      </c>
      <c r="W21" s="112">
        <f>-'DATI PROGETTO E FINANZIAMENTO'!V123</f>
        <v>0</v>
      </c>
      <c r="X21" s="112">
        <f>-'DATI PROGETTO E FINANZIAMENTO'!W123</f>
        <v>0</v>
      </c>
      <c r="Y21" s="112">
        <f>-'DATI PROGETTO E FINANZIAMENTO'!X123</f>
        <v>0</v>
      </c>
      <c r="Z21" s="112">
        <f>-'DATI PROGETTO E FINANZIAMENTO'!Y123</f>
        <v>0</v>
      </c>
      <c r="AA21" s="112">
        <f>-'DATI PROGETTO E FINANZIAMENTO'!Z123</f>
        <v>0</v>
      </c>
      <c r="AB21" s="112">
        <f>-'DATI PROGETTO E FINANZIAMENTO'!AA123</f>
        <v>0</v>
      </c>
      <c r="AC21" s="112">
        <f>-'DATI PROGETTO E FINANZIAMENTO'!AB123</f>
        <v>0</v>
      </c>
      <c r="AD21" s="112">
        <f>-'DATI PROGETTO E FINANZIAMENTO'!AC123</f>
        <v>0</v>
      </c>
      <c r="AE21" s="112">
        <f>-'DATI PROGETTO E FINANZIAMENTO'!AD123</f>
        <v>0</v>
      </c>
      <c r="AF21" s="112">
        <f>-'DATI PROGETTO E FINANZIAMENTO'!AE123</f>
        <v>0</v>
      </c>
      <c r="AG21" s="112">
        <f>-'DATI PROGETTO E FINANZIAMENTO'!AF123</f>
        <v>0</v>
      </c>
    </row>
    <row r="22" spans="1:34" ht="25.5" hidden="1" customHeight="1" x14ac:dyDescent="0.2">
      <c r="A22" s="265" t="s">
        <v>245</v>
      </c>
      <c r="B22" s="265"/>
      <c r="C22" s="280">
        <f t="shared" si="1"/>
        <v>0</v>
      </c>
      <c r="D22" s="116">
        <v>0</v>
      </c>
      <c r="E22" s="112">
        <v>0</v>
      </c>
      <c r="F22" s="112">
        <v>0</v>
      </c>
      <c r="G22" s="112">
        <v>0</v>
      </c>
      <c r="H22" s="112">
        <v>0</v>
      </c>
      <c r="I22" s="112">
        <v>0</v>
      </c>
      <c r="J22" s="112">
        <v>0</v>
      </c>
      <c r="K22" s="112">
        <v>0</v>
      </c>
      <c r="L22" s="112">
        <v>0</v>
      </c>
      <c r="M22" s="112">
        <v>0</v>
      </c>
      <c r="N22" s="112">
        <v>0</v>
      </c>
      <c r="O22" s="112">
        <v>0</v>
      </c>
      <c r="P22" s="112">
        <v>0</v>
      </c>
      <c r="Q22" s="112">
        <v>0</v>
      </c>
      <c r="R22" s="112">
        <v>0</v>
      </c>
      <c r="S22" s="112">
        <v>0</v>
      </c>
      <c r="T22" s="112">
        <v>0</v>
      </c>
      <c r="U22" s="112">
        <v>0</v>
      </c>
      <c r="V22" s="112">
        <v>0</v>
      </c>
      <c r="W22" s="112">
        <v>0</v>
      </c>
      <c r="X22" s="112">
        <v>0</v>
      </c>
      <c r="Y22" s="112">
        <v>0</v>
      </c>
      <c r="Z22" s="112">
        <v>0</v>
      </c>
      <c r="AA22" s="112">
        <v>0</v>
      </c>
      <c r="AB22" s="112">
        <v>0</v>
      </c>
      <c r="AC22" s="112">
        <v>0</v>
      </c>
      <c r="AD22" s="112">
        <v>0</v>
      </c>
      <c r="AE22" s="112">
        <v>0</v>
      </c>
      <c r="AF22" s="112">
        <v>0</v>
      </c>
      <c r="AG22" s="112">
        <v>0</v>
      </c>
    </row>
    <row r="23" spans="1:34" ht="25.5" hidden="1" customHeight="1" x14ac:dyDescent="0.2">
      <c r="A23" s="265" t="s">
        <v>268</v>
      </c>
      <c r="B23" s="265"/>
      <c r="C23" s="280">
        <f t="shared" si="1"/>
        <v>0</v>
      </c>
      <c r="D23" s="116">
        <v>0</v>
      </c>
      <c r="E23" s="112">
        <v>0</v>
      </c>
      <c r="F23" s="112">
        <v>0</v>
      </c>
      <c r="G23" s="112">
        <v>0</v>
      </c>
      <c r="H23" s="112">
        <v>0</v>
      </c>
      <c r="I23" s="112">
        <v>0</v>
      </c>
      <c r="J23" s="112">
        <v>0</v>
      </c>
      <c r="K23" s="112">
        <v>0</v>
      </c>
      <c r="L23" s="112">
        <v>0</v>
      </c>
      <c r="M23" s="112">
        <v>0</v>
      </c>
      <c r="N23" s="112">
        <v>0</v>
      </c>
      <c r="O23" s="112">
        <v>0</v>
      </c>
      <c r="P23" s="112">
        <v>0</v>
      </c>
      <c r="Q23" s="112">
        <v>0</v>
      </c>
      <c r="R23" s="112">
        <v>0</v>
      </c>
      <c r="S23" s="112">
        <v>0</v>
      </c>
      <c r="T23" s="112">
        <v>0</v>
      </c>
      <c r="U23" s="112">
        <v>0</v>
      </c>
      <c r="V23" s="112">
        <v>0</v>
      </c>
      <c r="W23" s="112">
        <v>0</v>
      </c>
      <c r="X23" s="112">
        <v>0</v>
      </c>
      <c r="Y23" s="112">
        <v>0</v>
      </c>
      <c r="Z23" s="112">
        <v>0</v>
      </c>
      <c r="AA23" s="112">
        <v>0</v>
      </c>
      <c r="AB23" s="112">
        <v>0</v>
      </c>
      <c r="AC23" s="112">
        <v>0</v>
      </c>
      <c r="AD23" s="112">
        <v>0</v>
      </c>
      <c r="AE23" s="112">
        <v>0</v>
      </c>
      <c r="AF23" s="112">
        <v>0</v>
      </c>
      <c r="AG23" s="112">
        <v>0</v>
      </c>
    </row>
    <row r="24" spans="1:34" ht="25.5" hidden="1" customHeight="1" x14ac:dyDescent="0.2">
      <c r="A24" s="265"/>
      <c r="B24" s="265"/>
      <c r="C24" s="280">
        <f t="shared" si="1"/>
        <v>0</v>
      </c>
      <c r="D24" s="116">
        <v>0</v>
      </c>
      <c r="E24" s="112">
        <v>0</v>
      </c>
      <c r="F24" s="112">
        <v>0</v>
      </c>
      <c r="G24" s="112">
        <v>0</v>
      </c>
      <c r="H24" s="112">
        <v>0</v>
      </c>
      <c r="I24" s="112">
        <v>0</v>
      </c>
      <c r="J24" s="112">
        <v>0</v>
      </c>
      <c r="K24" s="112">
        <v>0</v>
      </c>
      <c r="L24" s="112">
        <v>0</v>
      </c>
      <c r="M24" s="112">
        <v>0</v>
      </c>
      <c r="N24" s="112">
        <v>0</v>
      </c>
      <c r="O24" s="112">
        <v>0</v>
      </c>
      <c r="P24" s="112">
        <v>0</v>
      </c>
      <c r="Q24" s="112">
        <v>0</v>
      </c>
      <c r="R24" s="112">
        <v>0</v>
      </c>
      <c r="S24" s="112">
        <v>0</v>
      </c>
      <c r="T24" s="112">
        <v>0</v>
      </c>
      <c r="U24" s="112">
        <v>0</v>
      </c>
      <c r="V24" s="112">
        <v>0</v>
      </c>
      <c r="W24" s="112">
        <v>0</v>
      </c>
      <c r="X24" s="112">
        <v>0</v>
      </c>
      <c r="Y24" s="112">
        <v>0</v>
      </c>
      <c r="Z24" s="112">
        <v>0</v>
      </c>
      <c r="AA24" s="112">
        <v>0</v>
      </c>
      <c r="AB24" s="112">
        <v>0</v>
      </c>
      <c r="AC24" s="112">
        <v>0</v>
      </c>
      <c r="AD24" s="112">
        <v>0</v>
      </c>
      <c r="AE24" s="112">
        <v>0</v>
      </c>
      <c r="AF24" s="112">
        <v>0</v>
      </c>
      <c r="AG24" s="112">
        <v>0</v>
      </c>
    </row>
    <row r="25" spans="1:34" ht="25.5" hidden="1" customHeight="1" thickBot="1" x14ac:dyDescent="0.25">
      <c r="A25" s="268"/>
      <c r="B25" s="268"/>
      <c r="C25" s="280">
        <f t="shared" si="1"/>
        <v>0</v>
      </c>
      <c r="D25" s="116">
        <v>0</v>
      </c>
      <c r="E25" s="112">
        <v>0</v>
      </c>
      <c r="F25" s="112">
        <v>0</v>
      </c>
      <c r="G25" s="112">
        <v>0</v>
      </c>
      <c r="H25" s="112">
        <v>0</v>
      </c>
      <c r="I25" s="112">
        <v>0</v>
      </c>
      <c r="J25" s="112">
        <v>0</v>
      </c>
      <c r="K25" s="112">
        <v>0</v>
      </c>
      <c r="L25" s="112">
        <v>0</v>
      </c>
      <c r="M25" s="112">
        <v>0</v>
      </c>
      <c r="N25" s="112">
        <v>0</v>
      </c>
      <c r="O25" s="112">
        <v>0</v>
      </c>
      <c r="P25" s="112">
        <v>0</v>
      </c>
      <c r="Q25" s="112">
        <v>0</v>
      </c>
      <c r="R25" s="112">
        <v>0</v>
      </c>
      <c r="S25" s="112">
        <v>0</v>
      </c>
      <c r="T25" s="112">
        <v>0</v>
      </c>
      <c r="U25" s="112">
        <v>0</v>
      </c>
      <c r="V25" s="112">
        <v>0</v>
      </c>
      <c r="W25" s="112">
        <v>0</v>
      </c>
      <c r="X25" s="112">
        <v>0</v>
      </c>
      <c r="Y25" s="112">
        <v>0</v>
      </c>
      <c r="Z25" s="112">
        <v>0</v>
      </c>
      <c r="AA25" s="112">
        <v>0</v>
      </c>
      <c r="AB25" s="112">
        <v>0</v>
      </c>
      <c r="AC25" s="112">
        <v>0</v>
      </c>
      <c r="AD25" s="112">
        <v>0</v>
      </c>
      <c r="AE25" s="112">
        <v>0</v>
      </c>
      <c r="AF25" s="112">
        <v>0</v>
      </c>
      <c r="AG25" s="112">
        <v>0</v>
      </c>
    </row>
    <row r="26" spans="1:34" ht="25.5" customHeight="1" thickBot="1" x14ac:dyDescent="0.25">
      <c r="A26" s="259" t="s">
        <v>22</v>
      </c>
      <c r="B26" s="278"/>
      <c r="C26" s="279">
        <f>+SUM(C12:C25)</f>
        <v>-5965017.0364785828</v>
      </c>
      <c r="D26" s="260">
        <f>SUM(D12:D25)</f>
        <v>-229383.2</v>
      </c>
      <c r="E26" s="260">
        <f t="shared" ref="E26:AG26" si="3">SUM(E12:E25)</f>
        <v>-240575.73581760708</v>
      </c>
      <c r="F26" s="260">
        <f t="shared" si="3"/>
        <v>-274441.18842609454</v>
      </c>
      <c r="G26" s="260">
        <f t="shared" si="3"/>
        <v>-286293.4616650063</v>
      </c>
      <c r="H26" s="260">
        <f t="shared" si="3"/>
        <v>-296203.14856586372</v>
      </c>
      <c r="I26" s="260">
        <f t="shared" si="3"/>
        <v>-305043.20981176401</v>
      </c>
      <c r="J26" s="260">
        <f t="shared" si="3"/>
        <v>-305854.6521199593</v>
      </c>
      <c r="K26" s="260">
        <f t="shared" si="3"/>
        <v>-305784.36654356436</v>
      </c>
      <c r="L26" s="260">
        <f t="shared" si="3"/>
        <v>-313165.2066883496</v>
      </c>
      <c r="M26" s="260">
        <f t="shared" si="3"/>
        <v>-313910.06684037414</v>
      </c>
      <c r="N26" s="260">
        <f t="shared" si="3"/>
        <v>-305278.71999999997</v>
      </c>
      <c r="O26" s="260">
        <f t="shared" si="3"/>
        <v>-292798.71999999997</v>
      </c>
      <c r="P26" s="260">
        <f t="shared" si="3"/>
        <v>-303445.36000000004</v>
      </c>
      <c r="Q26" s="260">
        <f t="shared" si="3"/>
        <v>-305005.36000000004</v>
      </c>
      <c r="R26" s="260">
        <f t="shared" si="3"/>
        <v>-306567.36000000004</v>
      </c>
      <c r="S26" s="260">
        <f t="shared" si="3"/>
        <v>-310594</v>
      </c>
      <c r="T26" s="260">
        <f t="shared" si="3"/>
        <v>-312199</v>
      </c>
      <c r="U26" s="260">
        <f t="shared" si="3"/>
        <v>-313806</v>
      </c>
      <c r="V26" s="260">
        <f t="shared" si="3"/>
        <v>-321510.64</v>
      </c>
      <c r="W26" s="260">
        <f t="shared" si="3"/>
        <v>-323157.64</v>
      </c>
      <c r="X26" s="260">
        <f t="shared" si="3"/>
        <v>-343806.64</v>
      </c>
      <c r="Y26" s="260">
        <f t="shared" si="3"/>
        <v>-351393.28000000009</v>
      </c>
      <c r="Z26" s="260">
        <f t="shared" si="3"/>
        <v>-352918.28000000009</v>
      </c>
      <c r="AA26" s="260">
        <f t="shared" si="3"/>
        <v>-354484.28000000009</v>
      </c>
      <c r="AB26" s="260">
        <f t="shared" si="3"/>
        <v>-362109.92</v>
      </c>
      <c r="AC26" s="260">
        <f t="shared" si="3"/>
        <v>-363675.92</v>
      </c>
      <c r="AD26" s="260">
        <f t="shared" si="3"/>
        <v>-365278.92</v>
      </c>
      <c r="AE26" s="260">
        <f t="shared" si="3"/>
        <v>-372940.56</v>
      </c>
      <c r="AF26" s="260">
        <f t="shared" si="3"/>
        <v>-374579.56</v>
      </c>
      <c r="AG26" s="260">
        <f t="shared" si="3"/>
        <v>-376217.56</v>
      </c>
    </row>
    <row r="27" spans="1:34" ht="25.5" customHeight="1" thickBot="1" x14ac:dyDescent="0.25">
      <c r="A27" s="259" t="s">
        <v>151</v>
      </c>
      <c r="B27" s="264"/>
      <c r="C27" s="251">
        <f>SUM(D27:AG27)</f>
        <v>-37287</v>
      </c>
      <c r="D27" s="250">
        <f>-'DATI PROGETTO E FINANZIAMENTO'!C129</f>
        <v>-450</v>
      </c>
      <c r="E27" s="250">
        <f>-'DATI PROGETTO E FINANZIAMENTO'!D129</f>
        <v>-792</v>
      </c>
      <c r="F27" s="250">
        <f>-'DATI PROGETTO E FINANZIAMENTO'!E129</f>
        <v>-488</v>
      </c>
      <c r="G27" s="250">
        <f>-'DATI PROGETTO E FINANZIAMENTO'!F129</f>
        <v>-881</v>
      </c>
      <c r="H27" s="250">
        <f>-'DATI PROGETTO E FINANZIAMENTO'!G129</f>
        <v>-1273</v>
      </c>
      <c r="I27" s="250">
        <f>-'DATI PROGETTO E FINANZIAMENTO'!H129</f>
        <v>-1222</v>
      </c>
      <c r="J27" s="250">
        <f>-'DATI PROGETTO E FINANZIAMENTO'!I129</f>
        <v>-1416</v>
      </c>
      <c r="K27" s="250">
        <f>-'DATI PROGETTO E FINANZIAMENTO'!J129</f>
        <v>-1648</v>
      </c>
      <c r="L27" s="250">
        <f>-'DATI PROGETTO E FINANZIAMENTO'!K129</f>
        <v>-1655</v>
      </c>
      <c r="M27" s="250">
        <f>-'DATI PROGETTO E FINANZIAMENTO'!L129</f>
        <v>-1756</v>
      </c>
      <c r="N27" s="250">
        <f>-'DATI PROGETTO E FINANZIAMENTO'!M129</f>
        <v>-2141</v>
      </c>
      <c r="O27" s="250">
        <f>-'DATI PROGETTO E FINANZIAMENTO'!N129</f>
        <v>-1354</v>
      </c>
      <c r="P27" s="250">
        <f>-'DATI PROGETTO E FINANZIAMENTO'!O129</f>
        <v>-1366</v>
      </c>
      <c r="Q27" s="250">
        <f>-'DATI PROGETTO E FINANZIAMENTO'!P129</f>
        <v>-1426</v>
      </c>
      <c r="R27" s="250">
        <f>-'DATI PROGETTO E FINANZIAMENTO'!Q129</f>
        <v>-1486</v>
      </c>
      <c r="S27" s="250">
        <f>-'DATI PROGETTO E FINANZIAMENTO'!R129</f>
        <v>-1473</v>
      </c>
      <c r="T27" s="250">
        <f>-'DATI PROGETTO E FINANZIAMENTO'!S129</f>
        <v>-1535</v>
      </c>
      <c r="U27" s="250">
        <f>-'DATI PROGETTO E FINANZIAMENTO'!T129</f>
        <v>-1597</v>
      </c>
      <c r="V27" s="250">
        <f>-'DATI PROGETTO E FINANZIAMENTO'!U129</f>
        <v>-1478</v>
      </c>
      <c r="W27" s="250">
        <f>-'DATI PROGETTO E FINANZIAMENTO'!V129</f>
        <v>-1542</v>
      </c>
      <c r="X27" s="250">
        <f>-'DATI PROGETTO E FINANZIAMENTO'!W129</f>
        <v>-1035</v>
      </c>
      <c r="Y27" s="250">
        <f>-'DATI PROGETTO E FINANZIAMENTO'!X129</f>
        <v>-924</v>
      </c>
      <c r="Z27" s="250">
        <f>-'DATI PROGETTO E FINANZIAMENTO'!Y129</f>
        <v>-994</v>
      </c>
      <c r="AA27" s="250">
        <f>-'DATI PROGETTO E FINANZIAMENTO'!Z129</f>
        <v>-1065</v>
      </c>
      <c r="AB27" s="250">
        <f>-'DATI PROGETTO E FINANZIAMENTO'!AA129</f>
        <v>-956</v>
      </c>
      <c r="AC27" s="250">
        <f>-'DATI PROGETTO E FINANZIAMENTO'!AB129</f>
        <v>-1028</v>
      </c>
      <c r="AD27" s="250">
        <f>-'DATI PROGETTO E FINANZIAMENTO'!AC129</f>
        <v>-1101</v>
      </c>
      <c r="AE27" s="250">
        <f>-'DATI PROGETTO E FINANZIAMENTO'!AD129</f>
        <v>-993</v>
      </c>
      <c r="AF27" s="250">
        <f>-'DATI PROGETTO E FINANZIAMENTO'!AE129</f>
        <v>-1068</v>
      </c>
      <c r="AG27" s="250">
        <f>-'DATI PROGETTO E FINANZIAMENTO'!AF129</f>
        <v>-1144</v>
      </c>
    </row>
    <row r="28" spans="1:34" ht="25.5" customHeight="1" thickBot="1" x14ac:dyDescent="0.25">
      <c r="A28" s="113" t="s">
        <v>23</v>
      </c>
      <c r="B28" s="264"/>
      <c r="C28" s="119">
        <f>+C26+C11+C27</f>
        <v>861955.96352141723</v>
      </c>
      <c r="D28" s="261">
        <f>+D26+D11+D27</f>
        <v>14546.799999999988</v>
      </c>
      <c r="E28" s="261">
        <f t="shared" ref="E28:AG28" si="4">+E26+E11+E27</f>
        <v>25607.264182392915</v>
      </c>
      <c r="F28" s="261">
        <f t="shared" si="4"/>
        <v>15777.811573905463</v>
      </c>
      <c r="G28" s="261">
        <f t="shared" si="4"/>
        <v>28501.538334993704</v>
      </c>
      <c r="H28" s="261">
        <f t="shared" si="4"/>
        <v>41145.851434136275</v>
      </c>
      <c r="I28" s="261">
        <f t="shared" si="4"/>
        <v>39509.790188235987</v>
      </c>
      <c r="J28" s="261">
        <f t="shared" si="4"/>
        <v>45770.347880040703</v>
      </c>
      <c r="K28" s="261">
        <f t="shared" si="4"/>
        <v>53292.633456435637</v>
      </c>
      <c r="L28" s="261">
        <f t="shared" si="4"/>
        <v>53508.793311650399</v>
      </c>
      <c r="M28" s="261">
        <f t="shared" si="4"/>
        <v>56781.933159625856</v>
      </c>
      <c r="N28" s="261">
        <f t="shared" si="4"/>
        <v>69242.280000000028</v>
      </c>
      <c r="O28" s="261">
        <f t="shared" si="4"/>
        <v>43762.280000000028</v>
      </c>
      <c r="P28" s="261">
        <f t="shared" si="4"/>
        <v>44155.639999999956</v>
      </c>
      <c r="Q28" s="261">
        <f t="shared" si="4"/>
        <v>46099.639999999956</v>
      </c>
      <c r="R28" s="261">
        <f t="shared" si="4"/>
        <v>48044.639999999956</v>
      </c>
      <c r="S28" s="261">
        <f t="shared" si="4"/>
        <v>47614</v>
      </c>
      <c r="T28" s="261">
        <f t="shared" si="4"/>
        <v>49619</v>
      </c>
      <c r="U28" s="261">
        <f t="shared" si="4"/>
        <v>51625</v>
      </c>
      <c r="V28" s="261">
        <f t="shared" si="4"/>
        <v>47802.359999999986</v>
      </c>
      <c r="W28" s="261">
        <f t="shared" si="4"/>
        <v>49856.359999999986</v>
      </c>
      <c r="X28" s="261" t="e">
        <f t="shared" si="4"/>
        <v>#REF!</v>
      </c>
      <c r="Y28" s="261" t="e">
        <f t="shared" si="4"/>
        <v>#REF!</v>
      </c>
      <c r="Z28" s="261" t="e">
        <f t="shared" si="4"/>
        <v>#REF!</v>
      </c>
      <c r="AA28" s="261" t="e">
        <f t="shared" si="4"/>
        <v>#REF!</v>
      </c>
      <c r="AB28" s="261" t="e">
        <f t="shared" si="4"/>
        <v>#REF!</v>
      </c>
      <c r="AC28" s="261" t="e">
        <f t="shared" si="4"/>
        <v>#REF!</v>
      </c>
      <c r="AD28" s="261" t="e">
        <f t="shared" si="4"/>
        <v>#REF!</v>
      </c>
      <c r="AE28" s="261" t="e">
        <f t="shared" si="4"/>
        <v>#REF!</v>
      </c>
      <c r="AF28" s="261" t="e">
        <f t="shared" si="4"/>
        <v>#REF!</v>
      </c>
      <c r="AG28" s="261" t="e">
        <f t="shared" si="4"/>
        <v>#REF!</v>
      </c>
    </row>
    <row r="29" spans="1:34" ht="11.25" customHeight="1" thickBot="1" x14ac:dyDescent="0.25"/>
    <row r="30" spans="1:34" ht="25.5" customHeight="1" thickBot="1" x14ac:dyDescent="0.25">
      <c r="A30" s="287" t="s">
        <v>52</v>
      </c>
      <c r="B30" s="271" t="s">
        <v>252</v>
      </c>
      <c r="C30" s="407" t="s">
        <v>25</v>
      </c>
      <c r="D30" s="408">
        <f>+D5</f>
        <v>2024</v>
      </c>
      <c r="E30" s="408">
        <f t="shared" ref="E30:W30" si="5">+E5</f>
        <v>2025</v>
      </c>
      <c r="F30" s="408">
        <f t="shared" si="5"/>
        <v>2026</v>
      </c>
      <c r="G30" s="408">
        <f t="shared" si="5"/>
        <v>2027</v>
      </c>
      <c r="H30" s="408">
        <f t="shared" si="5"/>
        <v>2028</v>
      </c>
      <c r="I30" s="408">
        <f t="shared" si="5"/>
        <v>2029</v>
      </c>
      <c r="J30" s="408">
        <f t="shared" si="5"/>
        <v>2030</v>
      </c>
      <c r="K30" s="408">
        <f t="shared" si="5"/>
        <v>2031</v>
      </c>
      <c r="L30" s="408">
        <f t="shared" si="5"/>
        <v>2032</v>
      </c>
      <c r="M30" s="408">
        <f t="shared" si="5"/>
        <v>2033</v>
      </c>
      <c r="N30" s="408">
        <f t="shared" si="5"/>
        <v>2034</v>
      </c>
      <c r="O30" s="408">
        <f t="shared" si="5"/>
        <v>2035</v>
      </c>
      <c r="P30" s="408">
        <f t="shared" si="5"/>
        <v>2036</v>
      </c>
      <c r="Q30" s="408">
        <f t="shared" si="5"/>
        <v>2037</v>
      </c>
      <c r="R30" s="408">
        <f t="shared" si="5"/>
        <v>2038</v>
      </c>
      <c r="S30" s="408">
        <f t="shared" si="5"/>
        <v>2039</v>
      </c>
      <c r="T30" s="408">
        <f t="shared" si="5"/>
        <v>2040</v>
      </c>
      <c r="U30" s="408">
        <f t="shared" si="5"/>
        <v>2041</v>
      </c>
      <c r="V30" s="408">
        <f t="shared" si="5"/>
        <v>2042</v>
      </c>
      <c r="W30" s="408">
        <f t="shared" si="5"/>
        <v>2043</v>
      </c>
      <c r="X30" s="17">
        <v>21</v>
      </c>
      <c r="Y30" s="17">
        <v>22</v>
      </c>
      <c r="Z30" s="17">
        <v>23</v>
      </c>
      <c r="AA30" s="17">
        <v>24</v>
      </c>
      <c r="AB30" s="17">
        <v>25</v>
      </c>
      <c r="AC30" s="17">
        <v>26</v>
      </c>
      <c r="AD30" s="17">
        <v>27</v>
      </c>
      <c r="AE30" s="17">
        <v>28</v>
      </c>
      <c r="AF30" s="17">
        <v>29</v>
      </c>
      <c r="AG30" s="17">
        <v>30</v>
      </c>
    </row>
    <row r="31" spans="1:34" ht="31.9" customHeight="1" x14ac:dyDescent="0.2">
      <c r="A31" s="269" t="s">
        <v>326</v>
      </c>
      <c r="B31" s="269"/>
      <c r="C31" s="288">
        <f t="shared" ref="C31:C36" si="6">SUM(D31:W31)</f>
        <v>6444615</v>
      </c>
      <c r="D31" s="282">
        <f>+D6</f>
        <v>230400</v>
      </c>
      <c r="E31" s="282">
        <f t="shared" ref="E31:AG31" si="7">+E6</f>
        <v>252144</v>
      </c>
      <c r="F31" s="282">
        <f t="shared" si="7"/>
        <v>275011</v>
      </c>
      <c r="G31" s="282">
        <f t="shared" si="7"/>
        <v>298954</v>
      </c>
      <c r="H31" s="282">
        <f t="shared" si="7"/>
        <v>321024</v>
      </c>
      <c r="I31" s="282">
        <f t="shared" si="7"/>
        <v>327456</v>
      </c>
      <c r="J31" s="282">
        <f t="shared" si="7"/>
        <v>333984</v>
      </c>
      <c r="K31" s="282">
        <f t="shared" si="7"/>
        <v>340704</v>
      </c>
      <c r="L31" s="282">
        <f t="shared" si="7"/>
        <v>347520</v>
      </c>
      <c r="M31" s="282">
        <f t="shared" si="7"/>
        <v>350976</v>
      </c>
      <c r="N31" s="282">
        <f t="shared" si="7"/>
        <v>354528</v>
      </c>
      <c r="O31" s="282">
        <f t="shared" si="7"/>
        <v>315110</v>
      </c>
      <c r="P31" s="282">
        <f t="shared" si="7"/>
        <v>325469</v>
      </c>
      <c r="Q31" s="282">
        <f t="shared" si="7"/>
        <v>328752</v>
      </c>
      <c r="R31" s="282">
        <f t="shared" si="7"/>
        <v>332035</v>
      </c>
      <c r="S31" s="282">
        <f t="shared" si="7"/>
        <v>335318</v>
      </c>
      <c r="T31" s="282">
        <f t="shared" si="7"/>
        <v>338688</v>
      </c>
      <c r="U31" s="282">
        <f t="shared" si="7"/>
        <v>342058</v>
      </c>
      <c r="V31" s="282">
        <f t="shared" si="7"/>
        <v>345514</v>
      </c>
      <c r="W31" s="282">
        <f t="shared" si="7"/>
        <v>348970</v>
      </c>
      <c r="X31" s="281">
        <f t="shared" si="7"/>
        <v>352426</v>
      </c>
      <c r="Y31" s="281">
        <f t="shared" si="7"/>
        <v>355968</v>
      </c>
      <c r="Z31" s="281">
        <f t="shared" si="7"/>
        <v>359510</v>
      </c>
      <c r="AA31" s="281">
        <f t="shared" si="7"/>
        <v>363139</v>
      </c>
      <c r="AB31" s="281">
        <f t="shared" si="7"/>
        <v>366768</v>
      </c>
      <c r="AC31" s="281">
        <f t="shared" si="7"/>
        <v>370397</v>
      </c>
      <c r="AD31" s="281">
        <f t="shared" si="7"/>
        <v>374112</v>
      </c>
      <c r="AE31" s="281">
        <f t="shared" si="7"/>
        <v>377827</v>
      </c>
      <c r="AF31" s="281">
        <f t="shared" si="7"/>
        <v>381629</v>
      </c>
      <c r="AG31" s="281">
        <f t="shared" si="7"/>
        <v>385430</v>
      </c>
      <c r="AH31" s="86"/>
    </row>
    <row r="32" spans="1:34" ht="25.5" customHeight="1" x14ac:dyDescent="0.2">
      <c r="A32" s="269" t="s">
        <v>327</v>
      </c>
      <c r="B32" s="270"/>
      <c r="C32" s="288">
        <f t="shared" si="6"/>
        <v>322456</v>
      </c>
      <c r="D32" s="282">
        <f>+D9</f>
        <v>9980</v>
      </c>
      <c r="E32" s="282">
        <f t="shared" ref="E32:AG32" si="8">+E9</f>
        <v>10751</v>
      </c>
      <c r="F32" s="282">
        <f t="shared" si="8"/>
        <v>11534</v>
      </c>
      <c r="G32" s="282">
        <f t="shared" si="8"/>
        <v>12477</v>
      </c>
      <c r="H32" s="282">
        <f t="shared" si="8"/>
        <v>13268</v>
      </c>
      <c r="I32" s="282">
        <f t="shared" si="8"/>
        <v>13903</v>
      </c>
      <c r="J32" s="282">
        <f t="shared" si="8"/>
        <v>14552</v>
      </c>
      <c r="K32" s="282">
        <f t="shared" si="8"/>
        <v>15426</v>
      </c>
      <c r="L32" s="282">
        <f t="shared" si="8"/>
        <v>16122</v>
      </c>
      <c r="M32" s="282">
        <f t="shared" si="8"/>
        <v>16692</v>
      </c>
      <c r="N32" s="282">
        <f t="shared" si="8"/>
        <v>17258</v>
      </c>
      <c r="O32" s="282">
        <f t="shared" si="8"/>
        <v>17832</v>
      </c>
      <c r="P32" s="282">
        <f t="shared" si="8"/>
        <v>18425</v>
      </c>
      <c r="Q32" s="282">
        <f t="shared" si="8"/>
        <v>18605</v>
      </c>
      <c r="R32" s="282">
        <f t="shared" si="8"/>
        <v>18785</v>
      </c>
      <c r="S32" s="282">
        <f t="shared" si="8"/>
        <v>18980</v>
      </c>
      <c r="T32" s="282">
        <f t="shared" si="8"/>
        <v>19174</v>
      </c>
      <c r="U32" s="282">
        <f t="shared" si="8"/>
        <v>19369</v>
      </c>
      <c r="V32" s="282">
        <f t="shared" si="8"/>
        <v>19564</v>
      </c>
      <c r="W32" s="282">
        <f t="shared" si="8"/>
        <v>19759</v>
      </c>
      <c r="X32" s="282">
        <f t="shared" si="8"/>
        <v>19953</v>
      </c>
      <c r="Y32" s="282">
        <f t="shared" si="8"/>
        <v>20148</v>
      </c>
      <c r="Z32" s="282">
        <f t="shared" si="8"/>
        <v>20343</v>
      </c>
      <c r="AA32" s="282">
        <f t="shared" si="8"/>
        <v>20553</v>
      </c>
      <c r="AB32" s="282">
        <f t="shared" si="8"/>
        <v>20762</v>
      </c>
      <c r="AC32" s="282">
        <f t="shared" si="8"/>
        <v>20972</v>
      </c>
      <c r="AD32" s="282">
        <f t="shared" si="8"/>
        <v>21182</v>
      </c>
      <c r="AE32" s="282">
        <f t="shared" si="8"/>
        <v>21391</v>
      </c>
      <c r="AF32" s="282">
        <f t="shared" si="8"/>
        <v>21601</v>
      </c>
      <c r="AG32" s="282">
        <f t="shared" si="8"/>
        <v>21811</v>
      </c>
    </row>
    <row r="33" spans="1:34" ht="25.5" customHeight="1" x14ac:dyDescent="0.2">
      <c r="A33" s="269" t="s">
        <v>246</v>
      </c>
      <c r="B33" s="270"/>
      <c r="C33" s="288">
        <f t="shared" si="6"/>
        <v>60000</v>
      </c>
      <c r="D33" s="283">
        <f>+'DATI PROGETTO E FINANZIAMENTO'!D23</f>
        <v>60000</v>
      </c>
      <c r="E33" s="283">
        <f>+'DATI PROGETTO E FINANZIAMENTO'!E23</f>
        <v>0</v>
      </c>
      <c r="F33" s="283">
        <f>+'DATI PROGETTO E FINANZIAMENTO'!F23</f>
        <v>0</v>
      </c>
      <c r="G33" s="283">
        <v>0</v>
      </c>
      <c r="H33" s="283">
        <v>0</v>
      </c>
      <c r="I33" s="283">
        <f>+'DATI PROGETTO E FINANZIAMENTO'!I23</f>
        <v>0</v>
      </c>
      <c r="J33" s="283">
        <f>+'DATI PROGETTO E FINANZIAMENTO'!J23</f>
        <v>0</v>
      </c>
      <c r="K33" s="283">
        <f>+'DATI PROGETTO E FINANZIAMENTO'!K23</f>
        <v>0</v>
      </c>
      <c r="L33" s="283">
        <f>+'DATI PROGETTO E FINANZIAMENTO'!L23</f>
        <v>0</v>
      </c>
      <c r="M33" s="283">
        <f>+'DATI PROGETTO E FINANZIAMENTO'!M23</f>
        <v>0</v>
      </c>
      <c r="N33" s="283">
        <f>+'DATI PROGETTO E FINANZIAMENTO'!N23</f>
        <v>0</v>
      </c>
      <c r="O33" s="283">
        <f>+'DATI PROGETTO E FINANZIAMENTO'!O23</f>
        <v>0</v>
      </c>
      <c r="P33" s="283">
        <f>+'DATI PROGETTO E FINANZIAMENTO'!P23</f>
        <v>0</v>
      </c>
      <c r="Q33" s="283">
        <f>+'DATI PROGETTO E FINANZIAMENTO'!Q23</f>
        <v>0</v>
      </c>
      <c r="R33" s="283">
        <f>+'DATI PROGETTO E FINANZIAMENTO'!R23</f>
        <v>0</v>
      </c>
      <c r="S33" s="283">
        <f>+'DATI PROGETTO E FINANZIAMENTO'!S23</f>
        <v>0</v>
      </c>
      <c r="T33" s="283">
        <f>+'DATI PROGETTO E FINANZIAMENTO'!T23</f>
        <v>0</v>
      </c>
      <c r="U33" s="283">
        <f>+'DATI PROGETTO E FINANZIAMENTO'!U23</f>
        <v>0</v>
      </c>
      <c r="V33" s="283">
        <f>+'DATI PROGETTO E FINANZIAMENTO'!V23</f>
        <v>0</v>
      </c>
      <c r="W33" s="283">
        <f>+'DATI PROGETTO E FINANZIAMENTO'!W23</f>
        <v>0</v>
      </c>
      <c r="X33" s="283">
        <f>+'DATI PROGETTO E FINANZIAMENTO'!X23</f>
        <v>0</v>
      </c>
      <c r="Y33" s="283">
        <f>+'DATI PROGETTO E FINANZIAMENTO'!Y23</f>
        <v>0</v>
      </c>
      <c r="Z33" s="283">
        <f>+'DATI PROGETTO E FINANZIAMENTO'!Z23</f>
        <v>0</v>
      </c>
      <c r="AA33" s="283">
        <f>+'DATI PROGETTO E FINANZIAMENTO'!AA23</f>
        <v>0</v>
      </c>
      <c r="AB33" s="283">
        <f>+'DATI PROGETTO E FINANZIAMENTO'!AB23</f>
        <v>0</v>
      </c>
      <c r="AC33" s="283">
        <f>+'DATI PROGETTO E FINANZIAMENTO'!AC23</f>
        <v>0</v>
      </c>
      <c r="AD33" s="283">
        <f>+'DATI PROGETTO E FINANZIAMENTO'!AD23</f>
        <v>0</v>
      </c>
      <c r="AE33" s="283">
        <f>+'DATI PROGETTO E FINANZIAMENTO'!AE23</f>
        <v>0</v>
      </c>
      <c r="AF33" s="283">
        <f>+'DATI PROGETTO E FINANZIAMENTO'!AF23</f>
        <v>0</v>
      </c>
      <c r="AG33" s="283">
        <f>+'DATI PROGETTO E FINANZIAMENTO'!AG23</f>
        <v>0</v>
      </c>
    </row>
    <row r="34" spans="1:34" ht="25.5" customHeight="1" x14ac:dyDescent="0.2">
      <c r="A34" s="269" t="s">
        <v>53</v>
      </c>
      <c r="B34" s="270"/>
      <c r="C34" s="288">
        <f t="shared" si="6"/>
        <v>62000</v>
      </c>
      <c r="D34" s="282">
        <f>+'DATI PROGETTO E FINANZIAMENTO'!C26</f>
        <v>62000</v>
      </c>
      <c r="E34" s="283"/>
      <c r="F34" s="283">
        <f>+'DATI PROGETTO E FINANZIAMENTO'!E71</f>
        <v>0</v>
      </c>
      <c r="G34" s="283"/>
      <c r="H34" s="283"/>
      <c r="I34" s="283"/>
      <c r="J34" s="283"/>
      <c r="K34" s="283"/>
      <c r="L34" s="283"/>
      <c r="M34" s="283"/>
      <c r="N34" s="283"/>
      <c r="O34" s="283"/>
      <c r="P34" s="283"/>
      <c r="Q34" s="283"/>
      <c r="R34" s="283"/>
      <c r="S34" s="283"/>
      <c r="T34" s="283"/>
      <c r="U34" s="283"/>
      <c r="V34" s="283"/>
      <c r="W34" s="283"/>
      <c r="X34" s="284"/>
      <c r="Y34" s="83"/>
      <c r="Z34" s="83"/>
      <c r="AA34" s="83"/>
      <c r="AB34" s="83"/>
      <c r="AC34" s="83"/>
      <c r="AD34" s="83"/>
      <c r="AE34" s="83"/>
      <c r="AF34" s="83"/>
      <c r="AG34" s="83"/>
    </row>
    <row r="35" spans="1:34" ht="25.5" customHeight="1" x14ac:dyDescent="0.2">
      <c r="A35" s="269" t="s">
        <v>247</v>
      </c>
      <c r="B35" s="270"/>
      <c r="C35" s="288">
        <f t="shared" si="6"/>
        <v>0</v>
      </c>
      <c r="D35" s="283">
        <f>+'DATI PROGETTO E FINANZIAMENTO'!C74+'DATI PROGETTO E FINANZIAMENTO'!C75</f>
        <v>0</v>
      </c>
      <c r="E35" s="283">
        <f>+'DATI PROGETTO E FINANZIAMENTO'!D74+'DATI PROGETTO E FINANZIAMENTO'!D75</f>
        <v>0</v>
      </c>
      <c r="F35" s="283">
        <f>+'DATI PROGETTO E FINANZIAMENTO'!E74+'DATI PROGETTO E FINANZIAMENTO'!E75</f>
        <v>0</v>
      </c>
      <c r="G35" s="283">
        <f>+'DATI PROGETTO E FINANZIAMENTO'!F74+'DATI PROGETTO E FINANZIAMENTO'!F75</f>
        <v>0</v>
      </c>
      <c r="H35" s="283">
        <f>+'DATI PROGETTO E FINANZIAMENTO'!G74+'DATI PROGETTO E FINANZIAMENTO'!G75</f>
        <v>0</v>
      </c>
      <c r="I35" s="283">
        <f>+'DATI PROGETTO E FINANZIAMENTO'!H74+'DATI PROGETTO E FINANZIAMENTO'!H75</f>
        <v>0</v>
      </c>
      <c r="J35" s="283">
        <f>+'DATI PROGETTO E FINANZIAMENTO'!I74+'DATI PROGETTO E FINANZIAMENTO'!I75</f>
        <v>0</v>
      </c>
      <c r="K35" s="283">
        <f>+'DATI PROGETTO E FINANZIAMENTO'!J74+'DATI PROGETTO E FINANZIAMENTO'!J75</f>
        <v>0</v>
      </c>
      <c r="L35" s="283">
        <f>+'DATI PROGETTO E FINANZIAMENTO'!K74+'DATI PROGETTO E FINANZIAMENTO'!K75</f>
        <v>0</v>
      </c>
      <c r="M35" s="283">
        <f>+'DATI PROGETTO E FINANZIAMENTO'!L74+'DATI PROGETTO E FINANZIAMENTO'!L75</f>
        <v>0</v>
      </c>
      <c r="N35" s="283">
        <f>+'DATI PROGETTO E FINANZIAMENTO'!M74+'DATI PROGETTO E FINANZIAMENTO'!M75</f>
        <v>0</v>
      </c>
      <c r="O35" s="283">
        <f>+'DATI PROGETTO E FINANZIAMENTO'!N74+'DATI PROGETTO E FINANZIAMENTO'!N75</f>
        <v>0</v>
      </c>
      <c r="P35" s="283">
        <f>+'DATI PROGETTO E FINANZIAMENTO'!O74+'DATI PROGETTO E FINANZIAMENTO'!O75</f>
        <v>0</v>
      </c>
      <c r="Q35" s="283">
        <f>+'DATI PROGETTO E FINANZIAMENTO'!P74+'DATI PROGETTO E FINANZIAMENTO'!P75</f>
        <v>0</v>
      </c>
      <c r="R35" s="283">
        <f>+'DATI PROGETTO E FINANZIAMENTO'!Q74+'DATI PROGETTO E FINANZIAMENTO'!Q75</f>
        <v>0</v>
      </c>
      <c r="S35" s="283">
        <f>+'DATI PROGETTO E FINANZIAMENTO'!R74+'DATI PROGETTO E FINANZIAMENTO'!R75</f>
        <v>0</v>
      </c>
      <c r="T35" s="283">
        <f>+'DATI PROGETTO E FINANZIAMENTO'!S74+'DATI PROGETTO E FINANZIAMENTO'!S75</f>
        <v>0</v>
      </c>
      <c r="U35" s="283">
        <f>+'DATI PROGETTO E FINANZIAMENTO'!T74+'DATI PROGETTO E FINANZIAMENTO'!T75</f>
        <v>0</v>
      </c>
      <c r="V35" s="283">
        <f>+'DATI PROGETTO E FINANZIAMENTO'!U74+'DATI PROGETTO E FINANZIAMENTO'!U75</f>
        <v>0</v>
      </c>
      <c r="W35" s="283">
        <f>+'DATI PROGETTO E FINANZIAMENTO'!V74+'DATI PROGETTO E FINANZIAMENTO'!V75</f>
        <v>0</v>
      </c>
      <c r="X35" s="283">
        <f>+'DATI PROGETTO E FINANZIAMENTO'!W74+'DATI PROGETTO E FINANZIAMENTO'!W75</f>
        <v>0</v>
      </c>
      <c r="Y35" s="283">
        <f>+'DATI PROGETTO E FINANZIAMENTO'!X74+'DATI PROGETTO E FINANZIAMENTO'!X75</f>
        <v>0</v>
      </c>
      <c r="Z35" s="283">
        <f>+'DATI PROGETTO E FINANZIAMENTO'!Y74+'DATI PROGETTO E FINANZIAMENTO'!Y75</f>
        <v>0</v>
      </c>
      <c r="AA35" s="283">
        <f>+'DATI PROGETTO E FINANZIAMENTO'!Z74+'DATI PROGETTO E FINANZIAMENTO'!Z75</f>
        <v>0</v>
      </c>
      <c r="AB35" s="283">
        <f>+'DATI PROGETTO E FINANZIAMENTO'!AA74+'DATI PROGETTO E FINANZIAMENTO'!AA75</f>
        <v>0</v>
      </c>
      <c r="AC35" s="283">
        <f>+'DATI PROGETTO E FINANZIAMENTO'!AB74+'DATI PROGETTO E FINANZIAMENTO'!AB75</f>
        <v>0</v>
      </c>
      <c r="AD35" s="283">
        <f>+'DATI PROGETTO E FINANZIAMENTO'!AC74+'DATI PROGETTO E FINANZIAMENTO'!AC75</f>
        <v>0</v>
      </c>
      <c r="AE35" s="283">
        <f>+'DATI PROGETTO E FINANZIAMENTO'!AD74+'DATI PROGETTO E FINANZIAMENTO'!AD75</f>
        <v>0</v>
      </c>
      <c r="AF35" s="283">
        <f>+'DATI PROGETTO E FINANZIAMENTO'!AE74+'DATI PROGETTO E FINANZIAMENTO'!AE75</f>
        <v>0</v>
      </c>
      <c r="AG35" s="283">
        <f>+'DATI PROGETTO E FINANZIAMENTO'!AF74+'DATI PROGETTO E FINANZIAMENTO'!AF75</f>
        <v>0</v>
      </c>
    </row>
    <row r="36" spans="1:34" ht="25.5" customHeight="1" thickBot="1" x14ac:dyDescent="0.25">
      <c r="A36" s="293" t="s">
        <v>254</v>
      </c>
      <c r="B36" s="384">
        <v>0.08</v>
      </c>
      <c r="C36" s="288">
        <f t="shared" si="6"/>
        <v>541365.67999999993</v>
      </c>
      <c r="D36" s="282">
        <f>(D31+D32)*$B$36</f>
        <v>19230.400000000001</v>
      </c>
      <c r="E36" s="282">
        <f t="shared" ref="E36:W36" si="9">(E31+E32)*$B$36</f>
        <v>21031.600000000002</v>
      </c>
      <c r="F36" s="282">
        <f t="shared" si="9"/>
        <v>22923.600000000002</v>
      </c>
      <c r="G36" s="282">
        <f t="shared" si="9"/>
        <v>24914.48</v>
      </c>
      <c r="H36" s="282">
        <f t="shared" si="9"/>
        <v>26743.360000000001</v>
      </c>
      <c r="I36" s="282">
        <f t="shared" si="9"/>
        <v>27308.720000000001</v>
      </c>
      <c r="J36" s="282">
        <f t="shared" si="9"/>
        <v>27882.880000000001</v>
      </c>
      <c r="K36" s="282">
        <f t="shared" si="9"/>
        <v>28490.400000000001</v>
      </c>
      <c r="L36" s="282">
        <f t="shared" si="9"/>
        <v>29091.360000000001</v>
      </c>
      <c r="M36" s="282">
        <f t="shared" si="9"/>
        <v>29413.440000000002</v>
      </c>
      <c r="N36" s="282">
        <f t="shared" si="9"/>
        <v>29742.880000000001</v>
      </c>
      <c r="O36" s="282">
        <f t="shared" si="9"/>
        <v>26635.360000000001</v>
      </c>
      <c r="P36" s="282">
        <f t="shared" si="9"/>
        <v>27511.52</v>
      </c>
      <c r="Q36" s="282">
        <f t="shared" si="9"/>
        <v>27788.560000000001</v>
      </c>
      <c r="R36" s="282">
        <f t="shared" si="9"/>
        <v>28065.600000000002</v>
      </c>
      <c r="S36" s="282">
        <f t="shared" si="9"/>
        <v>28343.84</v>
      </c>
      <c r="T36" s="282">
        <f t="shared" si="9"/>
        <v>28628.959999999999</v>
      </c>
      <c r="U36" s="282">
        <f t="shared" si="9"/>
        <v>28914.16</v>
      </c>
      <c r="V36" s="282">
        <f t="shared" si="9"/>
        <v>29206.240000000002</v>
      </c>
      <c r="W36" s="282">
        <f t="shared" si="9"/>
        <v>29498.32</v>
      </c>
      <c r="X36" s="282">
        <f t="shared" ref="X36:AG36" si="10">(X31+X32)*10/100</f>
        <v>37237.9</v>
      </c>
      <c r="Y36" s="282">
        <f t="shared" si="10"/>
        <v>37611.599999999999</v>
      </c>
      <c r="Z36" s="282">
        <f t="shared" si="10"/>
        <v>37985.300000000003</v>
      </c>
      <c r="AA36" s="282">
        <f t="shared" si="10"/>
        <v>38369.199999999997</v>
      </c>
      <c r="AB36" s="282">
        <f t="shared" si="10"/>
        <v>38753</v>
      </c>
      <c r="AC36" s="282">
        <f t="shared" si="10"/>
        <v>39136.9</v>
      </c>
      <c r="AD36" s="282">
        <f t="shared" si="10"/>
        <v>39529.4</v>
      </c>
      <c r="AE36" s="282">
        <f t="shared" si="10"/>
        <v>39921.800000000003</v>
      </c>
      <c r="AF36" s="282">
        <f t="shared" si="10"/>
        <v>40323</v>
      </c>
      <c r="AG36" s="282">
        <f t="shared" si="10"/>
        <v>40724.1</v>
      </c>
    </row>
    <row r="37" spans="1:34" ht="25.5" customHeight="1" thickBot="1" x14ac:dyDescent="0.25">
      <c r="A37" s="302" t="s">
        <v>263</v>
      </c>
      <c r="B37" s="303"/>
      <c r="C37" s="304">
        <f>SUM(C31:C36)</f>
        <v>7430436.6799999997</v>
      </c>
      <c r="D37" s="305">
        <f>SUM(D31:D36)</f>
        <v>381610.4</v>
      </c>
      <c r="E37" s="305">
        <f t="shared" ref="E37:AG37" si="11">SUM(E31:E36)</f>
        <v>283926.59999999998</v>
      </c>
      <c r="F37" s="305">
        <f t="shared" si="11"/>
        <v>309468.59999999998</v>
      </c>
      <c r="G37" s="305">
        <f t="shared" si="11"/>
        <v>336345.48</v>
      </c>
      <c r="H37" s="305">
        <f t="shared" si="11"/>
        <v>361035.36</v>
      </c>
      <c r="I37" s="305">
        <f t="shared" si="11"/>
        <v>368667.72</v>
      </c>
      <c r="J37" s="305">
        <f t="shared" si="11"/>
        <v>376418.88</v>
      </c>
      <c r="K37" s="305">
        <f t="shared" si="11"/>
        <v>384620.4</v>
      </c>
      <c r="L37" s="305">
        <f t="shared" si="11"/>
        <v>392733.36</v>
      </c>
      <c r="M37" s="305">
        <f t="shared" si="11"/>
        <v>397081.44</v>
      </c>
      <c r="N37" s="305">
        <f t="shared" si="11"/>
        <v>401528.88</v>
      </c>
      <c r="O37" s="305">
        <f t="shared" si="11"/>
        <v>359577.36</v>
      </c>
      <c r="P37" s="305">
        <f t="shared" si="11"/>
        <v>371405.52</v>
      </c>
      <c r="Q37" s="305">
        <f t="shared" si="11"/>
        <v>375145.56</v>
      </c>
      <c r="R37" s="305">
        <f t="shared" si="11"/>
        <v>378885.6</v>
      </c>
      <c r="S37" s="305">
        <f t="shared" si="11"/>
        <v>382641.84</v>
      </c>
      <c r="T37" s="305">
        <f t="shared" si="11"/>
        <v>386490.96</v>
      </c>
      <c r="U37" s="305">
        <f t="shared" si="11"/>
        <v>390341.16</v>
      </c>
      <c r="V37" s="305">
        <f t="shared" si="11"/>
        <v>394284.24</v>
      </c>
      <c r="W37" s="305">
        <f t="shared" si="11"/>
        <v>398227.32</v>
      </c>
      <c r="X37" s="305">
        <f t="shared" si="11"/>
        <v>409616.9</v>
      </c>
      <c r="Y37" s="305">
        <f t="shared" si="11"/>
        <v>413727.6</v>
      </c>
      <c r="Z37" s="305">
        <f t="shared" si="11"/>
        <v>417838.3</v>
      </c>
      <c r="AA37" s="305">
        <f t="shared" si="11"/>
        <v>422061.2</v>
      </c>
      <c r="AB37" s="305">
        <f t="shared" si="11"/>
        <v>426283</v>
      </c>
      <c r="AC37" s="305">
        <f t="shared" si="11"/>
        <v>430505.9</v>
      </c>
      <c r="AD37" s="305">
        <f t="shared" si="11"/>
        <v>434823.4</v>
      </c>
      <c r="AE37" s="305">
        <f t="shared" si="11"/>
        <v>439139.8</v>
      </c>
      <c r="AF37" s="305">
        <f t="shared" si="11"/>
        <v>443553</v>
      </c>
      <c r="AG37" s="306">
        <f t="shared" si="11"/>
        <v>447965.1</v>
      </c>
      <c r="AH37" s="83"/>
    </row>
    <row r="38" spans="1:34" ht="25.5" x14ac:dyDescent="0.2">
      <c r="A38" s="294" t="s">
        <v>260</v>
      </c>
      <c r="B38" s="295">
        <v>0.22</v>
      </c>
      <c r="C38" s="288">
        <f t="shared" ref="C38:C50" si="12">SUM(D38:W38)</f>
        <v>-100000</v>
      </c>
      <c r="D38" s="282">
        <f>-'DATI PROGETTO E FINANZIAMENTO'!C10</f>
        <v>-100000</v>
      </c>
      <c r="E38" s="283"/>
      <c r="F38" s="283"/>
      <c r="G38" s="283"/>
      <c r="H38" s="283"/>
      <c r="I38" s="283"/>
      <c r="J38" s="283"/>
      <c r="K38" s="283"/>
      <c r="L38" s="283"/>
      <c r="M38" s="283"/>
      <c r="N38" s="283"/>
      <c r="O38" s="283"/>
      <c r="P38" s="283"/>
      <c r="Q38" s="283"/>
      <c r="R38" s="283"/>
      <c r="S38" s="283"/>
      <c r="T38" s="283"/>
      <c r="U38" s="283"/>
      <c r="V38" s="283"/>
      <c r="W38" s="283"/>
      <c r="X38" s="284"/>
      <c r="Y38" s="83"/>
      <c r="Z38" s="83"/>
      <c r="AA38" s="83"/>
      <c r="AB38" s="83"/>
      <c r="AC38" s="83"/>
      <c r="AD38" s="83"/>
      <c r="AE38" s="83"/>
      <c r="AF38" s="83"/>
      <c r="AG38" s="83"/>
    </row>
    <row r="39" spans="1:34" x14ac:dyDescent="0.2">
      <c r="A39" s="269" t="s">
        <v>261</v>
      </c>
      <c r="B39" s="272">
        <v>0.22</v>
      </c>
      <c r="C39" s="288">
        <f t="shared" si="12"/>
        <v>-54000</v>
      </c>
      <c r="D39" s="282">
        <f>-ROUND('DATI PROGETTO E FINANZIAMENTO'!C54,0)</f>
        <v>0</v>
      </c>
      <c r="E39" s="282">
        <f>-ROUND('DATI PROGETTO E FINANZIAMENTO'!D54,0)</f>
        <v>-10000</v>
      </c>
      <c r="F39" s="282">
        <f>-ROUND('DATI PROGETTO E FINANZIAMENTO'!E54,0)</f>
        <v>-15000</v>
      </c>
      <c r="G39" s="282">
        <f>-ROUND('DATI PROGETTO E FINANZIAMENTO'!F54,0)</f>
        <v>-8000</v>
      </c>
      <c r="H39" s="282">
        <f>-ROUND('DATI PROGETTO E FINANZIAMENTO'!G54,0)</f>
        <v>-3000</v>
      </c>
      <c r="I39" s="282">
        <f>-ROUND('DATI PROGETTO E FINANZIAMENTO'!H54,0)</f>
        <v>-18000</v>
      </c>
      <c r="J39" s="282">
        <f>-ROUND('DATI PROGETTO E FINANZIAMENTO'!I54,0)</f>
        <v>0</v>
      </c>
      <c r="K39" s="282">
        <f>-ROUND('DATI PROGETTO E FINANZIAMENTO'!J54,0)</f>
        <v>0</v>
      </c>
      <c r="L39" s="282">
        <f>-ROUND('DATI PROGETTO E FINANZIAMENTO'!K54,0)</f>
        <v>0</v>
      </c>
      <c r="M39" s="282">
        <f>-ROUND('DATI PROGETTO E FINANZIAMENTO'!L54,0)</f>
        <v>0</v>
      </c>
      <c r="N39" s="282">
        <f>-ROUND('DATI PROGETTO E FINANZIAMENTO'!M54,0)</f>
        <v>0</v>
      </c>
      <c r="O39" s="282">
        <f>-ROUND('DATI PROGETTO E FINANZIAMENTO'!N54,0)</f>
        <v>0</v>
      </c>
      <c r="P39" s="282">
        <f>-ROUND('DATI PROGETTO E FINANZIAMENTO'!O54,0)</f>
        <v>0</v>
      </c>
      <c r="Q39" s="282">
        <f>-ROUND('DATI PROGETTO E FINANZIAMENTO'!P54,0)</f>
        <v>0</v>
      </c>
      <c r="R39" s="282">
        <f>-ROUND('DATI PROGETTO E FINANZIAMENTO'!Q54,0)</f>
        <v>0</v>
      </c>
      <c r="S39" s="282">
        <f>-ROUND('DATI PROGETTO E FINANZIAMENTO'!R54,0)</f>
        <v>0</v>
      </c>
      <c r="T39" s="282">
        <f>-ROUND('DATI PROGETTO E FINANZIAMENTO'!S54,0)</f>
        <v>0</v>
      </c>
      <c r="U39" s="282">
        <f>-ROUND('DATI PROGETTO E FINANZIAMENTO'!T54,0)</f>
        <v>0</v>
      </c>
      <c r="V39" s="282">
        <f>-ROUND('DATI PROGETTO E FINANZIAMENTO'!U54,0)</f>
        <v>0</v>
      </c>
      <c r="W39" s="282">
        <f>-ROUND('DATI PROGETTO E FINANZIAMENTO'!V54,0)</f>
        <v>0</v>
      </c>
      <c r="X39" s="282">
        <f>-ROUND('DATI PROGETTO E FINANZIAMENTO'!W54,0)</f>
        <v>0</v>
      </c>
      <c r="Y39" s="282">
        <f>-ROUND('DATI PROGETTO E FINANZIAMENTO'!X54,0)</f>
        <v>0</v>
      </c>
      <c r="Z39" s="282">
        <f>-ROUND('DATI PROGETTO E FINANZIAMENTO'!Y54,0)</f>
        <v>0</v>
      </c>
      <c r="AA39" s="282">
        <f>-ROUND('DATI PROGETTO E FINANZIAMENTO'!Z54,0)</f>
        <v>0</v>
      </c>
      <c r="AB39" s="282">
        <f>-ROUND('DATI PROGETTO E FINANZIAMENTO'!AA54,0)</f>
        <v>0</v>
      </c>
      <c r="AC39" s="282">
        <f>-ROUND('DATI PROGETTO E FINANZIAMENTO'!AB54,0)</f>
        <v>0</v>
      </c>
      <c r="AD39" s="282">
        <f>-ROUND('DATI PROGETTO E FINANZIAMENTO'!AC54,0)</f>
        <v>0</v>
      </c>
      <c r="AE39" s="282">
        <f>-ROUND('DATI PROGETTO E FINANZIAMENTO'!AD54,0)</f>
        <v>0</v>
      </c>
      <c r="AF39" s="282">
        <f>-ROUND('DATI PROGETTO E FINANZIAMENTO'!AE54,0)</f>
        <v>0</v>
      </c>
      <c r="AG39" s="282">
        <f>-ROUND('DATI PROGETTO E FINANZIAMENTO'!AF54,0)</f>
        <v>0</v>
      </c>
    </row>
    <row r="40" spans="1:34" ht="25.5" customHeight="1" x14ac:dyDescent="0.2">
      <c r="A40" s="269" t="s">
        <v>251</v>
      </c>
      <c r="B40" s="272">
        <v>0.22</v>
      </c>
      <c r="C40" s="288">
        <f t="shared" si="12"/>
        <v>-2034272</v>
      </c>
      <c r="D40" s="282">
        <f t="shared" ref="D40:D45" si="13">+D14</f>
        <v>-72562</v>
      </c>
      <c r="E40" s="282">
        <f t="shared" ref="E40:AG40" si="14">+E14</f>
        <v>-79388</v>
      </c>
      <c r="F40" s="282">
        <f t="shared" si="14"/>
        <v>-86563</v>
      </c>
      <c r="G40" s="282">
        <f t="shared" si="14"/>
        <v>-94091</v>
      </c>
      <c r="H40" s="282">
        <f t="shared" si="14"/>
        <v>-101020</v>
      </c>
      <c r="I40" s="282">
        <f t="shared" si="14"/>
        <v>-103085</v>
      </c>
      <c r="J40" s="282">
        <f t="shared" si="14"/>
        <v>-105180</v>
      </c>
      <c r="K40" s="282">
        <f t="shared" si="14"/>
        <v>-107361</v>
      </c>
      <c r="L40" s="282">
        <f t="shared" si="14"/>
        <v>-109551</v>
      </c>
      <c r="M40" s="282">
        <f t="shared" si="14"/>
        <v>-110686</v>
      </c>
      <c r="N40" s="282">
        <f t="shared" si="14"/>
        <v>-111851</v>
      </c>
      <c r="O40" s="282">
        <f t="shared" si="14"/>
        <v>-99695</v>
      </c>
      <c r="P40" s="282">
        <f t="shared" si="14"/>
        <v>-102974</v>
      </c>
      <c r="Q40" s="282">
        <f t="shared" si="14"/>
        <v>-104012</v>
      </c>
      <c r="R40" s="282">
        <f t="shared" si="14"/>
        <v>-105051</v>
      </c>
      <c r="S40" s="282">
        <f t="shared" si="14"/>
        <v>-106090</v>
      </c>
      <c r="T40" s="282">
        <f t="shared" si="14"/>
        <v>-107157</v>
      </c>
      <c r="U40" s="282">
        <f t="shared" si="14"/>
        <v>-108224</v>
      </c>
      <c r="V40" s="282">
        <f t="shared" si="14"/>
        <v>-109318</v>
      </c>
      <c r="W40" s="282">
        <f t="shared" si="14"/>
        <v>-110413</v>
      </c>
      <c r="X40" s="282">
        <f t="shared" si="14"/>
        <v>-111506</v>
      </c>
      <c r="Y40" s="282">
        <f t="shared" si="14"/>
        <v>-112627</v>
      </c>
      <c r="Z40" s="282">
        <f t="shared" si="14"/>
        <v>-113747</v>
      </c>
      <c r="AA40" s="282">
        <f t="shared" si="14"/>
        <v>-114897</v>
      </c>
      <c r="AB40" s="282">
        <f t="shared" si="14"/>
        <v>-116046</v>
      </c>
      <c r="AC40" s="282">
        <f t="shared" si="14"/>
        <v>-117195</v>
      </c>
      <c r="AD40" s="282">
        <f t="shared" si="14"/>
        <v>-118372</v>
      </c>
      <c r="AE40" s="282">
        <f t="shared" si="14"/>
        <v>-119547</v>
      </c>
      <c r="AF40" s="282">
        <f t="shared" si="14"/>
        <v>-120751</v>
      </c>
      <c r="AG40" s="282">
        <f t="shared" si="14"/>
        <v>-121953</v>
      </c>
    </row>
    <row r="41" spans="1:34" ht="25.5" customHeight="1" x14ac:dyDescent="0.2">
      <c r="A41" s="269" t="s">
        <v>253</v>
      </c>
      <c r="B41" s="289">
        <v>0.22</v>
      </c>
      <c r="C41" s="288">
        <f t="shared" si="12"/>
        <v>-617785</v>
      </c>
      <c r="D41" s="282">
        <f t="shared" si="13"/>
        <v>-21994</v>
      </c>
      <c r="E41" s="282">
        <f t="shared" ref="E41:AG41" si="15">+E15</f>
        <v>-24028</v>
      </c>
      <c r="F41" s="282">
        <f t="shared" si="15"/>
        <v>-26164</v>
      </c>
      <c r="G41" s="282">
        <f t="shared" si="15"/>
        <v>-28411</v>
      </c>
      <c r="H41" s="282">
        <f t="shared" si="15"/>
        <v>-30476</v>
      </c>
      <c r="I41" s="282">
        <f t="shared" si="15"/>
        <v>-31120</v>
      </c>
      <c r="J41" s="282">
        <f t="shared" si="15"/>
        <v>-31774</v>
      </c>
      <c r="K41" s="282">
        <f t="shared" si="15"/>
        <v>-32465</v>
      </c>
      <c r="L41" s="282">
        <f t="shared" si="15"/>
        <v>-33150</v>
      </c>
      <c r="M41" s="282">
        <f t="shared" si="15"/>
        <v>-33520</v>
      </c>
      <c r="N41" s="282">
        <f t="shared" si="15"/>
        <v>-33900</v>
      </c>
      <c r="O41" s="282">
        <f t="shared" si="15"/>
        <v>-30412</v>
      </c>
      <c r="P41" s="282">
        <f t="shared" si="15"/>
        <v>-31407</v>
      </c>
      <c r="Q41" s="282">
        <f t="shared" si="15"/>
        <v>-31728</v>
      </c>
      <c r="R41" s="282">
        <f t="shared" si="15"/>
        <v>-32049</v>
      </c>
      <c r="S41" s="282">
        <f t="shared" si="15"/>
        <v>-32371</v>
      </c>
      <c r="T41" s="282">
        <f t="shared" si="15"/>
        <v>-32702</v>
      </c>
      <c r="U41" s="282">
        <f t="shared" si="15"/>
        <v>-33033</v>
      </c>
      <c r="V41" s="282">
        <f t="shared" si="15"/>
        <v>-33371</v>
      </c>
      <c r="W41" s="282">
        <f t="shared" si="15"/>
        <v>-33710</v>
      </c>
      <c r="X41" s="282">
        <f t="shared" si="15"/>
        <v>-34049</v>
      </c>
      <c r="Y41" s="282">
        <f t="shared" si="15"/>
        <v>-34396</v>
      </c>
      <c r="Z41" s="282">
        <f t="shared" si="15"/>
        <v>-34743</v>
      </c>
      <c r="AA41" s="282">
        <f t="shared" si="15"/>
        <v>-35100</v>
      </c>
      <c r="AB41" s="282">
        <f t="shared" si="15"/>
        <v>-35457</v>
      </c>
      <c r="AC41" s="282">
        <f t="shared" si="15"/>
        <v>-35814</v>
      </c>
      <c r="AD41" s="282">
        <f t="shared" si="15"/>
        <v>-36179</v>
      </c>
      <c r="AE41" s="282">
        <f t="shared" si="15"/>
        <v>-36544</v>
      </c>
      <c r="AF41" s="282">
        <f t="shared" si="15"/>
        <v>-36917</v>
      </c>
      <c r="AG41" s="282">
        <f t="shared" si="15"/>
        <v>-37291</v>
      </c>
    </row>
    <row r="42" spans="1:34" ht="25.5" customHeight="1" x14ac:dyDescent="0.2">
      <c r="A42" s="269" t="s">
        <v>486</v>
      </c>
      <c r="B42" s="270"/>
      <c r="C42" s="288">
        <f t="shared" si="12"/>
        <v>-283711</v>
      </c>
      <c r="D42" s="282">
        <f t="shared" si="13"/>
        <v>-12000</v>
      </c>
      <c r="E42" s="282">
        <f t="shared" ref="E42:AG42" si="16">+E16</f>
        <v>-12240</v>
      </c>
      <c r="F42" s="282">
        <f t="shared" si="16"/>
        <v>-12485</v>
      </c>
      <c r="G42" s="282">
        <f t="shared" si="16"/>
        <v>-12860</v>
      </c>
      <c r="H42" s="282">
        <f t="shared" si="16"/>
        <v>-13117</v>
      </c>
      <c r="I42" s="282">
        <f t="shared" si="16"/>
        <v>-13379</v>
      </c>
      <c r="J42" s="282">
        <f t="shared" si="16"/>
        <v>-13647</v>
      </c>
      <c r="K42" s="282">
        <f t="shared" si="16"/>
        <v>-13920</v>
      </c>
      <c r="L42" s="282">
        <f t="shared" si="16"/>
        <v>-14198</v>
      </c>
      <c r="M42" s="282">
        <f t="shared" si="16"/>
        <v>-14340</v>
      </c>
      <c r="N42" s="282">
        <f t="shared" si="16"/>
        <v>-14483</v>
      </c>
      <c r="O42" s="282">
        <f t="shared" si="16"/>
        <v>-14628</v>
      </c>
      <c r="P42" s="282">
        <f t="shared" si="16"/>
        <v>-14774</v>
      </c>
      <c r="Q42" s="282">
        <f t="shared" si="16"/>
        <v>-14922</v>
      </c>
      <c r="R42" s="282">
        <f t="shared" si="16"/>
        <v>-15071</v>
      </c>
      <c r="S42" s="282">
        <f t="shared" si="16"/>
        <v>-15222</v>
      </c>
      <c r="T42" s="282">
        <f t="shared" si="16"/>
        <v>-15374</v>
      </c>
      <c r="U42" s="282">
        <f t="shared" si="16"/>
        <v>-15528</v>
      </c>
      <c r="V42" s="282">
        <f t="shared" si="16"/>
        <v>-15683</v>
      </c>
      <c r="W42" s="282">
        <f t="shared" si="16"/>
        <v>-15840</v>
      </c>
      <c r="X42" s="282">
        <f t="shared" si="16"/>
        <v>-30000</v>
      </c>
      <c r="Y42" s="282">
        <f t="shared" si="16"/>
        <v>-30000</v>
      </c>
      <c r="Z42" s="282">
        <f t="shared" si="16"/>
        <v>-30000</v>
      </c>
      <c r="AA42" s="282">
        <f t="shared" si="16"/>
        <v>-30000</v>
      </c>
      <c r="AB42" s="282">
        <f t="shared" si="16"/>
        <v>-30000</v>
      </c>
      <c r="AC42" s="282">
        <f t="shared" si="16"/>
        <v>-30000</v>
      </c>
      <c r="AD42" s="282">
        <f t="shared" si="16"/>
        <v>-30000</v>
      </c>
      <c r="AE42" s="282">
        <f t="shared" si="16"/>
        <v>-30000</v>
      </c>
      <c r="AF42" s="282">
        <f t="shared" si="16"/>
        <v>-30000</v>
      </c>
      <c r="AG42" s="282">
        <f t="shared" si="16"/>
        <v>-30000</v>
      </c>
    </row>
    <row r="43" spans="1:34" ht="25.5" customHeight="1" x14ac:dyDescent="0.2">
      <c r="A43" s="269" t="s">
        <v>255</v>
      </c>
      <c r="B43" s="289">
        <v>0.22</v>
      </c>
      <c r="C43" s="288">
        <f t="shared" si="12"/>
        <v>0</v>
      </c>
      <c r="D43" s="282">
        <f t="shared" si="13"/>
        <v>0</v>
      </c>
      <c r="E43" s="282">
        <f t="shared" ref="E43:AG43" si="17">+E17</f>
        <v>0</v>
      </c>
      <c r="F43" s="282">
        <f t="shared" si="17"/>
        <v>0</v>
      </c>
      <c r="G43" s="282">
        <f t="shared" si="17"/>
        <v>0</v>
      </c>
      <c r="H43" s="282">
        <f t="shared" si="17"/>
        <v>0</v>
      </c>
      <c r="I43" s="282">
        <f t="shared" si="17"/>
        <v>0</v>
      </c>
      <c r="J43" s="282">
        <f t="shared" si="17"/>
        <v>0</v>
      </c>
      <c r="K43" s="282">
        <f t="shared" si="17"/>
        <v>0</v>
      </c>
      <c r="L43" s="282">
        <f t="shared" si="17"/>
        <v>0</v>
      </c>
      <c r="M43" s="282">
        <f t="shared" si="17"/>
        <v>0</v>
      </c>
      <c r="N43" s="282">
        <f t="shared" si="17"/>
        <v>0</v>
      </c>
      <c r="O43" s="282">
        <f t="shared" si="17"/>
        <v>0</v>
      </c>
      <c r="P43" s="282">
        <f t="shared" si="17"/>
        <v>0</v>
      </c>
      <c r="Q43" s="282">
        <f t="shared" si="17"/>
        <v>0</v>
      </c>
      <c r="R43" s="282">
        <f t="shared" si="17"/>
        <v>0</v>
      </c>
      <c r="S43" s="282">
        <f t="shared" si="17"/>
        <v>0</v>
      </c>
      <c r="T43" s="282">
        <f t="shared" si="17"/>
        <v>0</v>
      </c>
      <c r="U43" s="282">
        <f t="shared" si="17"/>
        <v>0</v>
      </c>
      <c r="V43" s="282">
        <f t="shared" si="17"/>
        <v>0</v>
      </c>
      <c r="W43" s="282">
        <f t="shared" si="17"/>
        <v>0</v>
      </c>
      <c r="X43" s="282">
        <f t="shared" si="17"/>
        <v>-5000</v>
      </c>
      <c r="Y43" s="282">
        <f t="shared" si="17"/>
        <v>-5000</v>
      </c>
      <c r="Z43" s="282">
        <f t="shared" si="17"/>
        <v>-5000</v>
      </c>
      <c r="AA43" s="282">
        <f t="shared" si="17"/>
        <v>-5000</v>
      </c>
      <c r="AB43" s="282">
        <f t="shared" si="17"/>
        <v>-5000</v>
      </c>
      <c r="AC43" s="282">
        <f t="shared" si="17"/>
        <v>-5000</v>
      </c>
      <c r="AD43" s="282">
        <f t="shared" si="17"/>
        <v>-5000</v>
      </c>
      <c r="AE43" s="282">
        <f t="shared" si="17"/>
        <v>-5000</v>
      </c>
      <c r="AF43" s="282">
        <f t="shared" si="17"/>
        <v>-5000</v>
      </c>
      <c r="AG43" s="282">
        <f t="shared" si="17"/>
        <v>-5000</v>
      </c>
    </row>
    <row r="44" spans="1:34" ht="25.5" customHeight="1" x14ac:dyDescent="0.2">
      <c r="A44" s="269" t="s">
        <v>256</v>
      </c>
      <c r="B44" s="270"/>
      <c r="C44" s="288">
        <f t="shared" si="12"/>
        <v>-102965</v>
      </c>
      <c r="D44" s="282">
        <f t="shared" si="13"/>
        <v>-3666</v>
      </c>
      <c r="E44" s="282">
        <f t="shared" ref="E44:AG44" si="18">+E18</f>
        <v>-4005</v>
      </c>
      <c r="F44" s="282">
        <f t="shared" si="18"/>
        <v>-4361</v>
      </c>
      <c r="G44" s="282">
        <f t="shared" si="18"/>
        <v>-4735</v>
      </c>
      <c r="H44" s="282">
        <f t="shared" si="18"/>
        <v>-5079</v>
      </c>
      <c r="I44" s="282">
        <f t="shared" si="18"/>
        <v>-5187</v>
      </c>
      <c r="J44" s="282">
        <f t="shared" si="18"/>
        <v>-5296</v>
      </c>
      <c r="K44" s="282">
        <f t="shared" si="18"/>
        <v>-5411</v>
      </c>
      <c r="L44" s="282">
        <f t="shared" si="18"/>
        <v>-5525</v>
      </c>
      <c r="M44" s="282">
        <f t="shared" si="18"/>
        <v>-5587</v>
      </c>
      <c r="N44" s="282">
        <f t="shared" si="18"/>
        <v>-5650</v>
      </c>
      <c r="O44" s="282">
        <f t="shared" si="18"/>
        <v>-5069</v>
      </c>
      <c r="P44" s="282">
        <f t="shared" si="18"/>
        <v>-5235</v>
      </c>
      <c r="Q44" s="282">
        <f t="shared" si="18"/>
        <v>-5288</v>
      </c>
      <c r="R44" s="282">
        <f t="shared" si="18"/>
        <v>-5341</v>
      </c>
      <c r="S44" s="282">
        <f t="shared" si="18"/>
        <v>-5395</v>
      </c>
      <c r="T44" s="282">
        <f t="shared" si="18"/>
        <v>-5450</v>
      </c>
      <c r="U44" s="282">
        <f t="shared" si="18"/>
        <v>-5505</v>
      </c>
      <c r="V44" s="282">
        <f t="shared" si="18"/>
        <v>-5562</v>
      </c>
      <c r="W44" s="282">
        <f t="shared" si="18"/>
        <v>-5618</v>
      </c>
      <c r="X44" s="282">
        <f t="shared" si="18"/>
        <v>-5675</v>
      </c>
      <c r="Y44" s="282">
        <f t="shared" si="18"/>
        <v>-5733</v>
      </c>
      <c r="Z44" s="282">
        <f t="shared" si="18"/>
        <v>-5791</v>
      </c>
      <c r="AA44" s="282">
        <f t="shared" si="18"/>
        <v>-5850</v>
      </c>
      <c r="AB44" s="282">
        <f t="shared" si="18"/>
        <v>-5909</v>
      </c>
      <c r="AC44" s="282">
        <f t="shared" si="18"/>
        <v>-5969</v>
      </c>
      <c r="AD44" s="282">
        <f t="shared" si="18"/>
        <v>-6030</v>
      </c>
      <c r="AE44" s="282">
        <f t="shared" si="18"/>
        <v>-6091</v>
      </c>
      <c r="AF44" s="282">
        <f t="shared" si="18"/>
        <v>-6153</v>
      </c>
      <c r="AG44" s="282">
        <f t="shared" si="18"/>
        <v>-6215</v>
      </c>
    </row>
    <row r="45" spans="1:34" ht="25.5" customHeight="1" x14ac:dyDescent="0.2">
      <c r="A45" s="269" t="s">
        <v>257</v>
      </c>
      <c r="B45" s="270"/>
      <c r="C45" s="288">
        <f t="shared" si="12"/>
        <v>-2611686.459259259</v>
      </c>
      <c r="D45" s="282">
        <f t="shared" si="13"/>
        <v>-100449.49629629629</v>
      </c>
      <c r="E45" s="282">
        <f t="shared" ref="E45:AG45" si="19">+E19</f>
        <v>-100449.49629629629</v>
      </c>
      <c r="F45" s="282">
        <f t="shared" si="19"/>
        <v>-120539.36592592593</v>
      </c>
      <c r="G45" s="282">
        <f t="shared" si="19"/>
        <v>-120539.36592592593</v>
      </c>
      <c r="H45" s="282">
        <f t="shared" si="19"/>
        <v>-120539.36592592593</v>
      </c>
      <c r="I45" s="282">
        <f t="shared" si="19"/>
        <v>-126279.33925925927</v>
      </c>
      <c r="J45" s="282">
        <f t="shared" si="19"/>
        <v>-126279.33925925927</v>
      </c>
      <c r="K45" s="282">
        <f t="shared" si="19"/>
        <v>-126279.33925925927</v>
      </c>
      <c r="L45" s="282">
        <f t="shared" si="19"/>
        <v>-132019.31259259259</v>
      </c>
      <c r="M45" s="282">
        <f t="shared" si="19"/>
        <v>-132019.31259259259</v>
      </c>
      <c r="N45" s="282">
        <f t="shared" si="19"/>
        <v>-132019.31259259259</v>
      </c>
      <c r="O45" s="282">
        <f t="shared" si="19"/>
        <v>-132019.31259259259</v>
      </c>
      <c r="P45" s="282">
        <f t="shared" si="19"/>
        <v>-137759.28592592591</v>
      </c>
      <c r="Q45" s="282">
        <f t="shared" si="19"/>
        <v>-137759.28592592591</v>
      </c>
      <c r="R45" s="282">
        <f t="shared" si="19"/>
        <v>-137759.28592592591</v>
      </c>
      <c r="S45" s="282">
        <f t="shared" si="19"/>
        <v>-143499.25925925927</v>
      </c>
      <c r="T45" s="282">
        <f t="shared" si="19"/>
        <v>-143499.25925925927</v>
      </c>
      <c r="U45" s="282">
        <f t="shared" si="19"/>
        <v>-143499.25925925927</v>
      </c>
      <c r="V45" s="282">
        <f t="shared" si="19"/>
        <v>-149239.2325925926</v>
      </c>
      <c r="W45" s="282">
        <f t="shared" si="19"/>
        <v>-149239.2325925926</v>
      </c>
      <c r="X45" s="282">
        <f t="shared" si="19"/>
        <v>-149239.2325925926</v>
      </c>
      <c r="Y45" s="282">
        <f t="shared" si="19"/>
        <v>-154979.20592592595</v>
      </c>
      <c r="Z45" s="282">
        <f t="shared" si="19"/>
        <v>-154979.20592592595</v>
      </c>
      <c r="AA45" s="282">
        <f t="shared" si="19"/>
        <v>-154979.20592592595</v>
      </c>
      <c r="AB45" s="282">
        <f t="shared" si="19"/>
        <v>-160719.17925925925</v>
      </c>
      <c r="AC45" s="282">
        <f t="shared" si="19"/>
        <v>-160719.17925925925</v>
      </c>
      <c r="AD45" s="282">
        <f t="shared" si="19"/>
        <v>-160719.17925925925</v>
      </c>
      <c r="AE45" s="282">
        <f t="shared" si="19"/>
        <v>-166459.15259259258</v>
      </c>
      <c r="AF45" s="282">
        <f t="shared" si="19"/>
        <v>-166459.15259259258</v>
      </c>
      <c r="AG45" s="282">
        <f t="shared" si="19"/>
        <v>-166459.15259259258</v>
      </c>
    </row>
    <row r="46" spans="1:34" ht="25.5" customHeight="1" x14ac:dyDescent="0.2">
      <c r="A46" s="269" t="s">
        <v>20</v>
      </c>
      <c r="B46" s="270"/>
      <c r="C46" s="288">
        <f t="shared" si="12"/>
        <v>-80292.836478583107</v>
      </c>
      <c r="D46" s="285">
        <f>-'piano ammo MUTUO'!E15</f>
        <v>-8029.2836478583122</v>
      </c>
      <c r="E46" s="286">
        <f>-'piano ammo MUTUO'!E16</f>
        <v>-8029.2836478583122</v>
      </c>
      <c r="F46" s="286">
        <f>-'piano ammo MUTUO'!E17</f>
        <v>-8029.2836478583122</v>
      </c>
      <c r="G46" s="283">
        <f>-'piano ammo MUTUO'!E18</f>
        <v>-8029.2836478583122</v>
      </c>
      <c r="H46" s="283">
        <f>-'piano ammo MUTUO'!E19</f>
        <v>-8029.2836478583122</v>
      </c>
      <c r="I46" s="283">
        <f>-'piano ammo MUTUO'!E20</f>
        <v>-8029.2836478583122</v>
      </c>
      <c r="J46" s="283">
        <f>-'piano ammo MUTUO'!E21</f>
        <v>-8029.2836478583122</v>
      </c>
      <c r="K46" s="283">
        <f>-'piano ammo MUTUO'!E22</f>
        <v>-8029.2836478583122</v>
      </c>
      <c r="L46" s="283">
        <f>-'piano ammo MUTUO'!E23</f>
        <v>-8029.2836478583122</v>
      </c>
      <c r="M46" s="283">
        <f>-'piano ammo MUTUO'!E24</f>
        <v>-8029.2836478583122</v>
      </c>
      <c r="N46" s="283">
        <f>-'piano ammo MUTUO'!E25</f>
        <v>0</v>
      </c>
      <c r="O46" s="283">
        <f>-'piano ammo MUTUO'!E26</f>
        <v>0</v>
      </c>
      <c r="P46" s="283">
        <f>+O46</f>
        <v>0</v>
      </c>
      <c r="Q46" s="283">
        <f t="shared" ref="Q46:AG46" si="20">+P46</f>
        <v>0</v>
      </c>
      <c r="R46" s="283">
        <f t="shared" si="20"/>
        <v>0</v>
      </c>
      <c r="S46" s="283">
        <f t="shared" si="20"/>
        <v>0</v>
      </c>
      <c r="T46" s="283">
        <f t="shared" si="20"/>
        <v>0</v>
      </c>
      <c r="U46" s="283">
        <f t="shared" si="20"/>
        <v>0</v>
      </c>
      <c r="V46" s="283">
        <f t="shared" si="20"/>
        <v>0</v>
      </c>
      <c r="W46" s="283">
        <f t="shared" si="20"/>
        <v>0</v>
      </c>
      <c r="X46" s="283">
        <f t="shared" si="20"/>
        <v>0</v>
      </c>
      <c r="Y46" s="283">
        <f t="shared" si="20"/>
        <v>0</v>
      </c>
      <c r="Z46" s="283">
        <f t="shared" si="20"/>
        <v>0</v>
      </c>
      <c r="AA46" s="283">
        <f t="shared" si="20"/>
        <v>0</v>
      </c>
      <c r="AB46" s="283">
        <f t="shared" si="20"/>
        <v>0</v>
      </c>
      <c r="AC46" s="283">
        <f t="shared" si="20"/>
        <v>0</v>
      </c>
      <c r="AD46" s="283">
        <f t="shared" si="20"/>
        <v>0</v>
      </c>
      <c r="AE46" s="283">
        <f t="shared" si="20"/>
        <v>0</v>
      </c>
      <c r="AF46" s="283">
        <f t="shared" si="20"/>
        <v>0</v>
      </c>
      <c r="AG46" s="283">
        <f t="shared" si="20"/>
        <v>0</v>
      </c>
    </row>
    <row r="47" spans="1:34" ht="25.5" customHeight="1" x14ac:dyDescent="0.2">
      <c r="A47" s="269" t="s">
        <v>258</v>
      </c>
      <c r="B47" s="270"/>
      <c r="C47" s="288">
        <f t="shared" si="12"/>
        <v>-25437</v>
      </c>
      <c r="D47" s="282"/>
      <c r="E47" s="282">
        <f>+D27</f>
        <v>-450</v>
      </c>
      <c r="F47" s="282">
        <f t="shared" ref="F47:AH47" si="21">+E27</f>
        <v>-792</v>
      </c>
      <c r="G47" s="282">
        <f t="shared" si="21"/>
        <v>-488</v>
      </c>
      <c r="H47" s="282">
        <f t="shared" si="21"/>
        <v>-881</v>
      </c>
      <c r="I47" s="282">
        <f t="shared" si="21"/>
        <v>-1273</v>
      </c>
      <c r="J47" s="282">
        <f t="shared" si="21"/>
        <v>-1222</v>
      </c>
      <c r="K47" s="282">
        <f t="shared" si="21"/>
        <v>-1416</v>
      </c>
      <c r="L47" s="282">
        <f t="shared" si="21"/>
        <v>-1648</v>
      </c>
      <c r="M47" s="282">
        <f t="shared" si="21"/>
        <v>-1655</v>
      </c>
      <c r="N47" s="282">
        <f t="shared" si="21"/>
        <v>-1756</v>
      </c>
      <c r="O47" s="282">
        <f t="shared" si="21"/>
        <v>-2141</v>
      </c>
      <c r="P47" s="282">
        <f t="shared" si="21"/>
        <v>-1354</v>
      </c>
      <c r="Q47" s="282">
        <f t="shared" si="21"/>
        <v>-1366</v>
      </c>
      <c r="R47" s="282">
        <f t="shared" si="21"/>
        <v>-1426</v>
      </c>
      <c r="S47" s="282">
        <f t="shared" si="21"/>
        <v>-1486</v>
      </c>
      <c r="T47" s="282">
        <f t="shared" si="21"/>
        <v>-1473</v>
      </c>
      <c r="U47" s="282">
        <f t="shared" si="21"/>
        <v>-1535</v>
      </c>
      <c r="V47" s="282">
        <f t="shared" si="21"/>
        <v>-1597</v>
      </c>
      <c r="W47" s="282">
        <f t="shared" si="21"/>
        <v>-1478</v>
      </c>
      <c r="X47" s="282">
        <f t="shared" si="21"/>
        <v>-1542</v>
      </c>
      <c r="Y47" s="282">
        <f t="shared" si="21"/>
        <v>-1035</v>
      </c>
      <c r="Z47" s="282">
        <f t="shared" si="21"/>
        <v>-924</v>
      </c>
      <c r="AA47" s="282">
        <f t="shared" si="21"/>
        <v>-994</v>
      </c>
      <c r="AB47" s="282">
        <f t="shared" si="21"/>
        <v>-1065</v>
      </c>
      <c r="AC47" s="282">
        <f t="shared" si="21"/>
        <v>-956</v>
      </c>
      <c r="AD47" s="282">
        <f t="shared" si="21"/>
        <v>-1028</v>
      </c>
      <c r="AE47" s="282">
        <f t="shared" si="21"/>
        <v>-1101</v>
      </c>
      <c r="AF47" s="282">
        <f t="shared" si="21"/>
        <v>-993</v>
      </c>
      <c r="AG47" s="282">
        <f t="shared" si="21"/>
        <v>-1068</v>
      </c>
      <c r="AH47" s="282">
        <f t="shared" si="21"/>
        <v>-1144</v>
      </c>
    </row>
    <row r="48" spans="1:34" ht="25.5" customHeight="1" x14ac:dyDescent="0.2">
      <c r="A48" s="269" t="s">
        <v>50</v>
      </c>
      <c r="B48" s="270"/>
      <c r="C48" s="288">
        <f t="shared" si="12"/>
        <v>-617333</v>
      </c>
      <c r="D48" s="282">
        <f>ROUND((D38*$B$38)+(D40*$B$40)+(D41*$B$41)+(D43*$B$43)+(D39*$B$39),0)</f>
        <v>-42802</v>
      </c>
      <c r="E48" s="282">
        <f t="shared" ref="E48:AG48" si="22">ROUND((E38*$B$38)+(E40*$B$40)+(E41*$B$41)+(E43*$B$43)+(E39*$B$39),0)</f>
        <v>-24952</v>
      </c>
      <c r="F48" s="282">
        <f t="shared" si="22"/>
        <v>-28100</v>
      </c>
      <c r="G48" s="282">
        <f t="shared" si="22"/>
        <v>-28710</v>
      </c>
      <c r="H48" s="282">
        <f t="shared" si="22"/>
        <v>-29589</v>
      </c>
      <c r="I48" s="282">
        <f t="shared" si="22"/>
        <v>-33485</v>
      </c>
      <c r="J48" s="282">
        <f t="shared" si="22"/>
        <v>-30130</v>
      </c>
      <c r="K48" s="282">
        <f t="shared" si="22"/>
        <v>-30762</v>
      </c>
      <c r="L48" s="282">
        <f t="shared" si="22"/>
        <v>-31394</v>
      </c>
      <c r="M48" s="282">
        <f t="shared" si="22"/>
        <v>-31725</v>
      </c>
      <c r="N48" s="282">
        <f t="shared" si="22"/>
        <v>-32065</v>
      </c>
      <c r="O48" s="282">
        <f t="shared" si="22"/>
        <v>-28624</v>
      </c>
      <c r="P48" s="282">
        <f t="shared" si="22"/>
        <v>-29564</v>
      </c>
      <c r="Q48" s="282">
        <f t="shared" si="22"/>
        <v>-29863</v>
      </c>
      <c r="R48" s="282">
        <f t="shared" si="22"/>
        <v>-30162</v>
      </c>
      <c r="S48" s="282">
        <f t="shared" si="22"/>
        <v>-30461</v>
      </c>
      <c r="T48" s="282">
        <f t="shared" si="22"/>
        <v>-30769</v>
      </c>
      <c r="U48" s="282">
        <f t="shared" si="22"/>
        <v>-31077</v>
      </c>
      <c r="V48" s="282">
        <f t="shared" si="22"/>
        <v>-31392</v>
      </c>
      <c r="W48" s="282">
        <f t="shared" si="22"/>
        <v>-31707</v>
      </c>
      <c r="X48" s="282">
        <f t="shared" si="22"/>
        <v>-33122</v>
      </c>
      <c r="Y48" s="282">
        <f t="shared" si="22"/>
        <v>-33445</v>
      </c>
      <c r="Z48" s="282">
        <f t="shared" si="22"/>
        <v>-33768</v>
      </c>
      <c r="AA48" s="282">
        <f t="shared" si="22"/>
        <v>-34099</v>
      </c>
      <c r="AB48" s="282">
        <f t="shared" si="22"/>
        <v>-34431</v>
      </c>
      <c r="AC48" s="282">
        <f t="shared" si="22"/>
        <v>-34762</v>
      </c>
      <c r="AD48" s="282">
        <f t="shared" si="22"/>
        <v>-35101</v>
      </c>
      <c r="AE48" s="282">
        <f t="shared" si="22"/>
        <v>-35440</v>
      </c>
      <c r="AF48" s="282">
        <f t="shared" si="22"/>
        <v>-35787</v>
      </c>
      <c r="AG48" s="282">
        <f t="shared" si="22"/>
        <v>-36134</v>
      </c>
    </row>
    <row r="49" spans="1:33" ht="25.5" customHeight="1" x14ac:dyDescent="0.2">
      <c r="A49" s="269" t="s">
        <v>262</v>
      </c>
      <c r="B49" s="270"/>
      <c r="C49" s="288">
        <f t="shared" si="12"/>
        <v>0</v>
      </c>
      <c r="D49" s="282">
        <f>IF(D54&lt;0,0,D54)</f>
        <v>0</v>
      </c>
      <c r="E49" s="282">
        <f>IF(E54&lt;0,0,E54)</f>
        <v>0</v>
      </c>
      <c r="F49" s="282">
        <f>IF(F54&lt;0,0,-F54)</f>
        <v>0</v>
      </c>
      <c r="G49" s="282">
        <f t="shared" ref="G49:AG49" si="23">IF(G54&lt;0,0,-G54)</f>
        <v>0</v>
      </c>
      <c r="H49" s="282">
        <f t="shared" si="23"/>
        <v>0</v>
      </c>
      <c r="I49" s="282">
        <f t="shared" si="23"/>
        <v>0</v>
      </c>
      <c r="J49" s="282">
        <f t="shared" si="23"/>
        <v>0</v>
      </c>
      <c r="K49" s="282">
        <f t="shared" si="23"/>
        <v>0</v>
      </c>
      <c r="L49" s="282">
        <f t="shared" si="23"/>
        <v>0</v>
      </c>
      <c r="M49" s="282">
        <f t="shared" si="23"/>
        <v>0</v>
      </c>
      <c r="N49" s="282">
        <f t="shared" si="23"/>
        <v>0</v>
      </c>
      <c r="O49" s="282">
        <f t="shared" si="23"/>
        <v>0</v>
      </c>
      <c r="P49" s="282">
        <f t="shared" si="23"/>
        <v>0</v>
      </c>
      <c r="Q49" s="282">
        <f t="shared" si="23"/>
        <v>0</v>
      </c>
      <c r="R49" s="282">
        <f t="shared" si="23"/>
        <v>0</v>
      </c>
      <c r="S49" s="282">
        <f t="shared" si="23"/>
        <v>0</v>
      </c>
      <c r="T49" s="282">
        <f t="shared" si="23"/>
        <v>0</v>
      </c>
      <c r="U49" s="282">
        <f t="shared" si="23"/>
        <v>0</v>
      </c>
      <c r="V49" s="282">
        <f t="shared" si="23"/>
        <v>0</v>
      </c>
      <c r="W49" s="282">
        <f t="shared" si="23"/>
        <v>0</v>
      </c>
      <c r="X49" s="282">
        <f t="shared" si="23"/>
        <v>-4115.9000000000015</v>
      </c>
      <c r="Y49" s="282">
        <f t="shared" si="23"/>
        <v>-4166.5999999999985</v>
      </c>
      <c r="Z49" s="282">
        <f t="shared" si="23"/>
        <v>-4217.3000000000029</v>
      </c>
      <c r="AA49" s="282">
        <f t="shared" si="23"/>
        <v>-4270.1999999999971</v>
      </c>
      <c r="AB49" s="282">
        <f t="shared" si="23"/>
        <v>-4322</v>
      </c>
      <c r="AC49" s="282">
        <f t="shared" si="23"/>
        <v>-4374.9000000000015</v>
      </c>
      <c r="AD49" s="282">
        <f t="shared" si="23"/>
        <v>-4428.4000000000015</v>
      </c>
      <c r="AE49" s="282">
        <f t="shared" si="23"/>
        <v>-4481.8000000000029</v>
      </c>
      <c r="AF49" s="282">
        <f t="shared" si="23"/>
        <v>-4536</v>
      </c>
      <c r="AG49" s="282">
        <f t="shared" si="23"/>
        <v>-4590.0999999999985</v>
      </c>
    </row>
    <row r="50" spans="1:33" ht="25.5" customHeight="1" thickBot="1" x14ac:dyDescent="0.25">
      <c r="A50" s="293" t="s">
        <v>266</v>
      </c>
      <c r="B50" s="307"/>
      <c r="C50" s="288">
        <f t="shared" si="12"/>
        <v>0</v>
      </c>
      <c r="D50" s="282"/>
      <c r="E50" s="283"/>
      <c r="F50" s="283"/>
      <c r="G50" s="283">
        <f>ROUND((F28*G55)*-1,0)</f>
        <v>0</v>
      </c>
      <c r="H50" s="283">
        <f t="shared" ref="H50:AG50" si="24">ROUND((G28*H55)*-1,0)</f>
        <v>0</v>
      </c>
      <c r="I50" s="283">
        <f t="shared" si="24"/>
        <v>0</v>
      </c>
      <c r="J50" s="283">
        <f t="shared" si="24"/>
        <v>0</v>
      </c>
      <c r="K50" s="283">
        <f t="shared" si="24"/>
        <v>0</v>
      </c>
      <c r="L50" s="283">
        <f t="shared" si="24"/>
        <v>0</v>
      </c>
      <c r="M50" s="283">
        <f t="shared" si="24"/>
        <v>0</v>
      </c>
      <c r="N50" s="283">
        <f t="shared" si="24"/>
        <v>0</v>
      </c>
      <c r="O50" s="283">
        <f t="shared" si="24"/>
        <v>0</v>
      </c>
      <c r="P50" s="283">
        <f t="shared" si="24"/>
        <v>0</v>
      </c>
      <c r="Q50" s="283">
        <f t="shared" si="24"/>
        <v>0</v>
      </c>
      <c r="R50" s="283">
        <f t="shared" si="24"/>
        <v>0</v>
      </c>
      <c r="S50" s="283">
        <f t="shared" si="24"/>
        <v>0</v>
      </c>
      <c r="T50" s="283">
        <f t="shared" si="24"/>
        <v>0</v>
      </c>
      <c r="U50" s="283">
        <f t="shared" si="24"/>
        <v>0</v>
      </c>
      <c r="V50" s="283">
        <f t="shared" si="24"/>
        <v>0</v>
      </c>
      <c r="W50" s="283">
        <f t="shared" si="24"/>
        <v>0</v>
      </c>
      <c r="X50" s="283">
        <f t="shared" si="24"/>
        <v>-39885</v>
      </c>
      <c r="Y50" s="283" t="e">
        <f t="shared" si="24"/>
        <v>#REF!</v>
      </c>
      <c r="Z50" s="283" t="e">
        <f t="shared" si="24"/>
        <v>#REF!</v>
      </c>
      <c r="AA50" s="283" t="e">
        <f t="shared" si="24"/>
        <v>#REF!</v>
      </c>
      <c r="AB50" s="283" t="e">
        <f t="shared" si="24"/>
        <v>#REF!</v>
      </c>
      <c r="AC50" s="283" t="e">
        <f t="shared" si="24"/>
        <v>#REF!</v>
      </c>
      <c r="AD50" s="283" t="e">
        <f t="shared" si="24"/>
        <v>#REF!</v>
      </c>
      <c r="AE50" s="283" t="e">
        <f t="shared" si="24"/>
        <v>#REF!</v>
      </c>
      <c r="AF50" s="283" t="e">
        <f t="shared" si="24"/>
        <v>#REF!</v>
      </c>
      <c r="AG50" s="283" t="e">
        <f t="shared" si="24"/>
        <v>#REF!</v>
      </c>
    </row>
    <row r="51" spans="1:33" ht="25.5" customHeight="1" thickBot="1" x14ac:dyDescent="0.25">
      <c r="A51" s="299" t="s">
        <v>265</v>
      </c>
      <c r="B51" s="300"/>
      <c r="C51" s="301">
        <f>SUM(C38:C50)</f>
        <v>-6527482.2957378421</v>
      </c>
      <c r="D51" s="301">
        <f>SUM(D38:D50)</f>
        <v>-361502.77994415461</v>
      </c>
      <c r="E51" s="301">
        <f t="shared" ref="E51:AG51" si="25">SUM(E38:E50)</f>
        <v>-263541.77994415461</v>
      </c>
      <c r="F51" s="301">
        <f t="shared" si="25"/>
        <v>-302033.64957378421</v>
      </c>
      <c r="G51" s="301">
        <f t="shared" si="25"/>
        <v>-305863.64957378421</v>
      </c>
      <c r="H51" s="301">
        <f t="shared" si="25"/>
        <v>-311730.64957378421</v>
      </c>
      <c r="I51" s="301">
        <f t="shared" si="25"/>
        <v>-339837.62290711759</v>
      </c>
      <c r="J51" s="301">
        <f t="shared" si="25"/>
        <v>-321557.62290711759</v>
      </c>
      <c r="K51" s="301">
        <f t="shared" si="25"/>
        <v>-325643.62290711759</v>
      </c>
      <c r="L51" s="301">
        <f t="shared" si="25"/>
        <v>-335514.59624045086</v>
      </c>
      <c r="M51" s="301">
        <f t="shared" si="25"/>
        <v>-337561.59624045086</v>
      </c>
      <c r="N51" s="301">
        <f t="shared" si="25"/>
        <v>-331724.31259259256</v>
      </c>
      <c r="O51" s="301">
        <f t="shared" si="25"/>
        <v>-312588.31259259256</v>
      </c>
      <c r="P51" s="301">
        <f t="shared" si="25"/>
        <v>-323067.28592592594</v>
      </c>
      <c r="Q51" s="301">
        <f t="shared" si="25"/>
        <v>-324938.28592592594</v>
      </c>
      <c r="R51" s="301">
        <f t="shared" si="25"/>
        <v>-326859.28592592594</v>
      </c>
      <c r="S51" s="301">
        <f t="shared" si="25"/>
        <v>-334524.25925925927</v>
      </c>
      <c r="T51" s="301">
        <f t="shared" si="25"/>
        <v>-336424.25925925927</v>
      </c>
      <c r="U51" s="301">
        <f t="shared" si="25"/>
        <v>-338401.25925925927</v>
      </c>
      <c r="V51" s="301">
        <f t="shared" si="25"/>
        <v>-346162.2325925926</v>
      </c>
      <c r="W51" s="301">
        <f t="shared" si="25"/>
        <v>-348005.2325925926</v>
      </c>
      <c r="X51" s="301">
        <f t="shared" si="25"/>
        <v>-414134.13259259262</v>
      </c>
      <c r="Y51" s="301" t="e">
        <f t="shared" si="25"/>
        <v>#REF!</v>
      </c>
      <c r="Z51" s="301" t="e">
        <f t="shared" si="25"/>
        <v>#REF!</v>
      </c>
      <c r="AA51" s="301" t="e">
        <f t="shared" si="25"/>
        <v>#REF!</v>
      </c>
      <c r="AB51" s="301" t="e">
        <f t="shared" si="25"/>
        <v>#REF!</v>
      </c>
      <c r="AC51" s="301" t="e">
        <f t="shared" si="25"/>
        <v>#REF!</v>
      </c>
      <c r="AD51" s="301" t="e">
        <f t="shared" si="25"/>
        <v>#REF!</v>
      </c>
      <c r="AE51" s="301" t="e">
        <f t="shared" si="25"/>
        <v>#REF!</v>
      </c>
      <c r="AF51" s="301" t="e">
        <f t="shared" si="25"/>
        <v>#REF!</v>
      </c>
      <c r="AG51" s="301" t="e">
        <f t="shared" si="25"/>
        <v>#REF!</v>
      </c>
    </row>
    <row r="52" spans="1:33" ht="25.5" customHeight="1" thickBot="1" x14ac:dyDescent="0.25">
      <c r="A52" s="294" t="s">
        <v>21</v>
      </c>
      <c r="B52" s="297"/>
      <c r="C52" s="124">
        <f>+C37+C51</f>
        <v>902954.3842621576</v>
      </c>
      <c r="D52" s="298">
        <f>+D37+D51</f>
        <v>20107.620055845415</v>
      </c>
      <c r="E52" s="298">
        <f t="shared" ref="E52:AG52" si="26">+E37+E51</f>
        <v>20384.820055845368</v>
      </c>
      <c r="F52" s="298">
        <f t="shared" si="26"/>
        <v>7434.9504262157716</v>
      </c>
      <c r="G52" s="298">
        <f t="shared" si="26"/>
        <v>30481.830426215776</v>
      </c>
      <c r="H52" s="298">
        <f t="shared" si="26"/>
        <v>49304.710426215781</v>
      </c>
      <c r="I52" s="298">
        <f t="shared" si="26"/>
        <v>28830.097092882381</v>
      </c>
      <c r="J52" s="298">
        <f t="shared" si="26"/>
        <v>54861.257092882413</v>
      </c>
      <c r="K52" s="298">
        <f t="shared" si="26"/>
        <v>58976.777092882432</v>
      </c>
      <c r="L52" s="298">
        <f t="shared" si="26"/>
        <v>57218.763759549125</v>
      </c>
      <c r="M52" s="298">
        <f t="shared" si="26"/>
        <v>59519.843759549141</v>
      </c>
      <c r="N52" s="298">
        <f t="shared" si="26"/>
        <v>69804.567407407449</v>
      </c>
      <c r="O52" s="298">
        <f t="shared" si="26"/>
        <v>46989.04740740743</v>
      </c>
      <c r="P52" s="298">
        <f t="shared" si="26"/>
        <v>48338.234074074076</v>
      </c>
      <c r="Q52" s="298">
        <f t="shared" si="26"/>
        <v>50207.274074074056</v>
      </c>
      <c r="R52" s="298">
        <f t="shared" si="26"/>
        <v>52026.314074074035</v>
      </c>
      <c r="S52" s="298">
        <f t="shared" si="26"/>
        <v>48117.580740740756</v>
      </c>
      <c r="T52" s="298">
        <f t="shared" si="26"/>
        <v>50066.700740740751</v>
      </c>
      <c r="U52" s="298">
        <f t="shared" si="26"/>
        <v>51939.900740740704</v>
      </c>
      <c r="V52" s="298">
        <f t="shared" si="26"/>
        <v>48122.007407407393</v>
      </c>
      <c r="W52" s="298">
        <f t="shared" si="26"/>
        <v>50222.087407407409</v>
      </c>
      <c r="X52" s="298">
        <f t="shared" si="26"/>
        <v>-4517.2325925925979</v>
      </c>
      <c r="Y52" s="298" t="e">
        <f t="shared" si="26"/>
        <v>#REF!</v>
      </c>
      <c r="Z52" s="298" t="e">
        <f t="shared" si="26"/>
        <v>#REF!</v>
      </c>
      <c r="AA52" s="298" t="e">
        <f t="shared" si="26"/>
        <v>#REF!</v>
      </c>
      <c r="AB52" s="298" t="e">
        <f t="shared" si="26"/>
        <v>#REF!</v>
      </c>
      <c r="AC52" s="298" t="e">
        <f t="shared" si="26"/>
        <v>#REF!</v>
      </c>
      <c r="AD52" s="298" t="e">
        <f t="shared" si="26"/>
        <v>#REF!</v>
      </c>
      <c r="AE52" s="298" t="e">
        <f t="shared" si="26"/>
        <v>#REF!</v>
      </c>
      <c r="AF52" s="298" t="e">
        <f t="shared" si="26"/>
        <v>#REF!</v>
      </c>
      <c r="AG52" s="298" t="e">
        <f t="shared" si="26"/>
        <v>#REF!</v>
      </c>
    </row>
    <row r="53" spans="1:33" x14ac:dyDescent="0.2">
      <c r="A53" s="20" t="s">
        <v>139</v>
      </c>
      <c r="C53" s="83"/>
    </row>
    <row r="54" spans="1:33" x14ac:dyDescent="0.2">
      <c r="A54" s="290" t="s">
        <v>264</v>
      </c>
      <c r="B54" s="291"/>
      <c r="C54" s="291"/>
      <c r="D54" s="292">
        <f>+D36+D48</f>
        <v>-23571.599999999999</v>
      </c>
      <c r="E54" s="292">
        <f>+D54+E36+E48</f>
        <v>-27491.999999999996</v>
      </c>
      <c r="F54" s="292">
        <f>+E54+F36+F48</f>
        <v>-32668.399999999994</v>
      </c>
      <c r="G54" s="292">
        <f>+G36+G48</f>
        <v>-3795.5200000000004</v>
      </c>
      <c r="H54" s="292">
        <f t="shared" ref="H54:AG54" si="27">+H36+H48</f>
        <v>-2845.6399999999994</v>
      </c>
      <c r="I54" s="292">
        <f t="shared" si="27"/>
        <v>-6176.2799999999988</v>
      </c>
      <c r="J54" s="292">
        <f t="shared" si="27"/>
        <v>-2247.119999999999</v>
      </c>
      <c r="K54" s="292">
        <f t="shared" si="27"/>
        <v>-2271.5999999999985</v>
      </c>
      <c r="L54" s="292">
        <f t="shared" si="27"/>
        <v>-2302.6399999999994</v>
      </c>
      <c r="M54" s="292">
        <f t="shared" si="27"/>
        <v>-2311.5599999999977</v>
      </c>
      <c r="N54" s="292">
        <f t="shared" si="27"/>
        <v>-2322.119999999999</v>
      </c>
      <c r="O54" s="292">
        <f t="shared" si="27"/>
        <v>-1988.6399999999994</v>
      </c>
      <c r="P54" s="292">
        <f t="shared" si="27"/>
        <v>-2052.4799999999996</v>
      </c>
      <c r="Q54" s="292">
        <f t="shared" si="27"/>
        <v>-2074.4399999999987</v>
      </c>
      <c r="R54" s="292">
        <f t="shared" si="27"/>
        <v>-2096.3999999999978</v>
      </c>
      <c r="S54" s="292">
        <f t="shared" si="27"/>
        <v>-2117.16</v>
      </c>
      <c r="T54" s="292">
        <f t="shared" si="27"/>
        <v>-2140.0400000000009</v>
      </c>
      <c r="U54" s="292">
        <f t="shared" si="27"/>
        <v>-2162.84</v>
      </c>
      <c r="V54" s="292">
        <f t="shared" si="27"/>
        <v>-2185.7599999999984</v>
      </c>
      <c r="W54" s="292">
        <f t="shared" si="27"/>
        <v>-2208.6800000000003</v>
      </c>
      <c r="X54" s="292">
        <f t="shared" si="27"/>
        <v>4115.9000000000015</v>
      </c>
      <c r="Y54" s="292">
        <f t="shared" si="27"/>
        <v>4166.5999999999985</v>
      </c>
      <c r="Z54" s="292">
        <f t="shared" si="27"/>
        <v>4217.3000000000029</v>
      </c>
      <c r="AA54" s="292">
        <f t="shared" si="27"/>
        <v>4270.1999999999971</v>
      </c>
      <c r="AB54" s="292">
        <f t="shared" si="27"/>
        <v>4322</v>
      </c>
      <c r="AC54" s="292">
        <f t="shared" si="27"/>
        <v>4374.9000000000015</v>
      </c>
      <c r="AD54" s="292">
        <f t="shared" si="27"/>
        <v>4428.4000000000015</v>
      </c>
      <c r="AE54" s="292">
        <f t="shared" si="27"/>
        <v>4481.8000000000029</v>
      </c>
      <c r="AF54" s="292">
        <f t="shared" si="27"/>
        <v>4536</v>
      </c>
      <c r="AG54" s="292">
        <f t="shared" si="27"/>
        <v>4590.0999999999985</v>
      </c>
    </row>
    <row r="55" spans="1:33" x14ac:dyDescent="0.2">
      <c r="A55" s="20" t="s">
        <v>267</v>
      </c>
      <c r="D55" s="84">
        <v>0</v>
      </c>
      <c r="E55" s="84">
        <v>0</v>
      </c>
      <c r="F55" s="84">
        <v>0</v>
      </c>
      <c r="G55" s="84">
        <v>0</v>
      </c>
      <c r="H55" s="84">
        <v>0</v>
      </c>
      <c r="I55" s="84">
        <v>0</v>
      </c>
      <c r="J55" s="84">
        <v>0</v>
      </c>
      <c r="K55" s="84">
        <v>0</v>
      </c>
      <c r="L55" s="84">
        <v>0</v>
      </c>
      <c r="M55" s="84">
        <v>0</v>
      </c>
      <c r="N55" s="84">
        <v>0</v>
      </c>
      <c r="O55" s="84">
        <v>0</v>
      </c>
      <c r="P55" s="84">
        <v>0</v>
      </c>
      <c r="Q55" s="84">
        <v>0</v>
      </c>
      <c r="R55" s="84">
        <v>0</v>
      </c>
      <c r="S55" s="84">
        <v>0</v>
      </c>
      <c r="T55" s="84">
        <v>0</v>
      </c>
      <c r="U55" s="84">
        <v>0</v>
      </c>
      <c r="V55" s="84">
        <v>0</v>
      </c>
      <c r="W55" s="84">
        <v>0</v>
      </c>
      <c r="X55" s="84">
        <v>0.8</v>
      </c>
      <c r="Y55" s="84">
        <v>0.8</v>
      </c>
      <c r="Z55" s="84">
        <v>0.8</v>
      </c>
      <c r="AA55" s="84">
        <v>0.8</v>
      </c>
      <c r="AB55" s="84">
        <v>0.8</v>
      </c>
      <c r="AC55" s="84">
        <v>0.8</v>
      </c>
      <c r="AD55" s="84">
        <v>0.8</v>
      </c>
      <c r="AE55" s="84">
        <v>0.8</v>
      </c>
      <c r="AF55" s="84">
        <v>0.8</v>
      </c>
      <c r="AG55" s="84">
        <v>0.8</v>
      </c>
    </row>
    <row r="56" spans="1:33" x14ac:dyDescent="0.2">
      <c r="D56" s="83"/>
      <c r="R56" s="83"/>
    </row>
    <row r="57" spans="1:33" ht="15.75" x14ac:dyDescent="0.2">
      <c r="A57" s="123" t="s">
        <v>104</v>
      </c>
      <c r="B57" s="123"/>
      <c r="C57" s="121"/>
      <c r="D57" s="122">
        <f>+D28</f>
        <v>14546.799999999988</v>
      </c>
      <c r="E57" s="122">
        <f t="shared" ref="E57:AG57" si="28">+D57+E28</f>
        <v>40154.064182392904</v>
      </c>
      <c r="F57" s="122">
        <f t="shared" si="28"/>
        <v>55931.875756298366</v>
      </c>
      <c r="G57" s="122">
        <f t="shared" si="28"/>
        <v>84433.41409129207</v>
      </c>
      <c r="H57" s="122">
        <f t="shared" si="28"/>
        <v>125579.26552542835</v>
      </c>
      <c r="I57" s="122">
        <f t="shared" si="28"/>
        <v>165089.05571366433</v>
      </c>
      <c r="J57" s="122">
        <f t="shared" si="28"/>
        <v>210859.40359370504</v>
      </c>
      <c r="K57" s="122">
        <f t="shared" si="28"/>
        <v>264152.03705014067</v>
      </c>
      <c r="L57" s="122">
        <f t="shared" si="28"/>
        <v>317660.83036179107</v>
      </c>
      <c r="M57" s="122">
        <f t="shared" si="28"/>
        <v>374442.76352141693</v>
      </c>
      <c r="N57" s="122">
        <f t="shared" si="28"/>
        <v>443685.04352141696</v>
      </c>
      <c r="O57" s="122">
        <f t="shared" si="28"/>
        <v>487447.32352141698</v>
      </c>
      <c r="P57" s="122">
        <f t="shared" si="28"/>
        <v>531602.963521417</v>
      </c>
      <c r="Q57" s="122">
        <f t="shared" si="28"/>
        <v>577702.6035214169</v>
      </c>
      <c r="R57" s="122">
        <f t="shared" si="28"/>
        <v>625747.24352141679</v>
      </c>
      <c r="S57" s="122">
        <f t="shared" si="28"/>
        <v>673361.24352141679</v>
      </c>
      <c r="T57" s="122">
        <f t="shared" si="28"/>
        <v>722980.24352141679</v>
      </c>
      <c r="U57" s="122">
        <f t="shared" si="28"/>
        <v>774605.24352141679</v>
      </c>
      <c r="V57" s="122">
        <f t="shared" si="28"/>
        <v>822407.60352141678</v>
      </c>
      <c r="W57" s="122">
        <f t="shared" si="28"/>
        <v>872263.96352141676</v>
      </c>
      <c r="X57" s="122" t="e">
        <f t="shared" si="28"/>
        <v>#REF!</v>
      </c>
      <c r="Y57" s="122" t="e">
        <f t="shared" si="28"/>
        <v>#REF!</v>
      </c>
      <c r="Z57" s="122" t="e">
        <f t="shared" si="28"/>
        <v>#REF!</v>
      </c>
      <c r="AA57" s="122" t="e">
        <f t="shared" si="28"/>
        <v>#REF!</v>
      </c>
      <c r="AB57" s="122" t="e">
        <f t="shared" si="28"/>
        <v>#REF!</v>
      </c>
      <c r="AC57" s="122" t="e">
        <f t="shared" si="28"/>
        <v>#REF!</v>
      </c>
      <c r="AD57" s="122" t="e">
        <f t="shared" si="28"/>
        <v>#REF!</v>
      </c>
      <c r="AE57" s="122" t="e">
        <f t="shared" si="28"/>
        <v>#REF!</v>
      </c>
      <c r="AF57" s="122" t="e">
        <f t="shared" si="28"/>
        <v>#REF!</v>
      </c>
      <c r="AG57" s="122" t="e">
        <f t="shared" si="28"/>
        <v>#REF!</v>
      </c>
    </row>
    <row r="58" spans="1:33" ht="15.75" x14ac:dyDescent="0.2">
      <c r="A58" s="123" t="s">
        <v>105</v>
      </c>
      <c r="B58" s="123"/>
      <c r="C58" s="121"/>
      <c r="D58" s="122">
        <f>+D52</f>
        <v>20107.620055845415</v>
      </c>
      <c r="E58" s="122">
        <f t="shared" ref="E58:AG58" si="29">+D58+E52</f>
        <v>40492.440111690783</v>
      </c>
      <c r="F58" s="122">
        <f t="shared" si="29"/>
        <v>47927.390537906555</v>
      </c>
      <c r="G58" s="122">
        <f t="shared" si="29"/>
        <v>78409.220964122331</v>
      </c>
      <c r="H58" s="122">
        <f t="shared" si="29"/>
        <v>127713.93139033811</v>
      </c>
      <c r="I58" s="122">
        <f t="shared" si="29"/>
        <v>156544.02848322049</v>
      </c>
      <c r="J58" s="122">
        <f t="shared" si="29"/>
        <v>211405.28557610291</v>
      </c>
      <c r="K58" s="122">
        <f t="shared" si="29"/>
        <v>270382.06266898534</v>
      </c>
      <c r="L58" s="122">
        <f t="shared" si="29"/>
        <v>327600.82642853446</v>
      </c>
      <c r="M58" s="122">
        <f t="shared" si="29"/>
        <v>387120.6701880836</v>
      </c>
      <c r="N58" s="122">
        <f t="shared" si="29"/>
        <v>456925.23759549105</v>
      </c>
      <c r="O58" s="122">
        <f t="shared" si="29"/>
        <v>503914.28500289848</v>
      </c>
      <c r="P58" s="122">
        <f t="shared" si="29"/>
        <v>552252.5190769725</v>
      </c>
      <c r="Q58" s="122">
        <f t="shared" si="29"/>
        <v>602459.79315104662</v>
      </c>
      <c r="R58" s="122">
        <f t="shared" si="29"/>
        <v>654486.10722512065</v>
      </c>
      <c r="S58" s="122">
        <f t="shared" si="29"/>
        <v>702603.68796586141</v>
      </c>
      <c r="T58" s="122">
        <f t="shared" si="29"/>
        <v>752670.38870660216</v>
      </c>
      <c r="U58" s="122">
        <f t="shared" si="29"/>
        <v>804610.28944734286</v>
      </c>
      <c r="V58" s="122">
        <f t="shared" si="29"/>
        <v>852732.29685475025</v>
      </c>
      <c r="W58" s="122">
        <f t="shared" si="29"/>
        <v>902954.3842621576</v>
      </c>
      <c r="X58" s="122">
        <f t="shared" si="29"/>
        <v>898437.15166956501</v>
      </c>
      <c r="Y58" s="122" t="e">
        <f t="shared" si="29"/>
        <v>#REF!</v>
      </c>
      <c r="Z58" s="122" t="e">
        <f t="shared" si="29"/>
        <v>#REF!</v>
      </c>
      <c r="AA58" s="122" t="e">
        <f t="shared" si="29"/>
        <v>#REF!</v>
      </c>
      <c r="AB58" s="122" t="e">
        <f t="shared" si="29"/>
        <v>#REF!</v>
      </c>
      <c r="AC58" s="122" t="e">
        <f t="shared" si="29"/>
        <v>#REF!</v>
      </c>
      <c r="AD58" s="122" t="e">
        <f t="shared" si="29"/>
        <v>#REF!</v>
      </c>
      <c r="AE58" s="122" t="e">
        <f t="shared" si="29"/>
        <v>#REF!</v>
      </c>
      <c r="AF58" s="122" t="e">
        <f t="shared" si="29"/>
        <v>#REF!</v>
      </c>
      <c r="AG58" s="122" t="e">
        <f t="shared" si="29"/>
        <v>#REF!</v>
      </c>
    </row>
    <row r="59" spans="1:33" ht="13.5" thickBot="1" x14ac:dyDescent="0.25">
      <c r="C59" s="80"/>
      <c r="D59" s="80"/>
      <c r="E59" s="80"/>
      <c r="F59" s="81"/>
      <c r="G59" s="81"/>
      <c r="H59" s="81"/>
      <c r="I59" s="81"/>
    </row>
    <row r="60" spans="1:33" ht="13.5" thickBot="1" x14ac:dyDescent="0.25">
      <c r="A60" s="391" t="s">
        <v>155</v>
      </c>
      <c r="B60" s="185"/>
      <c r="C60" s="128"/>
      <c r="D60" s="387">
        <v>1</v>
      </c>
      <c r="E60" s="387">
        <v>2</v>
      </c>
      <c r="F60" s="387">
        <v>3</v>
      </c>
      <c r="G60" s="387">
        <v>4</v>
      </c>
      <c r="H60" s="387">
        <v>5</v>
      </c>
      <c r="I60" s="387">
        <v>6</v>
      </c>
      <c r="J60" s="387">
        <v>7</v>
      </c>
      <c r="K60" s="387">
        <v>8</v>
      </c>
      <c r="L60" s="387">
        <v>9</v>
      </c>
      <c r="M60" s="387">
        <v>10</v>
      </c>
      <c r="N60" s="387">
        <v>11</v>
      </c>
      <c r="O60" s="387">
        <v>12</v>
      </c>
      <c r="P60" s="387">
        <v>13</v>
      </c>
      <c r="Q60" s="387">
        <v>14</v>
      </c>
      <c r="R60" s="387">
        <v>15</v>
      </c>
      <c r="S60" s="387">
        <v>16</v>
      </c>
      <c r="T60" s="387">
        <v>17</v>
      </c>
      <c r="U60" s="387">
        <v>18</v>
      </c>
      <c r="V60" s="387">
        <v>19</v>
      </c>
      <c r="W60" s="387">
        <v>20</v>
      </c>
      <c r="X60" s="183">
        <f t="shared" ref="X60:AG60" si="30">+X30</f>
        <v>21</v>
      </c>
      <c r="Y60" s="181">
        <f t="shared" si="30"/>
        <v>22</v>
      </c>
      <c r="Z60" s="181">
        <f t="shared" si="30"/>
        <v>23</v>
      </c>
      <c r="AA60" s="181">
        <f t="shared" si="30"/>
        <v>24</v>
      </c>
      <c r="AB60" s="181">
        <f t="shared" si="30"/>
        <v>25</v>
      </c>
      <c r="AC60" s="181">
        <f t="shared" si="30"/>
        <v>26</v>
      </c>
      <c r="AD60" s="181">
        <f t="shared" si="30"/>
        <v>27</v>
      </c>
      <c r="AE60" s="181">
        <f t="shared" si="30"/>
        <v>28</v>
      </c>
      <c r="AF60" s="181">
        <f t="shared" si="30"/>
        <v>29</v>
      </c>
      <c r="AG60" s="181">
        <f t="shared" si="30"/>
        <v>30</v>
      </c>
    </row>
    <row r="61" spans="1:33" x14ac:dyDescent="0.2">
      <c r="A61" s="4"/>
      <c r="B61" s="4"/>
      <c r="C61" s="128"/>
      <c r="D61" s="128"/>
      <c r="E61" s="128"/>
      <c r="F61" s="128"/>
      <c r="G61" s="128"/>
      <c r="H61" s="128"/>
      <c r="I61" s="128"/>
      <c r="J61" s="128"/>
      <c r="K61" s="128"/>
      <c r="L61" s="128"/>
      <c r="M61" s="128"/>
      <c r="N61" s="128"/>
      <c r="O61" s="128"/>
      <c r="P61" s="128"/>
      <c r="Q61" s="128"/>
      <c r="R61" s="128"/>
      <c r="S61" s="128"/>
      <c r="T61" s="128"/>
      <c r="U61" s="128"/>
      <c r="V61" s="128"/>
      <c r="W61" s="128"/>
      <c r="X61" s="184"/>
      <c r="Y61" s="182"/>
      <c r="Z61" s="182"/>
      <c r="AA61" s="182"/>
      <c r="AB61" s="182"/>
      <c r="AC61" s="182"/>
      <c r="AD61" s="182"/>
      <c r="AE61" s="182"/>
      <c r="AF61" s="182"/>
      <c r="AG61" s="182"/>
    </row>
    <row r="62" spans="1:33" x14ac:dyDescent="0.2">
      <c r="A62" s="95" t="s">
        <v>156</v>
      </c>
      <c r="B62" s="95"/>
      <c r="C62" s="128"/>
      <c r="D62" s="388">
        <f t="shared" ref="D62:AG62" si="31">+D11</f>
        <v>244380</v>
      </c>
      <c r="E62" s="388">
        <f t="shared" si="31"/>
        <v>266975</v>
      </c>
      <c r="F62" s="388">
        <f t="shared" si="31"/>
        <v>290707</v>
      </c>
      <c r="G62" s="388">
        <f t="shared" si="31"/>
        <v>315676</v>
      </c>
      <c r="H62" s="388">
        <f t="shared" si="31"/>
        <v>338622</v>
      </c>
      <c r="I62" s="388">
        <f t="shared" si="31"/>
        <v>345775</v>
      </c>
      <c r="J62" s="388">
        <f t="shared" si="31"/>
        <v>353041</v>
      </c>
      <c r="K62" s="388">
        <f t="shared" si="31"/>
        <v>360725</v>
      </c>
      <c r="L62" s="388">
        <f t="shared" si="31"/>
        <v>368329</v>
      </c>
      <c r="M62" s="388">
        <f t="shared" si="31"/>
        <v>372448</v>
      </c>
      <c r="N62" s="388">
        <f t="shared" si="31"/>
        <v>376662</v>
      </c>
      <c r="O62" s="388">
        <f t="shared" si="31"/>
        <v>337915</v>
      </c>
      <c r="P62" s="388">
        <f t="shared" si="31"/>
        <v>348967</v>
      </c>
      <c r="Q62" s="388">
        <f t="shared" si="31"/>
        <v>352531</v>
      </c>
      <c r="R62" s="388">
        <f t="shared" si="31"/>
        <v>356098</v>
      </c>
      <c r="S62" s="388">
        <f t="shared" si="31"/>
        <v>359681</v>
      </c>
      <c r="T62" s="388">
        <f t="shared" si="31"/>
        <v>363353</v>
      </c>
      <c r="U62" s="388">
        <f t="shared" si="31"/>
        <v>367028</v>
      </c>
      <c r="V62" s="388">
        <f t="shared" si="31"/>
        <v>370791</v>
      </c>
      <c r="W62" s="388">
        <f t="shared" si="31"/>
        <v>374556</v>
      </c>
      <c r="X62" s="282" t="e">
        <f t="shared" si="31"/>
        <v>#REF!</v>
      </c>
      <c r="Y62" s="283" t="e">
        <f t="shared" si="31"/>
        <v>#REF!</v>
      </c>
      <c r="Z62" s="283" t="e">
        <f t="shared" si="31"/>
        <v>#REF!</v>
      </c>
      <c r="AA62" s="283" t="e">
        <f t="shared" si="31"/>
        <v>#REF!</v>
      </c>
      <c r="AB62" s="283" t="e">
        <f t="shared" si="31"/>
        <v>#REF!</v>
      </c>
      <c r="AC62" s="283" t="e">
        <f t="shared" si="31"/>
        <v>#REF!</v>
      </c>
      <c r="AD62" s="283" t="e">
        <f t="shared" si="31"/>
        <v>#REF!</v>
      </c>
      <c r="AE62" s="283" t="e">
        <f t="shared" si="31"/>
        <v>#REF!</v>
      </c>
      <c r="AF62" s="283" t="e">
        <f t="shared" si="31"/>
        <v>#REF!</v>
      </c>
      <c r="AG62" s="283" t="e">
        <f t="shared" si="31"/>
        <v>#REF!</v>
      </c>
    </row>
    <row r="63" spans="1:33" x14ac:dyDescent="0.2">
      <c r="A63" s="95" t="s">
        <v>157</v>
      </c>
      <c r="B63" s="95"/>
      <c r="C63" s="128"/>
      <c r="D63" s="388">
        <f>+D14+D15+D16+D17+D18</f>
        <v>-110222</v>
      </c>
      <c r="E63" s="388">
        <f t="shared" ref="E63:AG63" si="32">+E14+E15+E16+E17+E18</f>
        <v>-119661</v>
      </c>
      <c r="F63" s="388">
        <f t="shared" si="32"/>
        <v>-129573</v>
      </c>
      <c r="G63" s="388">
        <f t="shared" si="32"/>
        <v>-140097</v>
      </c>
      <c r="H63" s="388">
        <f t="shared" si="32"/>
        <v>-149692</v>
      </c>
      <c r="I63" s="388">
        <f t="shared" si="32"/>
        <v>-152771</v>
      </c>
      <c r="J63" s="388">
        <f t="shared" si="32"/>
        <v>-155897</v>
      </c>
      <c r="K63" s="388">
        <f t="shared" si="32"/>
        <v>-159157</v>
      </c>
      <c r="L63" s="388">
        <f t="shared" si="32"/>
        <v>-162424</v>
      </c>
      <c r="M63" s="388">
        <f t="shared" si="32"/>
        <v>-164133</v>
      </c>
      <c r="N63" s="388">
        <f t="shared" si="32"/>
        <v>-165884</v>
      </c>
      <c r="O63" s="388">
        <f t="shared" si="32"/>
        <v>-149804</v>
      </c>
      <c r="P63" s="388">
        <f t="shared" si="32"/>
        <v>-154390</v>
      </c>
      <c r="Q63" s="388">
        <f t="shared" si="32"/>
        <v>-155950</v>
      </c>
      <c r="R63" s="388">
        <f t="shared" si="32"/>
        <v>-157512</v>
      </c>
      <c r="S63" s="388">
        <f t="shared" si="32"/>
        <v>-159078</v>
      </c>
      <c r="T63" s="388">
        <f t="shared" si="32"/>
        <v>-160683</v>
      </c>
      <c r="U63" s="388">
        <f t="shared" si="32"/>
        <v>-162290</v>
      </c>
      <c r="V63" s="388">
        <f t="shared" si="32"/>
        <v>-163934</v>
      </c>
      <c r="W63" s="388">
        <f t="shared" si="32"/>
        <v>-165581</v>
      </c>
      <c r="X63" s="282">
        <f t="shared" si="32"/>
        <v>-186230</v>
      </c>
      <c r="Y63" s="282">
        <f t="shared" si="32"/>
        <v>-187756</v>
      </c>
      <c r="Z63" s="282">
        <f t="shared" si="32"/>
        <v>-189281</v>
      </c>
      <c r="AA63" s="282">
        <f t="shared" si="32"/>
        <v>-190847</v>
      </c>
      <c r="AB63" s="282">
        <f t="shared" si="32"/>
        <v>-192412</v>
      </c>
      <c r="AC63" s="282">
        <f t="shared" si="32"/>
        <v>-193978</v>
      </c>
      <c r="AD63" s="282">
        <f t="shared" si="32"/>
        <v>-195581</v>
      </c>
      <c r="AE63" s="282">
        <f t="shared" si="32"/>
        <v>-197182</v>
      </c>
      <c r="AF63" s="282">
        <f t="shared" si="32"/>
        <v>-198821</v>
      </c>
      <c r="AG63" s="282">
        <f t="shared" si="32"/>
        <v>-200459</v>
      </c>
    </row>
    <row r="64" spans="1:33" x14ac:dyDescent="0.2">
      <c r="A64" s="188" t="s">
        <v>149</v>
      </c>
      <c r="B64" s="188"/>
      <c r="C64" s="385"/>
      <c r="D64" s="389">
        <f>+D62+D63</f>
        <v>134158</v>
      </c>
      <c r="E64" s="389">
        <f t="shared" ref="E64:AG64" si="33">+E62+E63</f>
        <v>147314</v>
      </c>
      <c r="F64" s="389">
        <f t="shared" si="33"/>
        <v>161134</v>
      </c>
      <c r="G64" s="389">
        <f t="shared" si="33"/>
        <v>175579</v>
      </c>
      <c r="H64" s="389">
        <f t="shared" si="33"/>
        <v>188930</v>
      </c>
      <c r="I64" s="389">
        <f t="shared" si="33"/>
        <v>193004</v>
      </c>
      <c r="J64" s="389">
        <f t="shared" si="33"/>
        <v>197144</v>
      </c>
      <c r="K64" s="389">
        <f t="shared" si="33"/>
        <v>201568</v>
      </c>
      <c r="L64" s="389">
        <f t="shared" si="33"/>
        <v>205905</v>
      </c>
      <c r="M64" s="389">
        <f t="shared" si="33"/>
        <v>208315</v>
      </c>
      <c r="N64" s="389">
        <f t="shared" si="33"/>
        <v>210778</v>
      </c>
      <c r="O64" s="389">
        <f t="shared" si="33"/>
        <v>188111</v>
      </c>
      <c r="P64" s="389">
        <f t="shared" si="33"/>
        <v>194577</v>
      </c>
      <c r="Q64" s="389">
        <f t="shared" si="33"/>
        <v>196581</v>
      </c>
      <c r="R64" s="389">
        <f t="shared" si="33"/>
        <v>198586</v>
      </c>
      <c r="S64" s="389">
        <f t="shared" si="33"/>
        <v>200603</v>
      </c>
      <c r="T64" s="389">
        <f t="shared" si="33"/>
        <v>202670</v>
      </c>
      <c r="U64" s="389">
        <f t="shared" si="33"/>
        <v>204738</v>
      </c>
      <c r="V64" s="389">
        <f t="shared" si="33"/>
        <v>206857</v>
      </c>
      <c r="W64" s="389">
        <f t="shared" si="33"/>
        <v>208975</v>
      </c>
      <c r="X64" s="308" t="e">
        <f t="shared" si="33"/>
        <v>#REF!</v>
      </c>
      <c r="Y64" s="309" t="e">
        <f t="shared" si="33"/>
        <v>#REF!</v>
      </c>
      <c r="Z64" s="309" t="e">
        <f t="shared" si="33"/>
        <v>#REF!</v>
      </c>
      <c r="AA64" s="309" t="e">
        <f t="shared" si="33"/>
        <v>#REF!</v>
      </c>
      <c r="AB64" s="309" t="e">
        <f t="shared" si="33"/>
        <v>#REF!</v>
      </c>
      <c r="AC64" s="309" t="e">
        <f t="shared" si="33"/>
        <v>#REF!</v>
      </c>
      <c r="AD64" s="309" t="e">
        <f t="shared" si="33"/>
        <v>#REF!</v>
      </c>
      <c r="AE64" s="309" t="e">
        <f t="shared" si="33"/>
        <v>#REF!</v>
      </c>
      <c r="AF64" s="309" t="e">
        <f t="shared" si="33"/>
        <v>#REF!</v>
      </c>
      <c r="AG64" s="309" t="e">
        <f t="shared" si="33"/>
        <v>#REF!</v>
      </c>
    </row>
    <row r="65" spans="1:33" x14ac:dyDescent="0.2">
      <c r="A65" s="95" t="s">
        <v>119</v>
      </c>
      <c r="B65" s="95"/>
      <c r="C65" s="128"/>
      <c r="D65" s="388">
        <f>+D19+D20</f>
        <v>-106061.2</v>
      </c>
      <c r="E65" s="388">
        <f t="shared" ref="E65:AG65" si="34">+E19+E20</f>
        <v>-106061.2</v>
      </c>
      <c r="F65" s="388">
        <f t="shared" si="34"/>
        <v>-127273.44</v>
      </c>
      <c r="G65" s="388">
        <f t="shared" si="34"/>
        <v>-127273.44</v>
      </c>
      <c r="H65" s="388">
        <f t="shared" si="34"/>
        <v>-127273.44</v>
      </c>
      <c r="I65" s="388">
        <f t="shared" si="34"/>
        <v>-133334.08000000002</v>
      </c>
      <c r="J65" s="388">
        <f t="shared" si="34"/>
        <v>-133334.08000000002</v>
      </c>
      <c r="K65" s="388">
        <f t="shared" si="34"/>
        <v>-133334.08000000002</v>
      </c>
      <c r="L65" s="388">
        <f t="shared" si="34"/>
        <v>-139394.72</v>
      </c>
      <c r="M65" s="388">
        <f t="shared" si="34"/>
        <v>-139394.72</v>
      </c>
      <c r="N65" s="388">
        <f t="shared" si="34"/>
        <v>-139394.72</v>
      </c>
      <c r="O65" s="388">
        <f t="shared" si="34"/>
        <v>-139394.72</v>
      </c>
      <c r="P65" s="388">
        <f t="shared" si="34"/>
        <v>-145455.35999999999</v>
      </c>
      <c r="Q65" s="388">
        <f t="shared" si="34"/>
        <v>-145455.35999999999</v>
      </c>
      <c r="R65" s="388">
        <f t="shared" si="34"/>
        <v>-145455.35999999999</v>
      </c>
      <c r="S65" s="388">
        <f t="shared" si="34"/>
        <v>-151516</v>
      </c>
      <c r="T65" s="388">
        <f t="shared" si="34"/>
        <v>-151516</v>
      </c>
      <c r="U65" s="388">
        <f t="shared" si="34"/>
        <v>-151516</v>
      </c>
      <c r="V65" s="388">
        <f t="shared" si="34"/>
        <v>-157576.64000000001</v>
      </c>
      <c r="W65" s="388">
        <f t="shared" si="34"/>
        <v>-157576.64000000001</v>
      </c>
      <c r="X65" s="282">
        <f t="shared" si="34"/>
        <v>-157576.64000000001</v>
      </c>
      <c r="Y65" s="282">
        <f t="shared" si="34"/>
        <v>-163637.28000000003</v>
      </c>
      <c r="Z65" s="282">
        <f t="shared" si="34"/>
        <v>-163637.28000000003</v>
      </c>
      <c r="AA65" s="282">
        <f t="shared" si="34"/>
        <v>-163637.28000000003</v>
      </c>
      <c r="AB65" s="282">
        <f t="shared" si="34"/>
        <v>-169697.91999999998</v>
      </c>
      <c r="AC65" s="282">
        <f t="shared" si="34"/>
        <v>-169697.91999999998</v>
      </c>
      <c r="AD65" s="282">
        <f t="shared" si="34"/>
        <v>-169697.91999999998</v>
      </c>
      <c r="AE65" s="282">
        <f t="shared" si="34"/>
        <v>-175758.56</v>
      </c>
      <c r="AF65" s="282">
        <f t="shared" si="34"/>
        <v>-175758.56</v>
      </c>
      <c r="AG65" s="282">
        <f t="shared" si="34"/>
        <v>-175758.56</v>
      </c>
    </row>
    <row r="66" spans="1:33" x14ac:dyDescent="0.2">
      <c r="A66" s="188" t="s">
        <v>158</v>
      </c>
      <c r="B66" s="188"/>
      <c r="C66" s="385"/>
      <c r="D66" s="389">
        <f>+D64+D65</f>
        <v>28096.800000000003</v>
      </c>
      <c r="E66" s="389">
        <f t="shared" ref="E66:AG66" si="35">+E64+E65</f>
        <v>41252.800000000003</v>
      </c>
      <c r="F66" s="389">
        <f t="shared" si="35"/>
        <v>33860.559999999998</v>
      </c>
      <c r="G66" s="389">
        <f t="shared" si="35"/>
        <v>48305.56</v>
      </c>
      <c r="H66" s="389">
        <f t="shared" si="35"/>
        <v>61656.56</v>
      </c>
      <c r="I66" s="389">
        <f t="shared" si="35"/>
        <v>59669.919999999984</v>
      </c>
      <c r="J66" s="389">
        <f t="shared" si="35"/>
        <v>63809.919999999984</v>
      </c>
      <c r="K66" s="389">
        <f t="shared" si="35"/>
        <v>68233.919999999984</v>
      </c>
      <c r="L66" s="389">
        <f t="shared" si="35"/>
        <v>66510.28</v>
      </c>
      <c r="M66" s="389">
        <f t="shared" si="35"/>
        <v>68920.28</v>
      </c>
      <c r="N66" s="389">
        <f t="shared" si="35"/>
        <v>71383.28</v>
      </c>
      <c r="O66" s="389">
        <f t="shared" si="35"/>
        <v>48716.28</v>
      </c>
      <c r="P66" s="389">
        <f t="shared" si="35"/>
        <v>49121.640000000014</v>
      </c>
      <c r="Q66" s="389">
        <f t="shared" si="35"/>
        <v>51125.640000000014</v>
      </c>
      <c r="R66" s="389">
        <f t="shared" si="35"/>
        <v>53130.640000000014</v>
      </c>
      <c r="S66" s="389">
        <f t="shared" si="35"/>
        <v>49087</v>
      </c>
      <c r="T66" s="389">
        <f t="shared" si="35"/>
        <v>51154</v>
      </c>
      <c r="U66" s="389">
        <f t="shared" si="35"/>
        <v>53222</v>
      </c>
      <c r="V66" s="389">
        <f t="shared" si="35"/>
        <v>49280.359999999986</v>
      </c>
      <c r="W66" s="389">
        <f t="shared" si="35"/>
        <v>51398.359999999986</v>
      </c>
      <c r="X66" s="308" t="e">
        <f t="shared" si="35"/>
        <v>#REF!</v>
      </c>
      <c r="Y66" s="309" t="e">
        <f t="shared" si="35"/>
        <v>#REF!</v>
      </c>
      <c r="Z66" s="309" t="e">
        <f t="shared" si="35"/>
        <v>#REF!</v>
      </c>
      <c r="AA66" s="309" t="e">
        <f t="shared" si="35"/>
        <v>#REF!</v>
      </c>
      <c r="AB66" s="309" t="e">
        <f t="shared" si="35"/>
        <v>#REF!</v>
      </c>
      <c r="AC66" s="309" t="e">
        <f t="shared" si="35"/>
        <v>#REF!</v>
      </c>
      <c r="AD66" s="309" t="e">
        <f t="shared" si="35"/>
        <v>#REF!</v>
      </c>
      <c r="AE66" s="309" t="e">
        <f t="shared" si="35"/>
        <v>#REF!</v>
      </c>
      <c r="AF66" s="309" t="e">
        <f t="shared" si="35"/>
        <v>#REF!</v>
      </c>
      <c r="AG66" s="309" t="e">
        <f t="shared" si="35"/>
        <v>#REF!</v>
      </c>
    </row>
    <row r="67" spans="1:33" x14ac:dyDescent="0.2">
      <c r="A67" s="95" t="s">
        <v>159</v>
      </c>
      <c r="B67" s="95"/>
      <c r="C67" s="186">
        <v>0.03</v>
      </c>
      <c r="D67" s="388">
        <f>IF(D66&lt;0,0,D66*$C$67)*-1</f>
        <v>-842.90400000000011</v>
      </c>
      <c r="E67" s="388">
        <f t="shared" ref="E67:AG67" si="36">IF(E66&lt;0,0,E66*$C$67)*-1</f>
        <v>-1237.5840000000001</v>
      </c>
      <c r="F67" s="388">
        <f t="shared" si="36"/>
        <v>-1015.8167999999999</v>
      </c>
      <c r="G67" s="388">
        <f t="shared" si="36"/>
        <v>-1449.1668</v>
      </c>
      <c r="H67" s="388">
        <f t="shared" si="36"/>
        <v>-1849.6967999999999</v>
      </c>
      <c r="I67" s="388">
        <f t="shared" si="36"/>
        <v>-1790.0975999999994</v>
      </c>
      <c r="J67" s="388">
        <f t="shared" si="36"/>
        <v>-1914.2975999999994</v>
      </c>
      <c r="K67" s="388">
        <f t="shared" si="36"/>
        <v>-2047.0175999999994</v>
      </c>
      <c r="L67" s="388">
        <f t="shared" si="36"/>
        <v>-1995.3083999999999</v>
      </c>
      <c r="M67" s="388">
        <f t="shared" si="36"/>
        <v>-2067.6084000000001</v>
      </c>
      <c r="N67" s="388">
        <f t="shared" si="36"/>
        <v>-2141.4983999999999</v>
      </c>
      <c r="O67" s="388">
        <f t="shared" si="36"/>
        <v>-1461.4884</v>
      </c>
      <c r="P67" s="388">
        <f t="shared" si="36"/>
        <v>-1473.6492000000003</v>
      </c>
      <c r="Q67" s="388">
        <f t="shared" si="36"/>
        <v>-1533.7692000000004</v>
      </c>
      <c r="R67" s="388">
        <f t="shared" si="36"/>
        <v>-1593.9192000000003</v>
      </c>
      <c r="S67" s="388">
        <f t="shared" si="36"/>
        <v>-1472.61</v>
      </c>
      <c r="T67" s="388">
        <f t="shared" si="36"/>
        <v>-1534.62</v>
      </c>
      <c r="U67" s="388">
        <f t="shared" si="36"/>
        <v>-1596.6599999999999</v>
      </c>
      <c r="V67" s="388">
        <f t="shared" si="36"/>
        <v>-1478.4107999999994</v>
      </c>
      <c r="W67" s="388">
        <f t="shared" si="36"/>
        <v>-1541.9507999999996</v>
      </c>
      <c r="X67" s="282" t="e">
        <f t="shared" si="36"/>
        <v>#REF!</v>
      </c>
      <c r="Y67" s="283" t="e">
        <f t="shared" si="36"/>
        <v>#REF!</v>
      </c>
      <c r="Z67" s="283" t="e">
        <f t="shared" si="36"/>
        <v>#REF!</v>
      </c>
      <c r="AA67" s="283" t="e">
        <f t="shared" si="36"/>
        <v>#REF!</v>
      </c>
      <c r="AB67" s="283" t="e">
        <f t="shared" si="36"/>
        <v>#REF!</v>
      </c>
      <c r="AC67" s="283" t="e">
        <f t="shared" si="36"/>
        <v>#REF!</v>
      </c>
      <c r="AD67" s="283" t="e">
        <f t="shared" si="36"/>
        <v>#REF!</v>
      </c>
      <c r="AE67" s="283" t="e">
        <f t="shared" si="36"/>
        <v>#REF!</v>
      </c>
      <c r="AF67" s="283" t="e">
        <f t="shared" si="36"/>
        <v>#REF!</v>
      </c>
      <c r="AG67" s="283" t="e">
        <f t="shared" si="36"/>
        <v>#REF!</v>
      </c>
    </row>
    <row r="68" spans="1:33" x14ac:dyDescent="0.2">
      <c r="A68" s="95" t="s">
        <v>160</v>
      </c>
      <c r="B68" s="95"/>
      <c r="C68" s="187">
        <v>0</v>
      </c>
      <c r="D68" s="388">
        <f>-ROUND((D66-D65-'DATI PROGETTO E FINANZIAMENTO'!C153)*'BUSINESS PLAN'!$C$68,0)</f>
        <v>0</v>
      </c>
      <c r="E68" s="388">
        <f>-ROUND((E66-E65-'DATI PROGETTO E FINANZIAMENTO'!D153)*'BUSINESS PLAN'!$C$68,0)</f>
        <v>0</v>
      </c>
      <c r="F68" s="388">
        <f>-ROUND((F66-F65-'DATI PROGETTO E FINANZIAMENTO'!E153)*'BUSINESS PLAN'!$C$68,0)</f>
        <v>0</v>
      </c>
      <c r="G68" s="388">
        <f>-ROUND((G66-G65-'DATI PROGETTO E FINANZIAMENTO'!F153)*'BUSINESS PLAN'!$C$68,0)</f>
        <v>0</v>
      </c>
      <c r="H68" s="388">
        <f>-ROUND((H66-H65-'DATI PROGETTO E FINANZIAMENTO'!G153)*'BUSINESS PLAN'!$C$68,0)</f>
        <v>0</v>
      </c>
      <c r="I68" s="388">
        <f>-ROUND((I66-I65-'DATI PROGETTO E FINANZIAMENTO'!H153)*'BUSINESS PLAN'!$C$68,0)</f>
        <v>0</v>
      </c>
      <c r="J68" s="388">
        <f>-ROUND((J66-J65-'DATI PROGETTO E FINANZIAMENTO'!I153)*'BUSINESS PLAN'!$C$68,0)</f>
        <v>0</v>
      </c>
      <c r="K68" s="388">
        <f>-ROUND((K66-K65-'DATI PROGETTO E FINANZIAMENTO'!J153)*'BUSINESS PLAN'!$C$68,0)</f>
        <v>0</v>
      </c>
      <c r="L68" s="388">
        <f>-ROUND((L66-L65-'DATI PROGETTO E FINANZIAMENTO'!K153)*'BUSINESS PLAN'!$C$68,0)</f>
        <v>0</v>
      </c>
      <c r="M68" s="388">
        <f>-ROUND((M66-M65-'DATI PROGETTO E FINANZIAMENTO'!L153)*'BUSINESS PLAN'!$C$68,0)</f>
        <v>0</v>
      </c>
      <c r="N68" s="388">
        <f>-ROUND((N66-N65-'DATI PROGETTO E FINANZIAMENTO'!M153)*'BUSINESS PLAN'!$C$68,0)</f>
        <v>0</v>
      </c>
      <c r="O68" s="388">
        <f>-ROUND((O66-O65-'DATI PROGETTO E FINANZIAMENTO'!N153)*'BUSINESS PLAN'!$C$68,0)</f>
        <v>0</v>
      </c>
      <c r="P68" s="388">
        <f>-ROUND((P66-P65-'DATI PROGETTO E FINANZIAMENTO'!O153)*'BUSINESS PLAN'!$C$68,0)</f>
        <v>0</v>
      </c>
      <c r="Q68" s="388">
        <f>-ROUND((Q66-Q65-'DATI PROGETTO E FINANZIAMENTO'!P153)*'BUSINESS PLAN'!$C$68,0)</f>
        <v>0</v>
      </c>
      <c r="R68" s="388">
        <f>-ROUND((R66-R65-'DATI PROGETTO E FINANZIAMENTO'!Q153)*'BUSINESS PLAN'!$C$68,0)</f>
        <v>0</v>
      </c>
      <c r="S68" s="388">
        <f>-ROUND((S66-S65-'DATI PROGETTO E FINANZIAMENTO'!R153)*'BUSINESS PLAN'!$C$68,0)</f>
        <v>0</v>
      </c>
      <c r="T68" s="388">
        <f>-ROUND((T66-T65-'DATI PROGETTO E FINANZIAMENTO'!S153)*'BUSINESS PLAN'!$C$68,0)</f>
        <v>0</v>
      </c>
      <c r="U68" s="388">
        <f>-ROUND((U66-U65-'DATI PROGETTO E FINANZIAMENTO'!T153)*'BUSINESS PLAN'!$C$68,0)</f>
        <v>0</v>
      </c>
      <c r="V68" s="388">
        <f>-ROUND((V66-V65-'DATI PROGETTO E FINANZIAMENTO'!U153)*'BUSINESS PLAN'!$C$68,0)</f>
        <v>0</v>
      </c>
      <c r="W68" s="388">
        <f>-ROUND((W66-W65-'DATI PROGETTO E FINANZIAMENTO'!V153)*'BUSINESS PLAN'!$C$68,0)</f>
        <v>0</v>
      </c>
      <c r="X68" s="282" t="e">
        <f>-ROUND((X66-X65-'DATI PROGETTO E FINANZIAMENTO'!W153)*'BUSINESS PLAN'!$C$68,0)</f>
        <v>#REF!</v>
      </c>
      <c r="Y68" s="282" t="e">
        <f>-ROUND((Y66-Y65-'DATI PROGETTO E FINANZIAMENTO'!X153)*'BUSINESS PLAN'!$C$68,0)</f>
        <v>#REF!</v>
      </c>
      <c r="Z68" s="282" t="e">
        <f>-ROUND((Z66-Z65-'DATI PROGETTO E FINANZIAMENTO'!Y153)*'BUSINESS PLAN'!$C$68,0)</f>
        <v>#REF!</v>
      </c>
      <c r="AA68" s="282" t="e">
        <f>-ROUND((AA66-AA65-'DATI PROGETTO E FINANZIAMENTO'!Z153)*'BUSINESS PLAN'!$C$68,0)</f>
        <v>#REF!</v>
      </c>
      <c r="AB68" s="282" t="e">
        <f>-ROUND((AB66-AB65-'DATI PROGETTO E FINANZIAMENTO'!AA153)*'BUSINESS PLAN'!$C$68,0)</f>
        <v>#REF!</v>
      </c>
      <c r="AC68" s="282" t="e">
        <f>-ROUND((AC66-AC65-'DATI PROGETTO E FINANZIAMENTO'!AB153)*'BUSINESS PLAN'!$C$68,0)</f>
        <v>#REF!</v>
      </c>
      <c r="AD68" s="282" t="e">
        <f>-ROUND((AD66-AD65-'DATI PROGETTO E FINANZIAMENTO'!AC153)*'BUSINESS PLAN'!$C$68,0)</f>
        <v>#REF!</v>
      </c>
      <c r="AE68" s="282" t="e">
        <f>-ROUND((AE66-AE65-'DATI PROGETTO E FINANZIAMENTO'!AD153)*'BUSINESS PLAN'!$C$68,0)</f>
        <v>#REF!</v>
      </c>
      <c r="AF68" s="282" t="e">
        <f>-ROUND((AF66-AF65-'DATI PROGETTO E FINANZIAMENTO'!AE153)*'BUSINESS PLAN'!$C$68,0)</f>
        <v>#REF!</v>
      </c>
      <c r="AG68" s="282" t="e">
        <f>-ROUND((AG66-AG65-'DATI PROGETTO E FINANZIAMENTO'!AF153)*'BUSINESS PLAN'!$C$68,0)</f>
        <v>#REF!</v>
      </c>
    </row>
    <row r="69" spans="1:33" x14ac:dyDescent="0.2">
      <c r="A69" s="9" t="s">
        <v>161</v>
      </c>
      <c r="B69" s="9"/>
      <c r="C69" s="9"/>
      <c r="D69" s="390">
        <f>+D67+D68</f>
        <v>-842.90400000000011</v>
      </c>
      <c r="E69" s="390">
        <f t="shared" ref="E69:AG69" si="37">+E67+E68</f>
        <v>-1237.5840000000001</v>
      </c>
      <c r="F69" s="390">
        <f t="shared" si="37"/>
        <v>-1015.8167999999999</v>
      </c>
      <c r="G69" s="390">
        <f t="shared" si="37"/>
        <v>-1449.1668</v>
      </c>
      <c r="H69" s="390">
        <f t="shared" si="37"/>
        <v>-1849.6967999999999</v>
      </c>
      <c r="I69" s="390">
        <f t="shared" si="37"/>
        <v>-1790.0975999999994</v>
      </c>
      <c r="J69" s="390">
        <f t="shared" si="37"/>
        <v>-1914.2975999999994</v>
      </c>
      <c r="K69" s="390">
        <f t="shared" si="37"/>
        <v>-2047.0175999999994</v>
      </c>
      <c r="L69" s="390">
        <f t="shared" si="37"/>
        <v>-1995.3083999999999</v>
      </c>
      <c r="M69" s="390">
        <f t="shared" si="37"/>
        <v>-2067.6084000000001</v>
      </c>
      <c r="N69" s="390">
        <f t="shared" si="37"/>
        <v>-2141.4983999999999</v>
      </c>
      <c r="O69" s="390">
        <f t="shared" si="37"/>
        <v>-1461.4884</v>
      </c>
      <c r="P69" s="390">
        <f t="shared" si="37"/>
        <v>-1473.6492000000003</v>
      </c>
      <c r="Q69" s="390">
        <f t="shared" si="37"/>
        <v>-1533.7692000000004</v>
      </c>
      <c r="R69" s="390">
        <f t="shared" si="37"/>
        <v>-1593.9192000000003</v>
      </c>
      <c r="S69" s="390">
        <f t="shared" si="37"/>
        <v>-1472.61</v>
      </c>
      <c r="T69" s="390">
        <f t="shared" si="37"/>
        <v>-1534.62</v>
      </c>
      <c r="U69" s="390">
        <f t="shared" si="37"/>
        <v>-1596.6599999999999</v>
      </c>
      <c r="V69" s="390">
        <f t="shared" si="37"/>
        <v>-1478.4107999999994</v>
      </c>
      <c r="W69" s="390">
        <f t="shared" si="37"/>
        <v>-1541.9507999999996</v>
      </c>
      <c r="X69" s="308" t="e">
        <f t="shared" si="37"/>
        <v>#REF!</v>
      </c>
      <c r="Y69" s="309" t="e">
        <f t="shared" si="37"/>
        <v>#REF!</v>
      </c>
      <c r="Z69" s="309" t="e">
        <f t="shared" si="37"/>
        <v>#REF!</v>
      </c>
      <c r="AA69" s="309" t="e">
        <f t="shared" si="37"/>
        <v>#REF!</v>
      </c>
      <c r="AB69" s="309" t="e">
        <f t="shared" si="37"/>
        <v>#REF!</v>
      </c>
      <c r="AC69" s="309" t="e">
        <f t="shared" si="37"/>
        <v>#REF!</v>
      </c>
      <c r="AD69" s="309" t="e">
        <f t="shared" si="37"/>
        <v>#REF!</v>
      </c>
      <c r="AE69" s="309" t="e">
        <f t="shared" si="37"/>
        <v>#REF!</v>
      </c>
      <c r="AF69" s="309" t="e">
        <f t="shared" si="37"/>
        <v>#REF!</v>
      </c>
      <c r="AG69" s="309" t="e">
        <f t="shared" si="37"/>
        <v>#REF!</v>
      </c>
    </row>
    <row r="70" spans="1:33" x14ac:dyDescent="0.2">
      <c r="A70" s="188" t="s">
        <v>165</v>
      </c>
      <c r="B70" s="188"/>
      <c r="C70" s="188"/>
      <c r="D70" s="389">
        <f>+D66+D69</f>
        <v>27253.896000000004</v>
      </c>
      <c r="E70" s="389">
        <f t="shared" ref="E70:AG70" si="38">+E66+E69</f>
        <v>40015.216</v>
      </c>
      <c r="F70" s="389">
        <f t="shared" si="38"/>
        <v>32844.743199999997</v>
      </c>
      <c r="G70" s="389">
        <f t="shared" si="38"/>
        <v>46856.393199999999</v>
      </c>
      <c r="H70" s="389">
        <f t="shared" si="38"/>
        <v>59806.8632</v>
      </c>
      <c r="I70" s="389">
        <f t="shared" si="38"/>
        <v>57879.822399999983</v>
      </c>
      <c r="J70" s="389">
        <f t="shared" si="38"/>
        <v>61895.622399999986</v>
      </c>
      <c r="K70" s="389">
        <f t="shared" si="38"/>
        <v>66186.902399999977</v>
      </c>
      <c r="L70" s="389">
        <f t="shared" si="38"/>
        <v>64514.971599999997</v>
      </c>
      <c r="M70" s="389">
        <f t="shared" si="38"/>
        <v>66852.671600000001</v>
      </c>
      <c r="N70" s="389">
        <f t="shared" si="38"/>
        <v>69241.781600000002</v>
      </c>
      <c r="O70" s="389">
        <f t="shared" si="38"/>
        <v>47254.791599999997</v>
      </c>
      <c r="P70" s="389">
        <f t="shared" si="38"/>
        <v>47647.990800000014</v>
      </c>
      <c r="Q70" s="389">
        <f t="shared" si="38"/>
        <v>49591.870800000012</v>
      </c>
      <c r="R70" s="389">
        <f t="shared" si="38"/>
        <v>51536.72080000001</v>
      </c>
      <c r="S70" s="389">
        <f t="shared" si="38"/>
        <v>47614.39</v>
      </c>
      <c r="T70" s="389">
        <f t="shared" si="38"/>
        <v>49619.38</v>
      </c>
      <c r="U70" s="389">
        <f t="shared" si="38"/>
        <v>51625.34</v>
      </c>
      <c r="V70" s="389">
        <f t="shared" si="38"/>
        <v>47801.949199999988</v>
      </c>
      <c r="W70" s="389">
        <f t="shared" si="38"/>
        <v>49856.409199999987</v>
      </c>
      <c r="X70" s="296" t="e">
        <f t="shared" si="38"/>
        <v>#REF!</v>
      </c>
      <c r="Y70" s="310" t="e">
        <f t="shared" si="38"/>
        <v>#REF!</v>
      </c>
      <c r="Z70" s="310" t="e">
        <f t="shared" si="38"/>
        <v>#REF!</v>
      </c>
      <c r="AA70" s="310" t="e">
        <f t="shared" si="38"/>
        <v>#REF!</v>
      </c>
      <c r="AB70" s="310" t="e">
        <f t="shared" si="38"/>
        <v>#REF!</v>
      </c>
      <c r="AC70" s="310" t="e">
        <f t="shared" si="38"/>
        <v>#REF!</v>
      </c>
      <c r="AD70" s="310" t="e">
        <f t="shared" si="38"/>
        <v>#REF!</v>
      </c>
      <c r="AE70" s="310" t="e">
        <f t="shared" si="38"/>
        <v>#REF!</v>
      </c>
      <c r="AF70" s="310" t="e">
        <f t="shared" si="38"/>
        <v>#REF!</v>
      </c>
      <c r="AG70" s="310" t="e">
        <f t="shared" si="38"/>
        <v>#REF!</v>
      </c>
    </row>
    <row r="71" spans="1:33" x14ac:dyDescent="0.2">
      <c r="A71" s="95" t="s">
        <v>162</v>
      </c>
      <c r="B71" s="95"/>
      <c r="C71" s="4"/>
      <c r="D71" s="388">
        <f t="shared" ref="D71:AG71" si="39">+D12+D13</f>
        <v>-10000</v>
      </c>
      <c r="E71" s="388">
        <f t="shared" si="39"/>
        <v>-12000</v>
      </c>
      <c r="F71" s="388">
        <f t="shared" si="39"/>
        <v>-15000</v>
      </c>
      <c r="G71" s="388">
        <f t="shared" si="39"/>
        <v>-16600</v>
      </c>
      <c r="H71" s="388">
        <f t="shared" si="39"/>
        <v>-17200</v>
      </c>
      <c r="I71" s="388">
        <f t="shared" si="39"/>
        <v>-17200</v>
      </c>
      <c r="J71" s="388">
        <f t="shared" si="39"/>
        <v>-15200</v>
      </c>
      <c r="K71" s="388">
        <f t="shared" si="39"/>
        <v>-12200</v>
      </c>
      <c r="L71" s="388">
        <f t="shared" si="39"/>
        <v>-10600</v>
      </c>
      <c r="M71" s="388">
        <f t="shared" si="39"/>
        <v>-10000</v>
      </c>
      <c r="N71" s="388">
        <f t="shared" si="39"/>
        <v>0</v>
      </c>
      <c r="O71" s="388">
        <f t="shared" si="39"/>
        <v>-3600</v>
      </c>
      <c r="P71" s="388">
        <f t="shared" si="39"/>
        <v>-3600</v>
      </c>
      <c r="Q71" s="388">
        <f t="shared" si="39"/>
        <v>-3600</v>
      </c>
      <c r="R71" s="388">
        <f t="shared" si="39"/>
        <v>-3600</v>
      </c>
      <c r="S71" s="388">
        <f t="shared" si="39"/>
        <v>0</v>
      </c>
      <c r="T71" s="388">
        <f t="shared" si="39"/>
        <v>0</v>
      </c>
      <c r="U71" s="388">
        <f t="shared" si="39"/>
        <v>0</v>
      </c>
      <c r="V71" s="388">
        <f t="shared" si="39"/>
        <v>0</v>
      </c>
      <c r="W71" s="388">
        <f t="shared" si="39"/>
        <v>0</v>
      </c>
      <c r="X71" s="282">
        <f t="shared" si="39"/>
        <v>0</v>
      </c>
      <c r="Y71" s="283">
        <f t="shared" si="39"/>
        <v>0</v>
      </c>
      <c r="Z71" s="283">
        <f t="shared" si="39"/>
        <v>0</v>
      </c>
      <c r="AA71" s="283">
        <f t="shared" si="39"/>
        <v>0</v>
      </c>
      <c r="AB71" s="283">
        <f t="shared" si="39"/>
        <v>0</v>
      </c>
      <c r="AC71" s="283">
        <f t="shared" si="39"/>
        <v>0</v>
      </c>
      <c r="AD71" s="283">
        <f t="shared" si="39"/>
        <v>0</v>
      </c>
      <c r="AE71" s="283">
        <f t="shared" si="39"/>
        <v>0</v>
      </c>
      <c r="AF71" s="283">
        <f t="shared" si="39"/>
        <v>0</v>
      </c>
      <c r="AG71" s="283">
        <f t="shared" si="39"/>
        <v>0</v>
      </c>
    </row>
    <row r="72" spans="1:33" x14ac:dyDescent="0.2">
      <c r="A72" s="95" t="s">
        <v>163</v>
      </c>
      <c r="B72" s="95"/>
      <c r="C72" s="187">
        <v>0.03</v>
      </c>
      <c r="D72" s="388">
        <f>-D71*$C$72</f>
        <v>300</v>
      </c>
      <c r="E72" s="388">
        <f t="shared" ref="E72:AG72" si="40">-E71*$C$72</f>
        <v>360</v>
      </c>
      <c r="F72" s="388">
        <f t="shared" si="40"/>
        <v>450</v>
      </c>
      <c r="G72" s="388">
        <f t="shared" si="40"/>
        <v>498</v>
      </c>
      <c r="H72" s="388">
        <f t="shared" si="40"/>
        <v>516</v>
      </c>
      <c r="I72" s="388">
        <f t="shared" si="40"/>
        <v>516</v>
      </c>
      <c r="J72" s="388">
        <f t="shared" si="40"/>
        <v>456</v>
      </c>
      <c r="K72" s="388">
        <f t="shared" si="40"/>
        <v>366</v>
      </c>
      <c r="L72" s="388">
        <f t="shared" si="40"/>
        <v>318</v>
      </c>
      <c r="M72" s="388">
        <f t="shared" si="40"/>
        <v>300</v>
      </c>
      <c r="N72" s="388">
        <f t="shared" si="40"/>
        <v>0</v>
      </c>
      <c r="O72" s="388">
        <f t="shared" si="40"/>
        <v>108</v>
      </c>
      <c r="P72" s="388">
        <f t="shared" si="40"/>
        <v>108</v>
      </c>
      <c r="Q72" s="388">
        <f t="shared" si="40"/>
        <v>108</v>
      </c>
      <c r="R72" s="388">
        <f t="shared" si="40"/>
        <v>108</v>
      </c>
      <c r="S72" s="388">
        <f t="shared" si="40"/>
        <v>0</v>
      </c>
      <c r="T72" s="388">
        <f t="shared" si="40"/>
        <v>0</v>
      </c>
      <c r="U72" s="388">
        <f t="shared" si="40"/>
        <v>0</v>
      </c>
      <c r="V72" s="388">
        <f t="shared" si="40"/>
        <v>0</v>
      </c>
      <c r="W72" s="388">
        <f t="shared" si="40"/>
        <v>0</v>
      </c>
      <c r="X72" s="282">
        <f t="shared" si="40"/>
        <v>0</v>
      </c>
      <c r="Y72" s="282">
        <f t="shared" si="40"/>
        <v>0</v>
      </c>
      <c r="Z72" s="282">
        <f t="shared" si="40"/>
        <v>0</v>
      </c>
      <c r="AA72" s="282">
        <f t="shared" si="40"/>
        <v>0</v>
      </c>
      <c r="AB72" s="282">
        <f t="shared" si="40"/>
        <v>0</v>
      </c>
      <c r="AC72" s="282">
        <f t="shared" si="40"/>
        <v>0</v>
      </c>
      <c r="AD72" s="282">
        <f t="shared" si="40"/>
        <v>0</v>
      </c>
      <c r="AE72" s="282">
        <f t="shared" si="40"/>
        <v>0</v>
      </c>
      <c r="AF72" s="282">
        <f t="shared" si="40"/>
        <v>0</v>
      </c>
      <c r="AG72" s="282">
        <f t="shared" si="40"/>
        <v>0</v>
      </c>
    </row>
    <row r="73" spans="1:33" x14ac:dyDescent="0.2">
      <c r="A73" s="9" t="s">
        <v>164</v>
      </c>
      <c r="B73" s="9"/>
      <c r="C73" s="9"/>
      <c r="D73" s="390">
        <f>+D70+D71+D72</f>
        <v>17553.896000000004</v>
      </c>
      <c r="E73" s="390">
        <f t="shared" ref="E73:AG73" si="41">+E70+E71+E72</f>
        <v>28375.216</v>
      </c>
      <c r="F73" s="390">
        <f t="shared" si="41"/>
        <v>18294.743199999997</v>
      </c>
      <c r="G73" s="390">
        <f t="shared" si="41"/>
        <v>30754.393199999999</v>
      </c>
      <c r="H73" s="390">
        <f t="shared" si="41"/>
        <v>43122.8632</v>
      </c>
      <c r="I73" s="390">
        <f t="shared" si="41"/>
        <v>41195.822399999983</v>
      </c>
      <c r="J73" s="390">
        <f t="shared" si="41"/>
        <v>47151.622399999986</v>
      </c>
      <c r="K73" s="390">
        <f t="shared" si="41"/>
        <v>54352.902399999977</v>
      </c>
      <c r="L73" s="390">
        <f t="shared" si="41"/>
        <v>54232.971599999997</v>
      </c>
      <c r="M73" s="390">
        <f t="shared" si="41"/>
        <v>57152.671600000001</v>
      </c>
      <c r="N73" s="390">
        <f t="shared" si="41"/>
        <v>69241.781600000002</v>
      </c>
      <c r="O73" s="390">
        <f t="shared" si="41"/>
        <v>43762.791599999997</v>
      </c>
      <c r="P73" s="390">
        <f t="shared" si="41"/>
        <v>44155.990800000014</v>
      </c>
      <c r="Q73" s="390">
        <f t="shared" si="41"/>
        <v>46099.870800000012</v>
      </c>
      <c r="R73" s="390">
        <f t="shared" si="41"/>
        <v>48044.72080000001</v>
      </c>
      <c r="S73" s="390">
        <f t="shared" si="41"/>
        <v>47614.39</v>
      </c>
      <c r="T73" s="390">
        <f t="shared" si="41"/>
        <v>49619.38</v>
      </c>
      <c r="U73" s="390">
        <f t="shared" si="41"/>
        <v>51625.34</v>
      </c>
      <c r="V73" s="390">
        <f t="shared" si="41"/>
        <v>47801.949199999988</v>
      </c>
      <c r="W73" s="390">
        <f t="shared" si="41"/>
        <v>49856.409199999987</v>
      </c>
      <c r="X73" s="308" t="e">
        <f t="shared" si="41"/>
        <v>#REF!</v>
      </c>
      <c r="Y73" s="309" t="e">
        <f t="shared" si="41"/>
        <v>#REF!</v>
      </c>
      <c r="Z73" s="309" t="e">
        <f t="shared" si="41"/>
        <v>#REF!</v>
      </c>
      <c r="AA73" s="309" t="e">
        <f t="shared" si="41"/>
        <v>#REF!</v>
      </c>
      <c r="AB73" s="309" t="e">
        <f t="shared" si="41"/>
        <v>#REF!</v>
      </c>
      <c r="AC73" s="309" t="e">
        <f t="shared" si="41"/>
        <v>#REF!</v>
      </c>
      <c r="AD73" s="309" t="e">
        <f t="shared" si="41"/>
        <v>#REF!</v>
      </c>
      <c r="AE73" s="309" t="e">
        <f t="shared" si="41"/>
        <v>#REF!</v>
      </c>
      <c r="AF73" s="309" t="e">
        <f t="shared" si="41"/>
        <v>#REF!</v>
      </c>
      <c r="AG73" s="309" t="e">
        <f t="shared" si="41"/>
        <v>#REF!</v>
      </c>
    </row>
    <row r="74" spans="1:33" x14ac:dyDescent="0.2">
      <c r="A74" s="95" t="s">
        <v>166</v>
      </c>
      <c r="B74" s="95"/>
      <c r="C74" s="4"/>
      <c r="D74" s="388">
        <f>+D21</f>
        <v>-3099.9999999999854</v>
      </c>
      <c r="E74" s="388">
        <f t="shared" ref="E74:AG74" si="42">+E21</f>
        <v>-2853.5358176070731</v>
      </c>
      <c r="F74" s="388">
        <f t="shared" si="42"/>
        <v>-2594.7484260945421</v>
      </c>
      <c r="G74" s="388">
        <f t="shared" si="42"/>
        <v>-2323.0216650063085</v>
      </c>
      <c r="H74" s="388">
        <f t="shared" si="42"/>
        <v>-2037.7085658637516</v>
      </c>
      <c r="I74" s="388">
        <f t="shared" si="42"/>
        <v>-1738.129811763989</v>
      </c>
      <c r="J74" s="388">
        <f t="shared" si="42"/>
        <v>-1423.5721199593063</v>
      </c>
      <c r="K74" s="388">
        <f t="shared" si="42"/>
        <v>-1093.2865435643253</v>
      </c>
      <c r="L74" s="388">
        <f t="shared" si="42"/>
        <v>-746.48668834964155</v>
      </c>
      <c r="M74" s="388">
        <f t="shared" si="42"/>
        <v>-382.34684037419902</v>
      </c>
      <c r="N74" s="388">
        <f t="shared" si="42"/>
        <v>0</v>
      </c>
      <c r="O74" s="388">
        <f t="shared" si="42"/>
        <v>0</v>
      </c>
      <c r="P74" s="388">
        <f t="shared" si="42"/>
        <v>0</v>
      </c>
      <c r="Q74" s="388">
        <f t="shared" si="42"/>
        <v>0</v>
      </c>
      <c r="R74" s="388">
        <f t="shared" si="42"/>
        <v>0</v>
      </c>
      <c r="S74" s="388">
        <f t="shared" si="42"/>
        <v>0</v>
      </c>
      <c r="T74" s="388">
        <f t="shared" si="42"/>
        <v>0</v>
      </c>
      <c r="U74" s="388">
        <f t="shared" si="42"/>
        <v>0</v>
      </c>
      <c r="V74" s="388">
        <f t="shared" si="42"/>
        <v>0</v>
      </c>
      <c r="W74" s="388">
        <f t="shared" si="42"/>
        <v>0</v>
      </c>
      <c r="X74" s="282">
        <f t="shared" si="42"/>
        <v>0</v>
      </c>
      <c r="Y74" s="282">
        <f t="shared" si="42"/>
        <v>0</v>
      </c>
      <c r="Z74" s="282">
        <f t="shared" si="42"/>
        <v>0</v>
      </c>
      <c r="AA74" s="282">
        <f t="shared" si="42"/>
        <v>0</v>
      </c>
      <c r="AB74" s="282">
        <f t="shared" si="42"/>
        <v>0</v>
      </c>
      <c r="AC74" s="282">
        <f t="shared" si="42"/>
        <v>0</v>
      </c>
      <c r="AD74" s="282">
        <f t="shared" si="42"/>
        <v>0</v>
      </c>
      <c r="AE74" s="282">
        <f t="shared" si="42"/>
        <v>0</v>
      </c>
      <c r="AF74" s="282">
        <f t="shared" si="42"/>
        <v>0</v>
      </c>
      <c r="AG74" s="282">
        <f t="shared" si="42"/>
        <v>0</v>
      </c>
    </row>
    <row r="75" spans="1:33" x14ac:dyDescent="0.2">
      <c r="A75" s="95" t="s">
        <v>167</v>
      </c>
      <c r="B75" s="95"/>
      <c r="C75" s="187">
        <v>0.03</v>
      </c>
      <c r="D75" s="388">
        <f>-D74*$C$75</f>
        <v>92.999999999999559</v>
      </c>
      <c r="E75" s="388">
        <f t="shared" ref="E75:AG75" si="43">-E74*$C$75</f>
        <v>85.60607452821219</v>
      </c>
      <c r="F75" s="388">
        <f t="shared" si="43"/>
        <v>77.842452782836261</v>
      </c>
      <c r="G75" s="388">
        <f t="shared" si="43"/>
        <v>69.690649950189254</v>
      </c>
      <c r="H75" s="388">
        <f t="shared" si="43"/>
        <v>61.131256975912542</v>
      </c>
      <c r="I75" s="388">
        <f t="shared" si="43"/>
        <v>52.143894352919666</v>
      </c>
      <c r="J75" s="388">
        <f t="shared" si="43"/>
        <v>42.707163598779189</v>
      </c>
      <c r="K75" s="388">
        <f t="shared" si="43"/>
        <v>32.79859630692976</v>
      </c>
      <c r="L75" s="388">
        <f t="shared" si="43"/>
        <v>22.394600650489245</v>
      </c>
      <c r="M75" s="388">
        <f t="shared" si="43"/>
        <v>11.47040521122597</v>
      </c>
      <c r="N75" s="388">
        <f t="shared" si="43"/>
        <v>0</v>
      </c>
      <c r="O75" s="388">
        <f t="shared" si="43"/>
        <v>0</v>
      </c>
      <c r="P75" s="388">
        <f t="shared" si="43"/>
        <v>0</v>
      </c>
      <c r="Q75" s="388">
        <f t="shared" si="43"/>
        <v>0</v>
      </c>
      <c r="R75" s="388">
        <f t="shared" si="43"/>
        <v>0</v>
      </c>
      <c r="S75" s="388">
        <f t="shared" si="43"/>
        <v>0</v>
      </c>
      <c r="T75" s="388">
        <f t="shared" si="43"/>
        <v>0</v>
      </c>
      <c r="U75" s="388">
        <f t="shared" si="43"/>
        <v>0</v>
      </c>
      <c r="V75" s="388">
        <f t="shared" si="43"/>
        <v>0</v>
      </c>
      <c r="W75" s="388">
        <f t="shared" si="43"/>
        <v>0</v>
      </c>
      <c r="X75" s="282">
        <f t="shared" si="43"/>
        <v>0</v>
      </c>
      <c r="Y75" s="283">
        <f t="shared" si="43"/>
        <v>0</v>
      </c>
      <c r="Z75" s="283">
        <f t="shared" si="43"/>
        <v>0</v>
      </c>
      <c r="AA75" s="283">
        <f t="shared" si="43"/>
        <v>0</v>
      </c>
      <c r="AB75" s="283">
        <f t="shared" si="43"/>
        <v>0</v>
      </c>
      <c r="AC75" s="283">
        <f t="shared" si="43"/>
        <v>0</v>
      </c>
      <c r="AD75" s="283">
        <f t="shared" si="43"/>
        <v>0</v>
      </c>
      <c r="AE75" s="283">
        <f t="shared" si="43"/>
        <v>0</v>
      </c>
      <c r="AF75" s="283">
        <f t="shared" si="43"/>
        <v>0</v>
      </c>
      <c r="AG75" s="283">
        <f t="shared" si="43"/>
        <v>0</v>
      </c>
    </row>
    <row r="76" spans="1:33" x14ac:dyDescent="0.2">
      <c r="A76" s="9" t="s">
        <v>168</v>
      </c>
      <c r="B76" s="9"/>
      <c r="C76" s="4"/>
      <c r="D76" s="388">
        <f>+D73+D74+D75</f>
        <v>14546.896000000019</v>
      </c>
      <c r="E76" s="388">
        <f t="shared" ref="E76:AG76" si="44">+E73+E74+E75</f>
        <v>25607.286256921139</v>
      </c>
      <c r="F76" s="388">
        <f t="shared" si="44"/>
        <v>15777.837226688291</v>
      </c>
      <c r="G76" s="388">
        <f t="shared" si="44"/>
        <v>28501.062184943879</v>
      </c>
      <c r="H76" s="388">
        <f t="shared" si="44"/>
        <v>41146.285891112158</v>
      </c>
      <c r="I76" s="388">
        <f t="shared" si="44"/>
        <v>39509.836482588915</v>
      </c>
      <c r="J76" s="388">
        <f t="shared" si="44"/>
        <v>45770.757443639464</v>
      </c>
      <c r="K76" s="388">
        <f t="shared" si="44"/>
        <v>53292.414452742581</v>
      </c>
      <c r="L76" s="388">
        <f t="shared" si="44"/>
        <v>53508.879512300846</v>
      </c>
      <c r="M76" s="388">
        <f t="shared" si="44"/>
        <v>56781.795164837029</v>
      </c>
      <c r="N76" s="388">
        <f t="shared" si="44"/>
        <v>69241.781600000002</v>
      </c>
      <c r="O76" s="388">
        <f t="shared" si="44"/>
        <v>43762.791599999997</v>
      </c>
      <c r="P76" s="388">
        <f t="shared" si="44"/>
        <v>44155.990800000014</v>
      </c>
      <c r="Q76" s="388">
        <f t="shared" si="44"/>
        <v>46099.870800000012</v>
      </c>
      <c r="R76" s="388">
        <f t="shared" si="44"/>
        <v>48044.72080000001</v>
      </c>
      <c r="S76" s="388">
        <f t="shared" si="44"/>
        <v>47614.39</v>
      </c>
      <c r="T76" s="388">
        <f t="shared" si="44"/>
        <v>49619.38</v>
      </c>
      <c r="U76" s="388">
        <f t="shared" si="44"/>
        <v>51625.34</v>
      </c>
      <c r="V76" s="388">
        <f t="shared" si="44"/>
        <v>47801.949199999988</v>
      </c>
      <c r="W76" s="388">
        <f t="shared" si="44"/>
        <v>49856.409199999987</v>
      </c>
      <c r="X76" s="282" t="e">
        <f t="shared" si="44"/>
        <v>#REF!</v>
      </c>
      <c r="Y76" s="283" t="e">
        <f t="shared" si="44"/>
        <v>#REF!</v>
      </c>
      <c r="Z76" s="283" t="e">
        <f t="shared" si="44"/>
        <v>#REF!</v>
      </c>
      <c r="AA76" s="283" t="e">
        <f t="shared" si="44"/>
        <v>#REF!</v>
      </c>
      <c r="AB76" s="283" t="e">
        <f t="shared" si="44"/>
        <v>#REF!</v>
      </c>
      <c r="AC76" s="283" t="e">
        <f t="shared" si="44"/>
        <v>#REF!</v>
      </c>
      <c r="AD76" s="283" t="e">
        <f t="shared" si="44"/>
        <v>#REF!</v>
      </c>
      <c r="AE76" s="283" t="e">
        <f t="shared" si="44"/>
        <v>#REF!</v>
      </c>
      <c r="AF76" s="283" t="e">
        <f t="shared" si="44"/>
        <v>#REF!</v>
      </c>
      <c r="AG76" s="283" t="e">
        <f t="shared" si="44"/>
        <v>#REF!</v>
      </c>
    </row>
    <row r="77" spans="1:33" x14ac:dyDescent="0.2">
      <c r="A77" s="95" t="s">
        <v>169</v>
      </c>
      <c r="B77" s="95"/>
      <c r="C77" s="4"/>
      <c r="D77" s="388">
        <f>+D23</f>
        <v>0</v>
      </c>
      <c r="E77" s="388">
        <f t="shared" ref="E77:AG77" si="45">+E23</f>
        <v>0</v>
      </c>
      <c r="F77" s="388">
        <f t="shared" si="45"/>
        <v>0</v>
      </c>
      <c r="G77" s="388">
        <f t="shared" si="45"/>
        <v>0</v>
      </c>
      <c r="H77" s="388">
        <f t="shared" si="45"/>
        <v>0</v>
      </c>
      <c r="I77" s="388">
        <f t="shared" si="45"/>
        <v>0</v>
      </c>
      <c r="J77" s="388">
        <f t="shared" si="45"/>
        <v>0</v>
      </c>
      <c r="K77" s="388">
        <f t="shared" si="45"/>
        <v>0</v>
      </c>
      <c r="L77" s="388">
        <f t="shared" si="45"/>
        <v>0</v>
      </c>
      <c r="M77" s="388">
        <f t="shared" si="45"/>
        <v>0</v>
      </c>
      <c r="N77" s="388">
        <f t="shared" si="45"/>
        <v>0</v>
      </c>
      <c r="O77" s="388">
        <f t="shared" si="45"/>
        <v>0</v>
      </c>
      <c r="P77" s="388">
        <f t="shared" si="45"/>
        <v>0</v>
      </c>
      <c r="Q77" s="388">
        <f t="shared" si="45"/>
        <v>0</v>
      </c>
      <c r="R77" s="388">
        <f t="shared" si="45"/>
        <v>0</v>
      </c>
      <c r="S77" s="388">
        <f t="shared" si="45"/>
        <v>0</v>
      </c>
      <c r="T77" s="388">
        <f t="shared" si="45"/>
        <v>0</v>
      </c>
      <c r="U77" s="388">
        <f t="shared" si="45"/>
        <v>0</v>
      </c>
      <c r="V77" s="388">
        <f t="shared" si="45"/>
        <v>0</v>
      </c>
      <c r="W77" s="388">
        <f t="shared" si="45"/>
        <v>0</v>
      </c>
      <c r="X77" s="282">
        <f t="shared" si="45"/>
        <v>0</v>
      </c>
      <c r="Y77" s="282">
        <f t="shared" si="45"/>
        <v>0</v>
      </c>
      <c r="Z77" s="282">
        <f t="shared" si="45"/>
        <v>0</v>
      </c>
      <c r="AA77" s="282">
        <f t="shared" si="45"/>
        <v>0</v>
      </c>
      <c r="AB77" s="282">
        <f t="shared" si="45"/>
        <v>0</v>
      </c>
      <c r="AC77" s="282">
        <f t="shared" si="45"/>
        <v>0</v>
      </c>
      <c r="AD77" s="282">
        <f t="shared" si="45"/>
        <v>0</v>
      </c>
      <c r="AE77" s="282">
        <f t="shared" si="45"/>
        <v>0</v>
      </c>
      <c r="AF77" s="282">
        <f t="shared" si="45"/>
        <v>0</v>
      </c>
      <c r="AG77" s="282">
        <f t="shared" si="45"/>
        <v>0</v>
      </c>
    </row>
    <row r="78" spans="1:33" x14ac:dyDescent="0.2">
      <c r="A78" s="95" t="s">
        <v>170</v>
      </c>
      <c r="B78" s="95"/>
      <c r="C78" s="187">
        <v>0.03</v>
      </c>
      <c r="D78" s="388">
        <f>-D77*$C$78</f>
        <v>0</v>
      </c>
      <c r="E78" s="388">
        <f t="shared" ref="E78:AG78" si="46">-E77*$C$78</f>
        <v>0</v>
      </c>
      <c r="F78" s="388">
        <f t="shared" si="46"/>
        <v>0</v>
      </c>
      <c r="G78" s="388">
        <f t="shared" si="46"/>
        <v>0</v>
      </c>
      <c r="H78" s="388">
        <f t="shared" si="46"/>
        <v>0</v>
      </c>
      <c r="I78" s="388">
        <f t="shared" si="46"/>
        <v>0</v>
      </c>
      <c r="J78" s="388">
        <f t="shared" si="46"/>
        <v>0</v>
      </c>
      <c r="K78" s="388">
        <f t="shared" si="46"/>
        <v>0</v>
      </c>
      <c r="L78" s="388">
        <f t="shared" si="46"/>
        <v>0</v>
      </c>
      <c r="M78" s="388">
        <f t="shared" si="46"/>
        <v>0</v>
      </c>
      <c r="N78" s="388">
        <f t="shared" si="46"/>
        <v>0</v>
      </c>
      <c r="O78" s="388">
        <f t="shared" si="46"/>
        <v>0</v>
      </c>
      <c r="P78" s="388">
        <f t="shared" si="46"/>
        <v>0</v>
      </c>
      <c r="Q78" s="388">
        <f t="shared" si="46"/>
        <v>0</v>
      </c>
      <c r="R78" s="388">
        <f t="shared" si="46"/>
        <v>0</v>
      </c>
      <c r="S78" s="388">
        <f t="shared" si="46"/>
        <v>0</v>
      </c>
      <c r="T78" s="388">
        <f t="shared" si="46"/>
        <v>0</v>
      </c>
      <c r="U78" s="388">
        <f t="shared" si="46"/>
        <v>0</v>
      </c>
      <c r="V78" s="388">
        <f t="shared" si="46"/>
        <v>0</v>
      </c>
      <c r="W78" s="388">
        <f t="shared" si="46"/>
        <v>0</v>
      </c>
      <c r="X78" s="282">
        <f t="shared" si="46"/>
        <v>0</v>
      </c>
      <c r="Y78" s="283">
        <f t="shared" si="46"/>
        <v>0</v>
      </c>
      <c r="Z78" s="283">
        <f t="shared" si="46"/>
        <v>0</v>
      </c>
      <c r="AA78" s="283">
        <f t="shared" si="46"/>
        <v>0</v>
      </c>
      <c r="AB78" s="283">
        <f t="shared" si="46"/>
        <v>0</v>
      </c>
      <c r="AC78" s="283">
        <f t="shared" si="46"/>
        <v>0</v>
      </c>
      <c r="AD78" s="283">
        <f t="shared" si="46"/>
        <v>0</v>
      </c>
      <c r="AE78" s="283">
        <f t="shared" si="46"/>
        <v>0</v>
      </c>
      <c r="AF78" s="283">
        <f t="shared" si="46"/>
        <v>0</v>
      </c>
      <c r="AG78" s="283">
        <f t="shared" si="46"/>
        <v>0</v>
      </c>
    </row>
    <row r="79" spans="1:33" x14ac:dyDescent="0.2">
      <c r="A79" s="9" t="s">
        <v>171</v>
      </c>
      <c r="B79" s="9"/>
      <c r="C79" s="9"/>
      <c r="D79" s="390">
        <f>+D76+D77+D78</f>
        <v>14546.896000000019</v>
      </c>
      <c r="E79" s="390">
        <f t="shared" ref="E79:AG79" si="47">+E76+E77+E78</f>
        <v>25607.286256921139</v>
      </c>
      <c r="F79" s="390">
        <f t="shared" si="47"/>
        <v>15777.837226688291</v>
      </c>
      <c r="G79" s="390">
        <f t="shared" si="47"/>
        <v>28501.062184943879</v>
      </c>
      <c r="H79" s="390">
        <f t="shared" si="47"/>
        <v>41146.285891112158</v>
      </c>
      <c r="I79" s="390">
        <f t="shared" si="47"/>
        <v>39509.836482588915</v>
      </c>
      <c r="J79" s="390">
        <f t="shared" si="47"/>
        <v>45770.757443639464</v>
      </c>
      <c r="K79" s="390">
        <f t="shared" si="47"/>
        <v>53292.414452742581</v>
      </c>
      <c r="L79" s="390">
        <f t="shared" si="47"/>
        <v>53508.879512300846</v>
      </c>
      <c r="M79" s="390">
        <f t="shared" si="47"/>
        <v>56781.795164837029</v>
      </c>
      <c r="N79" s="390">
        <f t="shared" si="47"/>
        <v>69241.781600000002</v>
      </c>
      <c r="O79" s="390">
        <f t="shared" si="47"/>
        <v>43762.791599999997</v>
      </c>
      <c r="P79" s="390">
        <f t="shared" si="47"/>
        <v>44155.990800000014</v>
      </c>
      <c r="Q79" s="390">
        <f t="shared" si="47"/>
        <v>46099.870800000012</v>
      </c>
      <c r="R79" s="390">
        <f t="shared" si="47"/>
        <v>48044.72080000001</v>
      </c>
      <c r="S79" s="390">
        <f t="shared" si="47"/>
        <v>47614.39</v>
      </c>
      <c r="T79" s="390">
        <f t="shared" si="47"/>
        <v>49619.38</v>
      </c>
      <c r="U79" s="390">
        <f t="shared" si="47"/>
        <v>51625.34</v>
      </c>
      <c r="V79" s="390">
        <f t="shared" si="47"/>
        <v>47801.949199999988</v>
      </c>
      <c r="W79" s="390">
        <f t="shared" si="47"/>
        <v>49856.409199999987</v>
      </c>
      <c r="X79" s="308" t="e">
        <f t="shared" si="47"/>
        <v>#REF!</v>
      </c>
      <c r="Y79" s="309" t="e">
        <f t="shared" si="47"/>
        <v>#REF!</v>
      </c>
      <c r="Z79" s="309" t="e">
        <f t="shared" si="47"/>
        <v>#REF!</v>
      </c>
      <c r="AA79" s="309" t="e">
        <f t="shared" si="47"/>
        <v>#REF!</v>
      </c>
      <c r="AB79" s="309" t="e">
        <f t="shared" si="47"/>
        <v>#REF!</v>
      </c>
      <c r="AC79" s="309" t="e">
        <f t="shared" si="47"/>
        <v>#REF!</v>
      </c>
      <c r="AD79" s="309" t="e">
        <f t="shared" si="47"/>
        <v>#REF!</v>
      </c>
      <c r="AE79" s="309" t="e">
        <f t="shared" si="47"/>
        <v>#REF!</v>
      </c>
      <c r="AF79" s="309" t="e">
        <f t="shared" si="47"/>
        <v>#REF!</v>
      </c>
      <c r="AG79" s="309" t="e">
        <f t="shared" si="47"/>
        <v>#REF!</v>
      </c>
    </row>
    <row r="80" spans="1:33" x14ac:dyDescent="0.2">
      <c r="A80" s="95" t="s">
        <v>172</v>
      </c>
      <c r="B80" s="95"/>
      <c r="C80" s="4"/>
      <c r="D80" s="388">
        <v>0</v>
      </c>
      <c r="E80" s="388">
        <v>0</v>
      </c>
      <c r="F80" s="388">
        <v>0</v>
      </c>
      <c r="G80" s="388">
        <v>0</v>
      </c>
      <c r="H80" s="388">
        <v>0</v>
      </c>
      <c r="I80" s="388">
        <v>0</v>
      </c>
      <c r="J80" s="388">
        <v>0</v>
      </c>
      <c r="K80" s="388">
        <v>0</v>
      </c>
      <c r="L80" s="388">
        <v>0</v>
      </c>
      <c r="M80" s="388">
        <v>0</v>
      </c>
      <c r="N80" s="388">
        <v>0</v>
      </c>
      <c r="O80" s="388">
        <v>0</v>
      </c>
      <c r="P80" s="388">
        <v>0</v>
      </c>
      <c r="Q80" s="388">
        <v>0</v>
      </c>
      <c r="R80" s="388">
        <v>0</v>
      </c>
      <c r="S80" s="388">
        <v>0</v>
      </c>
      <c r="T80" s="388">
        <v>0</v>
      </c>
      <c r="U80" s="388">
        <v>0</v>
      </c>
      <c r="V80" s="388">
        <v>0</v>
      </c>
      <c r="W80" s="388">
        <v>0</v>
      </c>
      <c r="X80" s="282">
        <v>0</v>
      </c>
      <c r="Y80" s="283">
        <v>0</v>
      </c>
      <c r="Z80" s="283">
        <v>0</v>
      </c>
      <c r="AA80" s="283">
        <v>0</v>
      </c>
      <c r="AB80" s="283">
        <v>0</v>
      </c>
      <c r="AC80" s="283">
        <v>0</v>
      </c>
      <c r="AD80" s="283">
        <v>0</v>
      </c>
      <c r="AE80" s="283">
        <v>0</v>
      </c>
      <c r="AF80" s="283">
        <v>0</v>
      </c>
      <c r="AG80" s="283">
        <v>0</v>
      </c>
    </row>
    <row r="81" spans="1:33" x14ac:dyDescent="0.2">
      <c r="A81" s="95" t="s">
        <v>173</v>
      </c>
      <c r="B81" s="95"/>
      <c r="C81" s="187">
        <v>0.03</v>
      </c>
      <c r="D81" s="388">
        <f>-D80*$C$81</f>
        <v>0</v>
      </c>
      <c r="E81" s="388">
        <f t="shared" ref="E81:AG81" si="48">-E80*$C$81</f>
        <v>0</v>
      </c>
      <c r="F81" s="388">
        <f t="shared" si="48"/>
        <v>0</v>
      </c>
      <c r="G81" s="388">
        <f t="shared" si="48"/>
        <v>0</v>
      </c>
      <c r="H81" s="388">
        <f t="shared" si="48"/>
        <v>0</v>
      </c>
      <c r="I81" s="388">
        <f t="shared" si="48"/>
        <v>0</v>
      </c>
      <c r="J81" s="388">
        <f t="shared" si="48"/>
        <v>0</v>
      </c>
      <c r="K81" s="388">
        <f t="shared" si="48"/>
        <v>0</v>
      </c>
      <c r="L81" s="388">
        <f t="shared" si="48"/>
        <v>0</v>
      </c>
      <c r="M81" s="388">
        <f t="shared" si="48"/>
        <v>0</v>
      </c>
      <c r="N81" s="388">
        <f t="shared" si="48"/>
        <v>0</v>
      </c>
      <c r="O81" s="388">
        <f t="shared" si="48"/>
        <v>0</v>
      </c>
      <c r="P81" s="388">
        <f t="shared" si="48"/>
        <v>0</v>
      </c>
      <c r="Q81" s="388">
        <f t="shared" si="48"/>
        <v>0</v>
      </c>
      <c r="R81" s="388">
        <f t="shared" si="48"/>
        <v>0</v>
      </c>
      <c r="S81" s="388">
        <f t="shared" si="48"/>
        <v>0</v>
      </c>
      <c r="T81" s="388">
        <f t="shared" si="48"/>
        <v>0</v>
      </c>
      <c r="U81" s="388">
        <f t="shared" si="48"/>
        <v>0</v>
      </c>
      <c r="V81" s="388">
        <f t="shared" si="48"/>
        <v>0</v>
      </c>
      <c r="W81" s="388">
        <f t="shared" si="48"/>
        <v>0</v>
      </c>
      <c r="X81" s="282">
        <f t="shared" si="48"/>
        <v>0</v>
      </c>
      <c r="Y81" s="283">
        <f t="shared" si="48"/>
        <v>0</v>
      </c>
      <c r="Z81" s="283">
        <f t="shared" si="48"/>
        <v>0</v>
      </c>
      <c r="AA81" s="283">
        <f t="shared" si="48"/>
        <v>0</v>
      </c>
      <c r="AB81" s="283">
        <f t="shared" si="48"/>
        <v>0</v>
      </c>
      <c r="AC81" s="283">
        <f t="shared" si="48"/>
        <v>0</v>
      </c>
      <c r="AD81" s="283">
        <f t="shared" si="48"/>
        <v>0</v>
      </c>
      <c r="AE81" s="283">
        <f t="shared" si="48"/>
        <v>0</v>
      </c>
      <c r="AF81" s="283">
        <f t="shared" si="48"/>
        <v>0</v>
      </c>
      <c r="AG81" s="283">
        <f t="shared" si="48"/>
        <v>0</v>
      </c>
    </row>
    <row r="82" spans="1:33" x14ac:dyDescent="0.2">
      <c r="A82" s="311" t="s">
        <v>174</v>
      </c>
      <c r="B82" s="311"/>
      <c r="C82" s="311"/>
      <c r="D82" s="390">
        <f>+D79+D80+D81</f>
        <v>14546.896000000019</v>
      </c>
      <c r="E82" s="390">
        <f t="shared" ref="E82:AG82" si="49">+E79+E80+E81</f>
        <v>25607.286256921139</v>
      </c>
      <c r="F82" s="390">
        <f t="shared" si="49"/>
        <v>15777.837226688291</v>
      </c>
      <c r="G82" s="390">
        <f t="shared" si="49"/>
        <v>28501.062184943879</v>
      </c>
      <c r="H82" s="390">
        <f t="shared" si="49"/>
        <v>41146.285891112158</v>
      </c>
      <c r="I82" s="390">
        <f t="shared" si="49"/>
        <v>39509.836482588915</v>
      </c>
      <c r="J82" s="390">
        <f t="shared" si="49"/>
        <v>45770.757443639464</v>
      </c>
      <c r="K82" s="390">
        <f t="shared" si="49"/>
        <v>53292.414452742581</v>
      </c>
      <c r="L82" s="390">
        <f t="shared" si="49"/>
        <v>53508.879512300846</v>
      </c>
      <c r="M82" s="390">
        <f t="shared" si="49"/>
        <v>56781.795164837029</v>
      </c>
      <c r="N82" s="390">
        <f t="shared" si="49"/>
        <v>69241.781600000002</v>
      </c>
      <c r="O82" s="390">
        <f t="shared" si="49"/>
        <v>43762.791599999997</v>
      </c>
      <c r="P82" s="390">
        <f t="shared" si="49"/>
        <v>44155.990800000014</v>
      </c>
      <c r="Q82" s="390">
        <f t="shared" si="49"/>
        <v>46099.870800000012</v>
      </c>
      <c r="R82" s="390">
        <f t="shared" si="49"/>
        <v>48044.72080000001</v>
      </c>
      <c r="S82" s="390">
        <f t="shared" si="49"/>
        <v>47614.39</v>
      </c>
      <c r="T82" s="390">
        <f t="shared" si="49"/>
        <v>49619.38</v>
      </c>
      <c r="U82" s="390">
        <f t="shared" si="49"/>
        <v>51625.34</v>
      </c>
      <c r="V82" s="390">
        <f t="shared" si="49"/>
        <v>47801.949199999988</v>
      </c>
      <c r="W82" s="390">
        <f t="shared" si="49"/>
        <v>49856.409199999987</v>
      </c>
      <c r="X82" s="308" t="e">
        <f t="shared" si="49"/>
        <v>#REF!</v>
      </c>
      <c r="Y82" s="309" t="e">
        <f t="shared" si="49"/>
        <v>#REF!</v>
      </c>
      <c r="Z82" s="309" t="e">
        <f t="shared" si="49"/>
        <v>#REF!</v>
      </c>
      <c r="AA82" s="309" t="e">
        <f t="shared" si="49"/>
        <v>#REF!</v>
      </c>
      <c r="AB82" s="309" t="e">
        <f t="shared" si="49"/>
        <v>#REF!</v>
      </c>
      <c r="AC82" s="309" t="e">
        <f t="shared" si="49"/>
        <v>#REF!</v>
      </c>
      <c r="AD82" s="309" t="e">
        <f t="shared" si="49"/>
        <v>#REF!</v>
      </c>
      <c r="AE82" s="309" t="e">
        <f t="shared" si="49"/>
        <v>#REF!</v>
      </c>
      <c r="AF82" s="309" t="e">
        <f t="shared" si="49"/>
        <v>#REF!</v>
      </c>
      <c r="AG82" s="309" t="e">
        <f t="shared" si="49"/>
        <v>#REF!</v>
      </c>
    </row>
    <row r="83" spans="1:33" x14ac:dyDescent="0.2">
      <c r="A83" s="312" t="s">
        <v>269</v>
      </c>
      <c r="B83" s="312"/>
      <c r="C83" s="312"/>
      <c r="D83" s="313">
        <f>+D28</f>
        <v>14546.799999999988</v>
      </c>
      <c r="E83" s="313">
        <f t="shared" ref="E83:AG83" si="50">+E28</f>
        <v>25607.264182392915</v>
      </c>
      <c r="F83" s="313">
        <f t="shared" si="50"/>
        <v>15777.811573905463</v>
      </c>
      <c r="G83" s="313">
        <f t="shared" si="50"/>
        <v>28501.538334993704</v>
      </c>
      <c r="H83" s="313">
        <f t="shared" si="50"/>
        <v>41145.851434136275</v>
      </c>
      <c r="I83" s="313">
        <f t="shared" si="50"/>
        <v>39509.790188235987</v>
      </c>
      <c r="J83" s="313">
        <f t="shared" si="50"/>
        <v>45770.347880040703</v>
      </c>
      <c r="K83" s="313">
        <f t="shared" si="50"/>
        <v>53292.633456435637</v>
      </c>
      <c r="L83" s="313">
        <f t="shared" si="50"/>
        <v>53508.793311650399</v>
      </c>
      <c r="M83" s="313">
        <f t="shared" si="50"/>
        <v>56781.933159625856</v>
      </c>
      <c r="N83" s="313">
        <f t="shared" si="50"/>
        <v>69242.280000000028</v>
      </c>
      <c r="O83" s="313">
        <f t="shared" si="50"/>
        <v>43762.280000000028</v>
      </c>
      <c r="P83" s="313">
        <f t="shared" si="50"/>
        <v>44155.639999999956</v>
      </c>
      <c r="Q83" s="313">
        <f t="shared" si="50"/>
        <v>46099.639999999956</v>
      </c>
      <c r="R83" s="313">
        <f t="shared" si="50"/>
        <v>48044.639999999956</v>
      </c>
      <c r="S83" s="313">
        <f t="shared" si="50"/>
        <v>47614</v>
      </c>
      <c r="T83" s="313">
        <f t="shared" si="50"/>
        <v>49619</v>
      </c>
      <c r="U83" s="313">
        <f t="shared" si="50"/>
        <v>51625</v>
      </c>
      <c r="V83" s="313">
        <f t="shared" si="50"/>
        <v>47802.359999999986</v>
      </c>
      <c r="W83" s="313">
        <f t="shared" si="50"/>
        <v>49856.359999999986</v>
      </c>
      <c r="X83" s="386" t="e">
        <f t="shared" si="50"/>
        <v>#REF!</v>
      </c>
      <c r="Y83" s="313" t="e">
        <f t="shared" si="50"/>
        <v>#REF!</v>
      </c>
      <c r="Z83" s="313" t="e">
        <f t="shared" si="50"/>
        <v>#REF!</v>
      </c>
      <c r="AA83" s="313" t="e">
        <f t="shared" si="50"/>
        <v>#REF!</v>
      </c>
      <c r="AB83" s="313" t="e">
        <f t="shared" si="50"/>
        <v>#REF!</v>
      </c>
      <c r="AC83" s="313" t="e">
        <f t="shared" si="50"/>
        <v>#REF!</v>
      </c>
      <c r="AD83" s="313" t="e">
        <f t="shared" si="50"/>
        <v>#REF!</v>
      </c>
      <c r="AE83" s="313" t="e">
        <f t="shared" si="50"/>
        <v>#REF!</v>
      </c>
      <c r="AF83" s="313" t="e">
        <f t="shared" si="50"/>
        <v>#REF!</v>
      </c>
      <c r="AG83" s="313" t="e">
        <f t="shared" si="50"/>
        <v>#REF!</v>
      </c>
    </row>
    <row r="84" spans="1:33" x14ac:dyDescent="0.2">
      <c r="A84" s="312" t="s">
        <v>270</v>
      </c>
      <c r="B84" s="312"/>
      <c r="C84" s="312"/>
      <c r="D84" s="313">
        <f>+D82-D83</f>
        <v>9.600000003047171E-2</v>
      </c>
      <c r="E84" s="313">
        <f t="shared" ref="E84:AG84" si="51">+E82-E83</f>
        <v>2.2074528224038659E-2</v>
      </c>
      <c r="F84" s="313">
        <f t="shared" si="51"/>
        <v>2.5652782827819465E-2</v>
      </c>
      <c r="G84" s="313">
        <f t="shared" si="51"/>
        <v>-0.47615004982435494</v>
      </c>
      <c r="H84" s="313">
        <f t="shared" si="51"/>
        <v>0.43445697588322219</v>
      </c>
      <c r="I84" s="313">
        <f t="shared" si="51"/>
        <v>4.6294352927361615E-2</v>
      </c>
      <c r="J84" s="313">
        <f t="shared" si="51"/>
        <v>0.40956359876145143</v>
      </c>
      <c r="K84" s="313">
        <f t="shared" si="51"/>
        <v>-0.21900369305512868</v>
      </c>
      <c r="L84" s="313">
        <f t="shared" si="51"/>
        <v>8.6200650446699001E-2</v>
      </c>
      <c r="M84" s="313">
        <f t="shared" si="51"/>
        <v>-0.13799478882719995</v>
      </c>
      <c r="N84" s="313">
        <f t="shared" si="51"/>
        <v>-0.49840000002586748</v>
      </c>
      <c r="O84" s="313">
        <f t="shared" si="51"/>
        <v>0.51159999996889383</v>
      </c>
      <c r="P84" s="313">
        <f t="shared" si="51"/>
        <v>0.35080000005837064</v>
      </c>
      <c r="Q84" s="313">
        <f t="shared" si="51"/>
        <v>0.2308000000557513</v>
      </c>
      <c r="R84" s="313">
        <f t="shared" si="51"/>
        <v>8.0800000054296106E-2</v>
      </c>
      <c r="S84" s="313">
        <f t="shared" si="51"/>
        <v>0.38999999999941792</v>
      </c>
      <c r="T84" s="313">
        <f t="shared" si="51"/>
        <v>0.37999999999738066</v>
      </c>
      <c r="U84" s="313">
        <f t="shared" si="51"/>
        <v>0.33999999999650754</v>
      </c>
      <c r="V84" s="313">
        <f t="shared" si="51"/>
        <v>-0.41079999999783468</v>
      </c>
      <c r="W84" s="313">
        <f t="shared" si="51"/>
        <v>4.920000000129221E-2</v>
      </c>
      <c r="X84" s="386" t="e">
        <f t="shared" si="51"/>
        <v>#REF!</v>
      </c>
      <c r="Y84" s="313" t="e">
        <f t="shared" si="51"/>
        <v>#REF!</v>
      </c>
      <c r="Z84" s="313" t="e">
        <f t="shared" si="51"/>
        <v>#REF!</v>
      </c>
      <c r="AA84" s="313" t="e">
        <f t="shared" si="51"/>
        <v>#REF!</v>
      </c>
      <c r="AB84" s="313" t="e">
        <f t="shared" si="51"/>
        <v>#REF!</v>
      </c>
      <c r="AC84" s="313" t="e">
        <f t="shared" si="51"/>
        <v>#REF!</v>
      </c>
      <c r="AD84" s="313" t="e">
        <f t="shared" si="51"/>
        <v>#REF!</v>
      </c>
      <c r="AE84" s="313" t="e">
        <f t="shared" si="51"/>
        <v>#REF!</v>
      </c>
      <c r="AF84" s="313" t="e">
        <f t="shared" si="51"/>
        <v>#REF!</v>
      </c>
      <c r="AG84" s="313" t="e">
        <f t="shared" si="51"/>
        <v>#REF!</v>
      </c>
    </row>
    <row r="85" spans="1:33" x14ac:dyDescent="0.2">
      <c r="D85" s="83"/>
      <c r="E85" s="83"/>
    </row>
    <row r="86" spans="1:33" ht="13.5" thickBot="1" x14ac:dyDescent="0.25">
      <c r="D86" s="83"/>
      <c r="E86" s="83"/>
    </row>
    <row r="87" spans="1:33" ht="13.5" thickBot="1" x14ac:dyDescent="0.25">
      <c r="A87" s="212" t="s">
        <v>271</v>
      </c>
      <c r="B87" s="2"/>
      <c r="C87" s="201" t="s">
        <v>274</v>
      </c>
      <c r="D87" s="183">
        <f>+D60</f>
        <v>1</v>
      </c>
      <c r="E87" s="183">
        <f t="shared" ref="E87:W87" si="52">+E60</f>
        <v>2</v>
      </c>
      <c r="F87" s="183">
        <f t="shared" si="52"/>
        <v>3</v>
      </c>
      <c r="G87" s="183">
        <f t="shared" si="52"/>
        <v>4</v>
      </c>
      <c r="H87" s="183">
        <f t="shared" si="52"/>
        <v>5</v>
      </c>
      <c r="I87" s="183">
        <f t="shared" si="52"/>
        <v>6</v>
      </c>
      <c r="J87" s="183">
        <f t="shared" si="52"/>
        <v>7</v>
      </c>
      <c r="K87" s="183">
        <f t="shared" si="52"/>
        <v>8</v>
      </c>
      <c r="L87" s="183">
        <f t="shared" si="52"/>
        <v>9</v>
      </c>
      <c r="M87" s="183">
        <f t="shared" si="52"/>
        <v>10</v>
      </c>
      <c r="N87" s="183">
        <f t="shared" si="52"/>
        <v>11</v>
      </c>
      <c r="O87" s="183">
        <f t="shared" si="52"/>
        <v>12</v>
      </c>
      <c r="P87" s="183">
        <f t="shared" si="52"/>
        <v>13</v>
      </c>
      <c r="Q87" s="183">
        <f t="shared" si="52"/>
        <v>14</v>
      </c>
      <c r="R87" s="183">
        <f t="shared" si="52"/>
        <v>15</v>
      </c>
      <c r="S87" s="183">
        <f t="shared" si="52"/>
        <v>16</v>
      </c>
      <c r="T87" s="183">
        <f t="shared" si="52"/>
        <v>17</v>
      </c>
      <c r="U87" s="183">
        <f t="shared" si="52"/>
        <v>18</v>
      </c>
      <c r="V87" s="183">
        <f t="shared" si="52"/>
        <v>19</v>
      </c>
      <c r="W87" s="183">
        <f t="shared" si="52"/>
        <v>20</v>
      </c>
      <c r="X87" s="181">
        <v>21</v>
      </c>
      <c r="Y87" s="181">
        <v>22</v>
      </c>
      <c r="Z87" s="181">
        <v>23</v>
      </c>
      <c r="AA87" s="181">
        <v>24</v>
      </c>
      <c r="AB87" s="181">
        <v>25</v>
      </c>
      <c r="AC87" s="181">
        <v>26</v>
      </c>
      <c r="AD87" s="181">
        <v>27</v>
      </c>
      <c r="AE87" s="181">
        <v>28</v>
      </c>
      <c r="AF87" s="181">
        <v>29</v>
      </c>
      <c r="AG87" s="181">
        <v>30</v>
      </c>
    </row>
    <row r="88" spans="1:33" x14ac:dyDescent="0.2">
      <c r="A88" s="95" t="s">
        <v>176</v>
      </c>
      <c r="B88" s="95"/>
      <c r="C88" s="314">
        <f>+C102</f>
        <v>0.15500000000000003</v>
      </c>
      <c r="D88" s="4"/>
      <c r="E88" s="4"/>
      <c r="F88" s="7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</row>
    <row r="89" spans="1:33" x14ac:dyDescent="0.2">
      <c r="A89" s="95" t="s">
        <v>179</v>
      </c>
      <c r="B89" s="95"/>
      <c r="C89" s="103">
        <f>+D38</f>
        <v>-100000</v>
      </c>
      <c r="F89" s="1"/>
    </row>
    <row r="90" spans="1:33" x14ac:dyDescent="0.2">
      <c r="A90" s="95" t="s">
        <v>272</v>
      </c>
      <c r="B90" s="95"/>
      <c r="C90" s="103">
        <f>SUM(D90:W90)</f>
        <v>-30768.124661570142</v>
      </c>
      <c r="D90" s="197">
        <f>D39/(1+$C$88)^D87</f>
        <v>0</v>
      </c>
      <c r="E90" s="197">
        <f t="shared" ref="E90:AG90" si="53">E39/(1+$C$88)^E87</f>
        <v>-7496.1113922152881</v>
      </c>
      <c r="F90" s="197">
        <f t="shared" si="53"/>
        <v>-9735.2096002795952</v>
      </c>
      <c r="G90" s="197">
        <f t="shared" si="53"/>
        <v>-4495.3348803599865</v>
      </c>
      <c r="H90" s="197">
        <f t="shared" si="53"/>
        <v>-1459.5243118051903</v>
      </c>
      <c r="I90" s="197">
        <f t="shared" si="53"/>
        <v>-7581.9444769100801</v>
      </c>
      <c r="J90" s="197">
        <f t="shared" si="53"/>
        <v>0</v>
      </c>
      <c r="K90" s="197">
        <f t="shared" si="53"/>
        <v>0</v>
      </c>
      <c r="L90" s="197">
        <f t="shared" si="53"/>
        <v>0</v>
      </c>
      <c r="M90" s="197">
        <f t="shared" si="53"/>
        <v>0</v>
      </c>
      <c r="N90" s="197">
        <f>N39/(1+$C$88)^N87</f>
        <v>0</v>
      </c>
      <c r="O90" s="197">
        <f t="shared" si="53"/>
        <v>0</v>
      </c>
      <c r="P90" s="197">
        <f t="shared" si="53"/>
        <v>0</v>
      </c>
      <c r="Q90" s="197">
        <f t="shared" si="53"/>
        <v>0</v>
      </c>
      <c r="R90" s="197">
        <f t="shared" si="53"/>
        <v>0</v>
      </c>
      <c r="S90" s="197">
        <f t="shared" si="53"/>
        <v>0</v>
      </c>
      <c r="T90" s="197">
        <f t="shared" si="53"/>
        <v>0</v>
      </c>
      <c r="U90" s="197">
        <f t="shared" si="53"/>
        <v>0</v>
      </c>
      <c r="V90" s="197">
        <f t="shared" si="53"/>
        <v>0</v>
      </c>
      <c r="W90" s="197">
        <f t="shared" si="53"/>
        <v>0</v>
      </c>
      <c r="X90" s="197">
        <f t="shared" si="53"/>
        <v>0</v>
      </c>
      <c r="Y90" s="197">
        <f t="shared" si="53"/>
        <v>0</v>
      </c>
      <c r="Z90" s="197">
        <f t="shared" si="53"/>
        <v>0</v>
      </c>
      <c r="AA90" s="197">
        <f t="shared" si="53"/>
        <v>0</v>
      </c>
      <c r="AB90" s="197">
        <f t="shared" si="53"/>
        <v>0</v>
      </c>
      <c r="AC90" s="197">
        <f t="shared" si="53"/>
        <v>0</v>
      </c>
      <c r="AD90" s="197">
        <f t="shared" si="53"/>
        <v>0</v>
      </c>
      <c r="AE90" s="197">
        <f t="shared" si="53"/>
        <v>0</v>
      </c>
      <c r="AF90" s="197">
        <f t="shared" si="53"/>
        <v>0</v>
      </c>
      <c r="AG90" s="197">
        <f t="shared" si="53"/>
        <v>0</v>
      </c>
    </row>
    <row r="91" spans="1:33" x14ac:dyDescent="0.2">
      <c r="A91" s="95" t="s">
        <v>273</v>
      </c>
      <c r="B91" s="95"/>
      <c r="C91" s="97">
        <f>+C89+C90</f>
        <v>-130768.12466157014</v>
      </c>
      <c r="D91" s="197"/>
      <c r="E91" s="197"/>
      <c r="F91" s="197"/>
      <c r="G91" s="197"/>
      <c r="H91" s="197"/>
      <c r="I91" s="197"/>
      <c r="J91" s="197"/>
      <c r="K91" s="197"/>
      <c r="L91" s="197"/>
      <c r="M91" s="197"/>
      <c r="N91" s="197"/>
      <c r="O91" s="197"/>
      <c r="P91" s="197"/>
      <c r="Q91" s="197"/>
      <c r="R91" s="197"/>
      <c r="S91" s="197"/>
      <c r="T91" s="197"/>
      <c r="U91" s="197"/>
      <c r="V91" s="197"/>
      <c r="W91" s="197"/>
      <c r="X91" s="197"/>
      <c r="Y91" s="197"/>
      <c r="Z91" s="197"/>
      <c r="AA91" s="197"/>
      <c r="AB91" s="197"/>
      <c r="AC91" s="197"/>
      <c r="AD91" s="197"/>
      <c r="AE91" s="197"/>
      <c r="AF91" s="197"/>
      <c r="AG91" s="197"/>
    </row>
    <row r="92" spans="1:33" x14ac:dyDescent="0.2">
      <c r="A92" s="95" t="s">
        <v>180</v>
      </c>
      <c r="B92" s="95"/>
      <c r="C92" s="103">
        <f>SUM(D92:W92)</f>
        <v>292844.59994814725</v>
      </c>
      <c r="D92" s="189">
        <f>D70/(1+$C$88)^D60</f>
        <v>23596.446753246757</v>
      </c>
      <c r="E92" s="189">
        <f>E70/(1+$C$88)^E60</f>
        <v>29995.851651955549</v>
      </c>
      <c r="F92" s="189">
        <f>F70/(1+$C$88)^F60</f>
        <v>21316.697287957195</v>
      </c>
      <c r="G92" s="189">
        <f>G70/(1+$C$88)^G60</f>
        <v>26329.397339977808</v>
      </c>
      <c r="H92" s="189">
        <f t="shared" ref="H92:AG92" si="54">H70/(1+$C$88)^H60</f>
        <v>29096.523617735722</v>
      </c>
      <c r="I92" s="189">
        <f t="shared" si="54"/>
        <v>24380.088876123122</v>
      </c>
      <c r="J92" s="189">
        <f t="shared" si="54"/>
        <v>22572.831765300223</v>
      </c>
      <c r="K92" s="189">
        <f t="shared" si="54"/>
        <v>20898.551338804093</v>
      </c>
      <c r="L92" s="189">
        <f t="shared" si="54"/>
        <v>17636.916239333983</v>
      </c>
      <c r="M92" s="189">
        <f t="shared" si="54"/>
        <v>15823.367879116875</v>
      </c>
      <c r="N92" s="189">
        <f t="shared" si="54"/>
        <v>14189.477617325874</v>
      </c>
      <c r="O92" s="189">
        <f t="shared" si="54"/>
        <v>8384.2079514188044</v>
      </c>
      <c r="P92" s="189">
        <f t="shared" si="54"/>
        <v>7319.4558791444088</v>
      </c>
      <c r="Q92" s="189">
        <f t="shared" si="54"/>
        <v>6595.7276225333489</v>
      </c>
      <c r="R92" s="189">
        <f t="shared" si="54"/>
        <v>5934.5394094237863</v>
      </c>
      <c r="S92" s="189">
        <f t="shared" si="54"/>
        <v>4747.079196407788</v>
      </c>
      <c r="T92" s="189">
        <f t="shared" si="54"/>
        <v>4283.0939573591086</v>
      </c>
      <c r="U92" s="189">
        <f t="shared" si="54"/>
        <v>3858.221961772786</v>
      </c>
      <c r="V92" s="189">
        <f t="shared" si="54"/>
        <v>3093.056873692487</v>
      </c>
      <c r="W92" s="189">
        <f t="shared" si="54"/>
        <v>2793.0667295176054</v>
      </c>
      <c r="X92" s="189" t="e">
        <f t="shared" si="54"/>
        <v>#REF!</v>
      </c>
      <c r="Y92" s="189" t="e">
        <f t="shared" si="54"/>
        <v>#REF!</v>
      </c>
      <c r="Z92" s="189" t="e">
        <f t="shared" si="54"/>
        <v>#REF!</v>
      </c>
      <c r="AA92" s="189" t="e">
        <f t="shared" si="54"/>
        <v>#REF!</v>
      </c>
      <c r="AB92" s="189" t="e">
        <f t="shared" si="54"/>
        <v>#REF!</v>
      </c>
      <c r="AC92" s="189" t="e">
        <f t="shared" si="54"/>
        <v>#REF!</v>
      </c>
      <c r="AD92" s="189" t="e">
        <f t="shared" si="54"/>
        <v>#REF!</v>
      </c>
      <c r="AE92" s="189" t="e">
        <f t="shared" si="54"/>
        <v>#REF!</v>
      </c>
      <c r="AF92" s="189" t="e">
        <f t="shared" si="54"/>
        <v>#REF!</v>
      </c>
      <c r="AG92" s="189" t="e">
        <f t="shared" si="54"/>
        <v>#REF!</v>
      </c>
    </row>
    <row r="93" spans="1:33" x14ac:dyDescent="0.2">
      <c r="A93" s="9" t="s">
        <v>181</v>
      </c>
      <c r="B93" s="9"/>
      <c r="C93" s="97">
        <f>+C89+C92</f>
        <v>192844.59994814725</v>
      </c>
      <c r="D93" s="4"/>
      <c r="E93" s="4"/>
      <c r="F93" s="7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</row>
    <row r="94" spans="1:33" x14ac:dyDescent="0.2">
      <c r="A94" s="95" t="s">
        <v>275</v>
      </c>
      <c r="B94" s="95"/>
      <c r="C94" s="4"/>
      <c r="D94" s="139">
        <f>+D92</f>
        <v>23596.446753246757</v>
      </c>
      <c r="E94" s="139">
        <f>+D94+E92</f>
        <v>53592.298405202309</v>
      </c>
      <c r="F94" s="139">
        <f t="shared" ref="F94:AG94" si="55">+E94+F92</f>
        <v>74908.995693159508</v>
      </c>
      <c r="G94" s="139">
        <f t="shared" si="55"/>
        <v>101238.39303313731</v>
      </c>
      <c r="H94" s="139">
        <f t="shared" si="55"/>
        <v>130334.91665087303</v>
      </c>
      <c r="I94" s="139">
        <f t="shared" si="55"/>
        <v>154715.00552699616</v>
      </c>
      <c r="J94" s="139">
        <f t="shared" si="55"/>
        <v>177287.83729229638</v>
      </c>
      <c r="K94" s="139">
        <f t="shared" si="55"/>
        <v>198186.38863110048</v>
      </c>
      <c r="L94" s="139">
        <f t="shared" si="55"/>
        <v>215823.30487043445</v>
      </c>
      <c r="M94" s="139">
        <f t="shared" si="55"/>
        <v>231646.67274955133</v>
      </c>
      <c r="N94" s="139">
        <f t="shared" si="55"/>
        <v>245836.15036687721</v>
      </c>
      <c r="O94" s="139">
        <f t="shared" si="55"/>
        <v>254220.358318296</v>
      </c>
      <c r="P94" s="139">
        <f t="shared" si="55"/>
        <v>261539.8141974404</v>
      </c>
      <c r="Q94" s="139">
        <f t="shared" si="55"/>
        <v>268135.54181997373</v>
      </c>
      <c r="R94" s="139">
        <f t="shared" si="55"/>
        <v>274070.0812293975</v>
      </c>
      <c r="S94" s="139">
        <f t="shared" si="55"/>
        <v>278817.16042580531</v>
      </c>
      <c r="T94" s="139">
        <f t="shared" si="55"/>
        <v>283100.2543831644</v>
      </c>
      <c r="U94" s="139">
        <f t="shared" si="55"/>
        <v>286958.47634493717</v>
      </c>
      <c r="V94" s="139">
        <f t="shared" si="55"/>
        <v>290051.53321862966</v>
      </c>
      <c r="W94" s="139">
        <f t="shared" si="55"/>
        <v>292844.59994814725</v>
      </c>
      <c r="X94" s="139" t="e">
        <f t="shared" si="55"/>
        <v>#REF!</v>
      </c>
      <c r="Y94" s="139" t="e">
        <f t="shared" si="55"/>
        <v>#REF!</v>
      </c>
      <c r="Z94" s="139" t="e">
        <f t="shared" si="55"/>
        <v>#REF!</v>
      </c>
      <c r="AA94" s="139" t="e">
        <f t="shared" si="55"/>
        <v>#REF!</v>
      </c>
      <c r="AB94" s="139" t="e">
        <f t="shared" si="55"/>
        <v>#REF!</v>
      </c>
      <c r="AC94" s="139" t="e">
        <f t="shared" si="55"/>
        <v>#REF!</v>
      </c>
      <c r="AD94" s="139" t="e">
        <f t="shared" si="55"/>
        <v>#REF!</v>
      </c>
      <c r="AE94" s="139" t="e">
        <f t="shared" si="55"/>
        <v>#REF!</v>
      </c>
      <c r="AF94" s="139" t="e">
        <f t="shared" si="55"/>
        <v>#REF!</v>
      </c>
      <c r="AG94" s="139" t="e">
        <f t="shared" si="55"/>
        <v>#REF!</v>
      </c>
    </row>
    <row r="95" spans="1:33" x14ac:dyDescent="0.2">
      <c r="A95" s="95" t="s">
        <v>276</v>
      </c>
      <c r="B95" s="95"/>
      <c r="C95" s="4"/>
      <c r="D95" s="139">
        <f>+D70</f>
        <v>27253.896000000004</v>
      </c>
      <c r="E95" s="139">
        <f>+D95+E70</f>
        <v>67269.112000000008</v>
      </c>
      <c r="F95" s="139">
        <f t="shared" ref="F95:AG95" si="56">+E95+F70</f>
        <v>100113.85520000001</v>
      </c>
      <c r="G95" s="139">
        <f t="shared" si="56"/>
        <v>146970.24840000001</v>
      </c>
      <c r="H95" s="139">
        <f t="shared" si="56"/>
        <v>206777.1116</v>
      </c>
      <c r="I95" s="139">
        <f t="shared" si="56"/>
        <v>264656.93400000001</v>
      </c>
      <c r="J95" s="139">
        <f t="shared" si="56"/>
        <v>326552.5564</v>
      </c>
      <c r="K95" s="139">
        <f t="shared" si="56"/>
        <v>392739.45879999996</v>
      </c>
      <c r="L95" s="139">
        <f t="shared" si="56"/>
        <v>457254.43039999995</v>
      </c>
      <c r="M95" s="139">
        <f t="shared" si="56"/>
        <v>524107.10199999996</v>
      </c>
      <c r="N95" s="139">
        <f t="shared" si="56"/>
        <v>593348.88359999994</v>
      </c>
      <c r="O95" s="139">
        <f t="shared" si="56"/>
        <v>640603.67519999994</v>
      </c>
      <c r="P95" s="139">
        <f t="shared" si="56"/>
        <v>688251.66599999997</v>
      </c>
      <c r="Q95" s="139">
        <f t="shared" si="56"/>
        <v>737843.5368</v>
      </c>
      <c r="R95" s="139">
        <f t="shared" si="56"/>
        <v>789380.25760000001</v>
      </c>
      <c r="S95" s="139">
        <f t="shared" si="56"/>
        <v>836994.64760000003</v>
      </c>
      <c r="T95" s="139">
        <f t="shared" si="56"/>
        <v>886614.02760000003</v>
      </c>
      <c r="U95" s="139">
        <f t="shared" si="56"/>
        <v>938239.3676</v>
      </c>
      <c r="V95" s="139">
        <f t="shared" si="56"/>
        <v>986041.31680000003</v>
      </c>
      <c r="W95" s="139">
        <f t="shared" si="56"/>
        <v>1035897.726</v>
      </c>
      <c r="X95" s="139" t="e">
        <f t="shared" si="56"/>
        <v>#REF!</v>
      </c>
      <c r="Y95" s="139" t="e">
        <f t="shared" si="56"/>
        <v>#REF!</v>
      </c>
      <c r="Z95" s="139" t="e">
        <f t="shared" si="56"/>
        <v>#REF!</v>
      </c>
      <c r="AA95" s="139" t="e">
        <f t="shared" si="56"/>
        <v>#REF!</v>
      </c>
      <c r="AB95" s="139" t="e">
        <f t="shared" si="56"/>
        <v>#REF!</v>
      </c>
      <c r="AC95" s="139" t="e">
        <f t="shared" si="56"/>
        <v>#REF!</v>
      </c>
      <c r="AD95" s="139" t="e">
        <f t="shared" si="56"/>
        <v>#REF!</v>
      </c>
      <c r="AE95" s="139" t="e">
        <f t="shared" si="56"/>
        <v>#REF!</v>
      </c>
      <c r="AF95" s="139" t="e">
        <f t="shared" si="56"/>
        <v>#REF!</v>
      </c>
      <c r="AG95" s="139" t="e">
        <f t="shared" si="56"/>
        <v>#REF!</v>
      </c>
    </row>
    <row r="98" spans="1:3" x14ac:dyDescent="0.2">
      <c r="A98" s="20" t="s">
        <v>277</v>
      </c>
    </row>
    <row r="99" spans="1:3" x14ac:dyDescent="0.2">
      <c r="A99" s="20" t="s">
        <v>278</v>
      </c>
      <c r="C99" s="187">
        <v>3.5000000000000003E-2</v>
      </c>
    </row>
    <row r="100" spans="1:3" x14ac:dyDescent="0.2">
      <c r="A100" s="20" t="s">
        <v>279</v>
      </c>
      <c r="C100" s="187">
        <v>0.02</v>
      </c>
    </row>
    <row r="101" spans="1:3" x14ac:dyDescent="0.2">
      <c r="A101" s="20" t="s">
        <v>280</v>
      </c>
      <c r="C101" s="126">
        <v>0.1</v>
      </c>
    </row>
    <row r="102" spans="1:3" x14ac:dyDescent="0.2">
      <c r="A102" s="2" t="s">
        <v>182</v>
      </c>
      <c r="B102" s="2"/>
      <c r="C102" s="315">
        <f>SUM(C99:C101)</f>
        <v>0.15500000000000003</v>
      </c>
    </row>
    <row r="106" spans="1:3" x14ac:dyDescent="0.2">
      <c r="A106" s="20"/>
    </row>
    <row r="107" spans="1:3" x14ac:dyDescent="0.2">
      <c r="A107" s="20"/>
    </row>
  </sheetData>
  <mergeCells count="2">
    <mergeCell ref="A3:W3"/>
    <mergeCell ref="A1:W1"/>
  </mergeCells>
  <phoneticPr fontId="2" type="noConversion"/>
  <printOptions horizontalCentered="1"/>
  <pageMargins left="0.19685039370078741" right="0.19685039370078741" top="0.39370078740157483" bottom="0.39370078740157483" header="0.51181102362204722" footer="0.51181102362204722"/>
  <pageSetup paperSize="9" scale="44" orientation="landscape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170"/>
  <sheetViews>
    <sheetView topLeftCell="A160" workbookViewId="0">
      <selection activeCell="H33" sqref="H33"/>
    </sheetView>
  </sheetViews>
  <sheetFormatPr defaultRowHeight="12.75" x14ac:dyDescent="0.2"/>
  <cols>
    <col min="1" max="1" width="42.42578125" bestFit="1" customWidth="1"/>
    <col min="2" max="2" width="10.85546875" bestFit="1" customWidth="1"/>
    <col min="3" max="4" width="9.7109375" bestFit="1" customWidth="1"/>
    <col min="8" max="8" width="9.7109375" bestFit="1" customWidth="1"/>
    <col min="9" max="9" width="10.7109375" bestFit="1" customWidth="1"/>
  </cols>
  <sheetData>
    <row r="1" spans="1:9" ht="13.5" thickBot="1" x14ac:dyDescent="0.25">
      <c r="A1" s="191" t="s">
        <v>347</v>
      </c>
      <c r="B1" s="191"/>
      <c r="C1" s="191"/>
      <c r="D1" s="191"/>
      <c r="E1" s="191"/>
      <c r="F1" s="191"/>
      <c r="G1" s="191"/>
      <c r="H1" s="191"/>
      <c r="I1" s="191"/>
    </row>
    <row r="2" spans="1:9" x14ac:dyDescent="0.2">
      <c r="A2" s="597" t="s">
        <v>489</v>
      </c>
      <c r="B2" s="429"/>
      <c r="C2" s="430"/>
      <c r="D2" s="431"/>
      <c r="E2" s="615" t="s">
        <v>348</v>
      </c>
      <c r="F2" s="615"/>
      <c r="G2" s="615"/>
      <c r="H2" s="616" t="s">
        <v>349</v>
      </c>
      <c r="I2" s="616"/>
    </row>
    <row r="3" spans="1:9" ht="13.5" thickBot="1" x14ac:dyDescent="0.25">
      <c r="A3" s="432" t="s">
        <v>350</v>
      </c>
      <c r="B3" s="433" t="s">
        <v>351</v>
      </c>
      <c r="C3" s="434" t="s">
        <v>352</v>
      </c>
      <c r="D3" s="435" t="s">
        <v>353</v>
      </c>
      <c r="E3" s="436" t="s">
        <v>354</v>
      </c>
      <c r="F3" s="437" t="s">
        <v>355</v>
      </c>
      <c r="G3" s="438" t="s">
        <v>356</v>
      </c>
      <c r="H3" s="439" t="s">
        <v>357</v>
      </c>
      <c r="I3" s="440" t="s">
        <v>358</v>
      </c>
    </row>
    <row r="4" spans="1:9" x14ac:dyDescent="0.2">
      <c r="A4" s="441" t="s">
        <v>359</v>
      </c>
      <c r="B4" s="442">
        <f>SUM(B5:B9)</f>
        <v>90000</v>
      </c>
      <c r="C4" s="442">
        <f t="shared" ref="C4:D4" si="0">SUM(C5:C9)</f>
        <v>88000</v>
      </c>
      <c r="D4" s="443">
        <f t="shared" si="0"/>
        <v>93000</v>
      </c>
      <c r="E4" s="444">
        <f>ROUND(B4/$B$15,4)</f>
        <v>0.52810000000000001</v>
      </c>
      <c r="F4" s="445">
        <f>ROUND(C4/$C$15,4)</f>
        <v>0.44869999999999999</v>
      </c>
      <c r="G4" s="446">
        <f>ROUND(D4/$D$18,4)</f>
        <v>0.80220000000000002</v>
      </c>
      <c r="H4" s="447">
        <f t="shared" ref="H4:I7" si="1">C4-B4</f>
        <v>-2000</v>
      </c>
      <c r="I4" s="448">
        <f t="shared" si="1"/>
        <v>5000</v>
      </c>
    </row>
    <row r="5" spans="1:9" x14ac:dyDescent="0.2">
      <c r="A5" s="195" t="s">
        <v>360</v>
      </c>
      <c r="B5" s="449">
        <f>+'DATI PROGETTO E FINANZIAMENTO'!C14-'DATI PROGETTO E FINANZIAMENTO'!C17</f>
        <v>90000</v>
      </c>
      <c r="C5" s="449">
        <f>+B5-'DATI PROGETTO E FINANZIAMENTO'!D17</f>
        <v>80000</v>
      </c>
      <c r="D5" s="450">
        <f>+C5-'DATI PROGETTO E FINANZIAMENTO'!E17</f>
        <v>70000</v>
      </c>
      <c r="E5" s="451">
        <f>ROUND(B5/$B$15,4)</f>
        <v>0.52810000000000001</v>
      </c>
      <c r="F5" s="452">
        <f>ROUND(C5/$C$15,4)</f>
        <v>0.40789999999999998</v>
      </c>
      <c r="G5" s="453">
        <f>ROUND(D5/$D$18,4)</f>
        <v>0.6038</v>
      </c>
      <c r="H5" s="454">
        <f t="shared" si="1"/>
        <v>-10000</v>
      </c>
      <c r="I5" s="455">
        <f t="shared" si="1"/>
        <v>-10000</v>
      </c>
    </row>
    <row r="6" spans="1:9" x14ac:dyDescent="0.2">
      <c r="A6" s="195" t="s">
        <v>361</v>
      </c>
      <c r="B6" s="449">
        <f>+'DATI PROGETTO E FINANZIAMENTO'!C54</f>
        <v>0</v>
      </c>
      <c r="C6" s="449">
        <f>+'DATI PROGETTO E FINANZIAMENTO'!D54-'DATI PROGETTO E FINANZIAMENTO'!D62</f>
        <v>8000</v>
      </c>
      <c r="D6" s="450">
        <f>+C6+'DATI PROGETTO E FINANZIAMENTO'!E54-'DATI PROGETTO E FINANZIAMENTO'!E61</f>
        <v>23000</v>
      </c>
      <c r="E6" s="451">
        <f>ROUND(B6/$B$15,4)</f>
        <v>0</v>
      </c>
      <c r="F6" s="452">
        <f>ROUND(C6/$C$15,4)</f>
        <v>4.0800000000000003E-2</v>
      </c>
      <c r="G6" s="453">
        <f>ROUND(D6/$D$18,4)</f>
        <v>0.19839999999999999</v>
      </c>
      <c r="H6" s="454">
        <f t="shared" si="1"/>
        <v>8000</v>
      </c>
      <c r="I6" s="455">
        <f t="shared" si="1"/>
        <v>15000</v>
      </c>
    </row>
    <row r="7" spans="1:9" x14ac:dyDescent="0.2">
      <c r="A7" s="195" t="s">
        <v>362</v>
      </c>
      <c r="B7" s="449"/>
      <c r="C7" s="449"/>
      <c r="D7" s="450"/>
      <c r="E7" s="451">
        <f>ROUND(B7/$B$15,4)</f>
        <v>0</v>
      </c>
      <c r="F7" s="452">
        <f>ROUND(C7/$C$15,4)</f>
        <v>0</v>
      </c>
      <c r="G7" s="453">
        <f>ROUND(D7/$D$18,4)</f>
        <v>0</v>
      </c>
      <c r="H7" s="454">
        <f t="shared" si="1"/>
        <v>0</v>
      </c>
      <c r="I7" s="455">
        <f t="shared" si="1"/>
        <v>0</v>
      </c>
    </row>
    <row r="8" spans="1:9" x14ac:dyDescent="0.2">
      <c r="A8" s="195" t="s">
        <v>363</v>
      </c>
      <c r="B8" s="449"/>
      <c r="C8" s="449"/>
      <c r="D8" s="450"/>
      <c r="E8" s="451" t="s">
        <v>30</v>
      </c>
      <c r="F8" s="452">
        <f>ROUND(C8/$C$15,4)</f>
        <v>0</v>
      </c>
      <c r="G8" s="453" t="s">
        <v>30</v>
      </c>
      <c r="H8" s="456"/>
      <c r="I8" s="457"/>
    </row>
    <row r="9" spans="1:9" ht="13.5" thickBot="1" x14ac:dyDescent="0.25">
      <c r="A9" s="458" t="s">
        <v>364</v>
      </c>
      <c r="B9" s="459"/>
      <c r="C9" s="459"/>
      <c r="D9" s="460"/>
      <c r="E9" s="451"/>
      <c r="F9" s="452"/>
      <c r="G9" s="453"/>
      <c r="H9" s="456"/>
      <c r="I9" s="457"/>
    </row>
    <row r="10" spans="1:9" ht="13.5" thickBot="1" x14ac:dyDescent="0.25">
      <c r="A10" s="461" t="s">
        <v>365</v>
      </c>
      <c r="B10" s="462">
        <f>SUM(B11:B14)</f>
        <v>80436.650192831701</v>
      </c>
      <c r="C10" s="462">
        <f t="shared" ref="C10:D10" si="2">SUM(C11:C14)</f>
        <v>108140.40586511543</v>
      </c>
      <c r="D10" s="462">
        <f t="shared" si="2"/>
        <v>119462.86472968737</v>
      </c>
      <c r="E10" s="463">
        <f t="shared" ref="E10:E13" si="3">ROUND(B10/$B$15,4)</f>
        <v>0.47189999999999999</v>
      </c>
      <c r="F10" s="445">
        <f>ROUND(C10/$C$15,4)</f>
        <v>0.55130000000000001</v>
      </c>
      <c r="G10" s="446">
        <f>ROUND(D10/$D$18,4)</f>
        <v>1.0305</v>
      </c>
      <c r="H10" s="447">
        <f t="shared" ref="H10:I13" si="4">C10-B10</f>
        <v>27703.755672283733</v>
      </c>
      <c r="I10" s="448">
        <f t="shared" si="4"/>
        <v>11322.458864571934</v>
      </c>
    </row>
    <row r="11" spans="1:9" x14ac:dyDescent="0.2">
      <c r="A11" s="464" t="s">
        <v>366</v>
      </c>
      <c r="B11" s="465">
        <v>0</v>
      </c>
      <c r="C11" s="465">
        <v>0</v>
      </c>
      <c r="D11" s="465">
        <v>0</v>
      </c>
      <c r="E11" s="466">
        <f t="shared" si="3"/>
        <v>0</v>
      </c>
      <c r="F11" s="452">
        <f>ROUND(C11/$C$15,4)</f>
        <v>0</v>
      </c>
      <c r="G11" s="453">
        <f>ROUND(D11/$D$18,4)</f>
        <v>0</v>
      </c>
      <c r="H11" s="454">
        <f t="shared" si="4"/>
        <v>0</v>
      </c>
      <c r="I11" s="455">
        <f t="shared" si="4"/>
        <v>0</v>
      </c>
    </row>
    <row r="12" spans="1:9" x14ac:dyDescent="0.2">
      <c r="A12" s="464" t="s">
        <v>367</v>
      </c>
      <c r="B12" s="465">
        <f>+B82-'BUSINESS PLAN'!D54</f>
        <v>60329.030136986294</v>
      </c>
      <c r="C12" s="465">
        <f>+C82-'BUSINESS PLAN'!E54</f>
        <v>67647.965753424651</v>
      </c>
      <c r="D12" s="465">
        <f>+D82-'BUSINESS PLAN'!F54</f>
        <v>71535.474191780813</v>
      </c>
      <c r="E12" s="466">
        <f t="shared" si="3"/>
        <v>0.35399999999999998</v>
      </c>
      <c r="F12" s="452">
        <f>ROUND(C12/$C$15,4)</f>
        <v>0.34489999999999998</v>
      </c>
      <c r="G12" s="453">
        <f>ROUND(D12/$D$18,4)</f>
        <v>0.61699999999999999</v>
      </c>
      <c r="H12" s="454">
        <f t="shared" si="4"/>
        <v>7318.9356164383571</v>
      </c>
      <c r="I12" s="455">
        <f t="shared" si="4"/>
        <v>3887.5084383561625</v>
      </c>
    </row>
    <row r="13" spans="1:9" x14ac:dyDescent="0.2">
      <c r="A13" s="464" t="s">
        <v>368</v>
      </c>
      <c r="B13" s="465">
        <f>IF('BUSINESS PLAN'!D58&gt;0,'BUSINESS PLAN'!D58,0)</f>
        <v>20107.620055845415</v>
      </c>
      <c r="C13" s="465">
        <f>IF('BUSINESS PLAN'!E58&gt;0,'BUSINESS PLAN'!E58,0)</f>
        <v>40492.440111690783</v>
      </c>
      <c r="D13" s="465">
        <f>IF('BUSINESS PLAN'!F58&gt;0,'BUSINESS PLAN'!F58,0)</f>
        <v>47927.390537906555</v>
      </c>
      <c r="E13" s="466">
        <f t="shared" si="3"/>
        <v>0.11799999999999999</v>
      </c>
      <c r="F13" s="452">
        <f>ROUND(C13/$C$15,4)</f>
        <v>0.2064</v>
      </c>
      <c r="G13" s="453">
        <f>ROUND(D13/$D$18,4)</f>
        <v>0.41339999999999999</v>
      </c>
      <c r="H13" s="454">
        <f t="shared" si="4"/>
        <v>20384.820055845368</v>
      </c>
      <c r="I13" s="455">
        <f t="shared" si="4"/>
        <v>7434.9504262157716</v>
      </c>
    </row>
    <row r="14" spans="1:9" ht="13.5" thickBot="1" x14ac:dyDescent="0.25">
      <c r="A14" s="464" t="s">
        <v>488</v>
      </c>
      <c r="B14" s="594">
        <v>0</v>
      </c>
      <c r="C14" s="595">
        <v>0</v>
      </c>
      <c r="D14" s="596">
        <v>0</v>
      </c>
      <c r="E14" s="466"/>
      <c r="F14" s="452" t="s">
        <v>30</v>
      </c>
      <c r="G14" s="453" t="s">
        <v>30</v>
      </c>
      <c r="H14" s="456"/>
      <c r="I14" s="457"/>
    </row>
    <row r="15" spans="1:9" ht="13.5" thickBot="1" x14ac:dyDescent="0.25">
      <c r="A15" s="469" t="s">
        <v>369</v>
      </c>
      <c r="B15" s="470">
        <f>B10+B4</f>
        <v>170436.6501928317</v>
      </c>
      <c r="C15" s="470">
        <f>C10+C4</f>
        <v>196140.40586511543</v>
      </c>
      <c r="D15" s="470">
        <f>D10+D4</f>
        <v>212462.86472968737</v>
      </c>
      <c r="E15" s="463">
        <f>ROUND(B15/$B$15,4)</f>
        <v>1</v>
      </c>
      <c r="F15" s="445">
        <f>ROUND(C15/$C$15,4)</f>
        <v>1</v>
      </c>
      <c r="G15" s="446">
        <f>ROUND(D15/$D$18,4)</f>
        <v>1.8327</v>
      </c>
      <c r="H15" s="447">
        <f>C15-B15</f>
        <v>25703.755672283733</v>
      </c>
      <c r="I15" s="448">
        <f>D15-C15</f>
        <v>16322.458864571934</v>
      </c>
    </row>
    <row r="16" spans="1:9" x14ac:dyDescent="0.2">
      <c r="A16" s="464"/>
      <c r="B16" s="465"/>
      <c r="C16" s="467"/>
      <c r="D16" s="468"/>
      <c r="E16" s="456"/>
      <c r="F16" s="471"/>
      <c r="G16" s="457"/>
      <c r="H16" s="456"/>
      <c r="I16" s="457"/>
    </row>
    <row r="17" spans="1:9" ht="13.5" thickBot="1" x14ac:dyDescent="0.25">
      <c r="A17" s="428" t="s">
        <v>370</v>
      </c>
      <c r="B17" s="472" t="str">
        <f>+B3</f>
        <v>n</v>
      </c>
      <c r="C17" s="473" t="str">
        <f>+C3</f>
        <v>n+1</v>
      </c>
      <c r="D17" s="474" t="str">
        <f>+D3</f>
        <v>n+2</v>
      </c>
      <c r="E17" s="456"/>
      <c r="F17" s="471"/>
      <c r="G17" s="457"/>
      <c r="H17" s="456"/>
      <c r="I17" s="457"/>
    </row>
    <row r="18" spans="1:9" ht="13.5" thickBot="1" x14ac:dyDescent="0.25">
      <c r="A18" s="469" t="s">
        <v>371</v>
      </c>
      <c r="B18" s="470">
        <f>SUM(B19:B21)</f>
        <v>74546.800000000017</v>
      </c>
      <c r="C18" s="470">
        <f>SUM(C19:C21)</f>
        <v>100154.06418239295</v>
      </c>
      <c r="D18" s="470">
        <f>SUM(D19:D21)</f>
        <v>115931.47575629837</v>
      </c>
      <c r="E18" s="463">
        <f>ROUND(B18/$B$28,4)</f>
        <v>0.43740000000000001</v>
      </c>
      <c r="F18" s="445">
        <f>ROUND(C18/$C$28,4)</f>
        <v>0.51060000000000005</v>
      </c>
      <c r="G18" s="446">
        <f>ROUND(D18/$D$28,4)</f>
        <v>0.54569999999999996</v>
      </c>
      <c r="H18" s="447">
        <f t="shared" ref="H18:I21" si="5">C18-B18</f>
        <v>25607.26418239293</v>
      </c>
      <c r="I18" s="448">
        <f t="shared" si="5"/>
        <v>15777.411573905425</v>
      </c>
    </row>
    <row r="19" spans="1:9" x14ac:dyDescent="0.2">
      <c r="A19" s="464" t="s">
        <v>133</v>
      </c>
      <c r="B19" s="465">
        <f>+'DATI PROGETTO E FINANZIAMENTO'!C23</f>
        <v>60000</v>
      </c>
      <c r="C19" s="465">
        <f>+B19+'DATI PROGETTO E FINANZIAMENTO'!E23</f>
        <v>60000</v>
      </c>
      <c r="D19" s="465">
        <f>+C19+'DATI PROGETTO E FINANZIAMENTO'!F23</f>
        <v>60000</v>
      </c>
      <c r="E19" s="466">
        <f>ROUND(B19/$B$28,4)</f>
        <v>0.35199999999999998</v>
      </c>
      <c r="F19" s="452">
        <f>ROUND(C19/$C$28,4)</f>
        <v>0.30590000000000001</v>
      </c>
      <c r="G19" s="453">
        <f>ROUND(D19/$D$28,4)</f>
        <v>0.28239999999999998</v>
      </c>
      <c r="H19" s="454">
        <f t="shared" si="5"/>
        <v>0</v>
      </c>
      <c r="I19" s="455">
        <f t="shared" si="5"/>
        <v>0</v>
      </c>
    </row>
    <row r="20" spans="1:9" x14ac:dyDescent="0.2">
      <c r="A20" s="464" t="s">
        <v>372</v>
      </c>
      <c r="B20" s="465"/>
      <c r="C20" s="465">
        <f>+B21</f>
        <v>14546.800000000017</v>
      </c>
      <c r="D20" s="465">
        <f>+C20+C21</f>
        <v>40154.064182392947</v>
      </c>
      <c r="E20" s="466">
        <f>ROUND(B20/$B$28,4)</f>
        <v>0</v>
      </c>
      <c r="F20" s="452">
        <f>ROUND(C20/$C$28,4)</f>
        <v>7.4200000000000002E-2</v>
      </c>
      <c r="G20" s="453">
        <f>ROUND(D20/$D$28,4)</f>
        <v>0.189</v>
      </c>
      <c r="H20" s="454">
        <f t="shared" si="5"/>
        <v>14546.800000000017</v>
      </c>
      <c r="I20" s="455">
        <f t="shared" si="5"/>
        <v>25607.26418239293</v>
      </c>
    </row>
    <row r="21" spans="1:9" x14ac:dyDescent="0.2">
      <c r="A21" s="464" t="s">
        <v>373</v>
      </c>
      <c r="B21" s="465">
        <f>+B72</f>
        <v>14546.800000000017</v>
      </c>
      <c r="C21" s="465">
        <f t="shared" ref="C21:D21" si="6">+C72</f>
        <v>25607.26418239293</v>
      </c>
      <c r="D21" s="465">
        <f t="shared" si="6"/>
        <v>15777.411573905432</v>
      </c>
      <c r="E21" s="466">
        <f>ROUND(B21/$B$28,4)</f>
        <v>8.5300000000000001E-2</v>
      </c>
      <c r="F21" s="452">
        <f>ROUND(C21/$C$28,4)</f>
        <v>0.13059999999999999</v>
      </c>
      <c r="G21" s="453">
        <f>ROUND(D21/$D$28,4)</f>
        <v>7.4300000000000005E-2</v>
      </c>
      <c r="H21" s="454">
        <f t="shared" si="5"/>
        <v>11060.464182392912</v>
      </c>
      <c r="I21" s="457"/>
    </row>
    <row r="22" spans="1:9" ht="13.5" thickBot="1" x14ac:dyDescent="0.25">
      <c r="A22" s="464"/>
      <c r="B22" s="465"/>
      <c r="C22" s="467"/>
      <c r="D22" s="468"/>
      <c r="E22" s="466" t="s">
        <v>30</v>
      </c>
      <c r="F22" s="452" t="s">
        <v>30</v>
      </c>
      <c r="G22" s="453" t="s">
        <v>30</v>
      </c>
      <c r="H22" s="456"/>
      <c r="I22" s="457"/>
    </row>
    <row r="23" spans="1:9" ht="13.5" thickBot="1" x14ac:dyDescent="0.25">
      <c r="A23" s="469" t="s">
        <v>374</v>
      </c>
      <c r="B23" s="470">
        <f>SUM(B24:B27)</f>
        <v>95890.303201456743</v>
      </c>
      <c r="C23" s="470">
        <f t="shared" ref="C23:D23" si="7">SUM(C24:C27)</f>
        <v>95986.541672575375</v>
      </c>
      <c r="D23" s="470">
        <f t="shared" si="7"/>
        <v>96531.442615195148</v>
      </c>
      <c r="E23" s="463">
        <f>ROUND(B23/$B$28,4)</f>
        <v>0.56259999999999999</v>
      </c>
      <c r="F23" s="445">
        <f>ROUND(C23/$C$28,4)</f>
        <v>0.4894</v>
      </c>
      <c r="G23" s="446">
        <f>ROUND(D23/$D$28,4)</f>
        <v>0.45429999999999998</v>
      </c>
      <c r="H23" s="447">
        <f t="shared" ref="H23:I25" si="8">C23-B23</f>
        <v>96.238471118631423</v>
      </c>
      <c r="I23" s="448">
        <f t="shared" si="8"/>
        <v>544.90094261977356</v>
      </c>
    </row>
    <row r="24" spans="1:9" x14ac:dyDescent="0.2">
      <c r="A24" s="464" t="s">
        <v>375</v>
      </c>
      <c r="B24" s="465">
        <f>+B89</f>
        <v>57070.716352141673</v>
      </c>
      <c r="C24" s="465">
        <f t="shared" ref="C24:D24" si="9">+C89</f>
        <v>51894.968521890434</v>
      </c>
      <c r="D24" s="465">
        <f t="shared" si="9"/>
        <v>46460.433300126664</v>
      </c>
      <c r="E24" s="466">
        <f>ROUND(B24/$B$28,4)</f>
        <v>0.33479999999999999</v>
      </c>
      <c r="F24" s="452">
        <f>ROUND(C24/$C$28,4)</f>
        <v>0.2646</v>
      </c>
      <c r="G24" s="453">
        <f>ROUND(D24/$D$28,4)</f>
        <v>0.21870000000000001</v>
      </c>
      <c r="H24" s="454">
        <f t="shared" si="8"/>
        <v>-5175.7478302512391</v>
      </c>
      <c r="I24" s="455">
        <f t="shared" si="8"/>
        <v>-5434.5352217637701</v>
      </c>
    </row>
    <row r="25" spans="1:9" x14ac:dyDescent="0.2">
      <c r="A25" s="464" t="s">
        <v>483</v>
      </c>
      <c r="B25" s="465">
        <f>+B84</f>
        <v>21369.586849315067</v>
      </c>
      <c r="C25" s="465">
        <f t="shared" ref="C25:D25" si="10">+C84</f>
        <v>23194.573150684933</v>
      </c>
      <c r="D25" s="465">
        <f t="shared" si="10"/>
        <v>25111.009315068488</v>
      </c>
      <c r="E25" s="466">
        <f>ROUND(B25/$B$28,4)</f>
        <v>0.12540000000000001</v>
      </c>
      <c r="F25" s="452">
        <f>ROUND(C25/$C$28,4)</f>
        <v>0.1183</v>
      </c>
      <c r="G25" s="453">
        <f>ROUND(D25/$D$28,4)</f>
        <v>0.1182</v>
      </c>
      <c r="H25" s="454">
        <f t="shared" si="8"/>
        <v>1824.9863013698669</v>
      </c>
      <c r="I25" s="455">
        <f t="shared" si="8"/>
        <v>1916.4361643835546</v>
      </c>
    </row>
    <row r="26" spans="1:9" x14ac:dyDescent="0.2">
      <c r="A26" s="464" t="s">
        <v>484</v>
      </c>
      <c r="B26" s="465">
        <f>IF('BUSINESS PLAN'!D58&lt;0,'BUSINESS PLAN'!D58,0)</f>
        <v>0</v>
      </c>
      <c r="C26" s="465">
        <f>IF('BUSINESS PLAN'!E58&lt;0,'BUSINESS PLAN'!E58,0)</f>
        <v>0</v>
      </c>
      <c r="D26" s="465">
        <f>IF('BUSINESS PLAN'!F58&lt;0,'BUSINESS PLAN'!F58,0)</f>
        <v>0</v>
      </c>
      <c r="E26" s="466">
        <f t="shared" ref="E26:E27" si="11">ROUND(B26/$B$28,4)</f>
        <v>0</v>
      </c>
      <c r="F26" s="452">
        <f t="shared" ref="F26:F27" si="12">ROUND(C26/$C$28,4)</f>
        <v>0</v>
      </c>
      <c r="G26" s="453">
        <f t="shared" ref="G26:G27" si="13">ROUND(D26/$D$28,4)</f>
        <v>0</v>
      </c>
      <c r="H26" s="454">
        <f t="shared" ref="H26:H27" si="14">C26-B26</f>
        <v>0</v>
      </c>
      <c r="I26" s="455">
        <f t="shared" ref="I26:I27" si="15">D26-C26</f>
        <v>0</v>
      </c>
    </row>
    <row r="27" spans="1:9" ht="13.5" thickBot="1" x14ac:dyDescent="0.25">
      <c r="A27" s="191" t="s">
        <v>487</v>
      </c>
      <c r="B27" s="590">
        <f>15700+1750</f>
        <v>17450</v>
      </c>
      <c r="C27" s="590">
        <v>20897</v>
      </c>
      <c r="D27" s="590">
        <v>24960</v>
      </c>
      <c r="E27" s="466">
        <f t="shared" si="11"/>
        <v>0.1024</v>
      </c>
      <c r="F27" s="452">
        <f t="shared" si="12"/>
        <v>0.1065</v>
      </c>
      <c r="G27" s="453">
        <f t="shared" si="13"/>
        <v>0.11749999999999999</v>
      </c>
      <c r="H27" s="454">
        <f t="shared" si="14"/>
        <v>3447</v>
      </c>
      <c r="I27" s="455">
        <f t="shared" si="15"/>
        <v>4063</v>
      </c>
    </row>
    <row r="28" spans="1:9" x14ac:dyDescent="0.2">
      <c r="A28" s="591" t="s">
        <v>376</v>
      </c>
      <c r="B28" s="592">
        <f>B18+B23+B26</f>
        <v>170437.10320145678</v>
      </c>
      <c r="C28" s="592">
        <f t="shared" ref="C28:D28" si="16">C18+C23+C26</f>
        <v>196140.60585496831</v>
      </c>
      <c r="D28" s="592">
        <f t="shared" si="16"/>
        <v>212462.91837149352</v>
      </c>
      <c r="E28" s="463">
        <f>ROUND(B28/$B$28,4)</f>
        <v>1</v>
      </c>
      <c r="F28" s="445">
        <f>ROUND(C28/$C$28,4)</f>
        <v>1</v>
      </c>
      <c r="G28" s="446">
        <f>ROUND(D28/$D$28,4)</f>
        <v>1</v>
      </c>
      <c r="H28" s="447">
        <f>C28-B28</f>
        <v>25703.502653511532</v>
      </c>
      <c r="I28" s="448">
        <f>D28-C28</f>
        <v>16322.312516525213</v>
      </c>
    </row>
    <row r="29" spans="1:9" x14ac:dyDescent="0.2">
      <c r="A29" s="193" t="s">
        <v>485</v>
      </c>
      <c r="B29" s="593">
        <f>+B15-B28</f>
        <v>-0.45300862507428974</v>
      </c>
      <c r="C29" s="593">
        <f t="shared" ref="C29:D29" si="17">+C15-C28</f>
        <v>-0.1999898528738413</v>
      </c>
      <c r="D29" s="593">
        <f t="shared" si="17"/>
        <v>-5.3641806152882054E-2</v>
      </c>
      <c r="E29" s="191"/>
      <c r="F29" s="191"/>
      <c r="G29" s="191"/>
      <c r="H29" s="191"/>
      <c r="I29" s="191"/>
    </row>
    <row r="30" spans="1:9" x14ac:dyDescent="0.2">
      <c r="A30" s="191"/>
      <c r="B30" s="475"/>
      <c r="C30" s="475"/>
      <c r="D30" s="475"/>
      <c r="E30" s="191"/>
      <c r="F30" s="191"/>
      <c r="G30" s="191"/>
      <c r="H30" s="191"/>
      <c r="I30" s="191"/>
    </row>
    <row r="31" spans="1:9" x14ac:dyDescent="0.2">
      <c r="A31" s="196" t="s">
        <v>377</v>
      </c>
      <c r="B31" s="475"/>
      <c r="C31" s="475"/>
      <c r="D31" s="475"/>
      <c r="E31" s="191"/>
      <c r="F31" s="191"/>
      <c r="G31" s="191"/>
      <c r="H31" s="191"/>
      <c r="I31" s="191"/>
    </row>
    <row r="32" spans="1:9" x14ac:dyDescent="0.2">
      <c r="A32" s="196" t="s">
        <v>378</v>
      </c>
      <c r="B32" s="465">
        <f>+B27</f>
        <v>17450</v>
      </c>
      <c r="C32" s="465">
        <f t="shared" ref="C32:D32" si="18">+C27</f>
        <v>20897</v>
      </c>
      <c r="D32" s="465">
        <f t="shared" si="18"/>
        <v>24960</v>
      </c>
      <c r="E32" s="191"/>
      <c r="F32" s="191"/>
      <c r="G32" s="191"/>
      <c r="H32" s="191"/>
      <c r="I32" s="191"/>
    </row>
    <row r="33" spans="1:9" x14ac:dyDescent="0.2">
      <c r="A33" s="196" t="s">
        <v>379</v>
      </c>
      <c r="B33" s="465"/>
      <c r="C33" s="465"/>
      <c r="D33" s="465"/>
      <c r="E33" s="191"/>
      <c r="F33" s="191"/>
      <c r="G33" s="191"/>
      <c r="H33" s="475"/>
      <c r="I33" s="191"/>
    </row>
    <row r="34" spans="1:9" x14ac:dyDescent="0.2">
      <c r="A34" s="196" t="s">
        <v>380</v>
      </c>
      <c r="B34" s="476">
        <f>+B32+B33</f>
        <v>17450</v>
      </c>
      <c r="C34" s="476">
        <f t="shared" ref="C34:D34" si="19">+C32+C33</f>
        <v>20897</v>
      </c>
      <c r="D34" s="476">
        <f t="shared" si="19"/>
        <v>24960</v>
      </c>
      <c r="E34" s="191"/>
      <c r="F34" s="191"/>
      <c r="G34" s="191"/>
      <c r="H34" s="191"/>
      <c r="I34" s="191"/>
    </row>
    <row r="35" spans="1:9" x14ac:dyDescent="0.2">
      <c r="A35" s="191"/>
      <c r="B35" s="191"/>
      <c r="C35" s="191"/>
      <c r="D35" s="191"/>
      <c r="E35" s="191"/>
      <c r="F35" s="191"/>
      <c r="G35" s="191"/>
      <c r="H35" s="191"/>
      <c r="I35" s="191"/>
    </row>
    <row r="36" spans="1:9" x14ac:dyDescent="0.2">
      <c r="A36" s="191" t="s">
        <v>381</v>
      </c>
      <c r="B36" s="477">
        <f>IF(B15=B28,"OK",B15-B28)</f>
        <v>-0.45300862507428974</v>
      </c>
      <c r="C36" s="477">
        <f>IF(C15=C28,"OK",C15-C28)</f>
        <v>-0.1999898528738413</v>
      </c>
      <c r="D36" s="477">
        <f>IF(D15=D28,"OK",D15-D28)</f>
        <v>-5.3641806152882054E-2</v>
      </c>
      <c r="E36" s="191"/>
      <c r="F36" s="191"/>
      <c r="G36" s="191"/>
      <c r="H36" s="191"/>
      <c r="I36" s="191"/>
    </row>
    <row r="37" spans="1:9" ht="13.5" thickBot="1" x14ac:dyDescent="0.25">
      <c r="A37" s="191"/>
      <c r="B37" s="191"/>
      <c r="C37" s="191"/>
      <c r="D37" s="191"/>
      <c r="E37" s="191"/>
      <c r="F37" s="191"/>
      <c r="G37" s="191"/>
      <c r="H37" s="191"/>
      <c r="I37" s="191"/>
    </row>
    <row r="38" spans="1:9" x14ac:dyDescent="0.2">
      <c r="A38" s="437" t="s">
        <v>382</v>
      </c>
      <c r="B38" s="478" t="str">
        <f>+B3</f>
        <v>n</v>
      </c>
      <c r="C38" s="478" t="str">
        <f>+C3</f>
        <v>n+1</v>
      </c>
      <c r="D38" s="478" t="str">
        <f>+D3</f>
        <v>n+2</v>
      </c>
      <c r="E38" s="617" t="s">
        <v>348</v>
      </c>
      <c r="F38" s="617"/>
      <c r="G38" s="617"/>
      <c r="H38" s="616" t="s">
        <v>349</v>
      </c>
      <c r="I38" s="616"/>
    </row>
    <row r="39" spans="1:9" x14ac:dyDescent="0.2">
      <c r="A39" s="471"/>
      <c r="B39" s="479"/>
      <c r="C39" s="480"/>
      <c r="D39" s="481"/>
      <c r="E39" s="437" t="s">
        <v>354</v>
      </c>
      <c r="F39" s="437" t="s">
        <v>355</v>
      </c>
      <c r="G39" s="437" t="s">
        <v>356</v>
      </c>
      <c r="H39" s="482" t="s">
        <v>357</v>
      </c>
      <c r="I39" s="482" t="s">
        <v>358</v>
      </c>
    </row>
    <row r="40" spans="1:9" x14ac:dyDescent="0.2">
      <c r="A40" s="471" t="s">
        <v>383</v>
      </c>
      <c r="B40" s="483">
        <f>+'DATI PROGETTO E FINANZIAMENTO'!C100</f>
        <v>244380</v>
      </c>
      <c r="C40" s="483">
        <f>+'DATI PROGETTO E FINANZIAMENTO'!D100</f>
        <v>266975</v>
      </c>
      <c r="D40" s="483">
        <f>+'DATI PROGETTO E FINANZIAMENTO'!E100</f>
        <v>290706.59999999998</v>
      </c>
      <c r="E40" s="484">
        <f t="shared" ref="E40:E48" si="20">ROUND(B40/$B$44,2)</f>
        <v>1</v>
      </c>
      <c r="F40" s="484">
        <f t="shared" ref="F40:F48" si="21">ROUND(C40/$C$44,2)</f>
        <v>1</v>
      </c>
      <c r="G40" s="484">
        <f t="shared" ref="G40:G48" si="22">ROUND(D40/$D$44,2)</f>
        <v>1</v>
      </c>
      <c r="H40" s="485">
        <f t="shared" ref="H40:I48" si="23">C40-B40</f>
        <v>22595</v>
      </c>
      <c r="I40" s="485">
        <f t="shared" si="23"/>
        <v>23731.599999999977</v>
      </c>
    </row>
    <row r="41" spans="1:9" x14ac:dyDescent="0.2">
      <c r="A41" s="471" t="s">
        <v>384</v>
      </c>
      <c r="B41" s="483"/>
      <c r="C41" s="483"/>
      <c r="D41" s="483"/>
      <c r="E41" s="484">
        <f t="shared" si="20"/>
        <v>0</v>
      </c>
      <c r="F41" s="484">
        <f t="shared" si="21"/>
        <v>0</v>
      </c>
      <c r="G41" s="484">
        <f t="shared" si="22"/>
        <v>0</v>
      </c>
      <c r="H41" s="485">
        <f t="shared" si="23"/>
        <v>0</v>
      </c>
      <c r="I41" s="485">
        <f t="shared" si="23"/>
        <v>0</v>
      </c>
    </row>
    <row r="42" spans="1:9" x14ac:dyDescent="0.2">
      <c r="A42" s="471" t="s">
        <v>385</v>
      </c>
      <c r="B42" s="483"/>
      <c r="C42" s="483"/>
      <c r="D42" s="483"/>
      <c r="E42" s="484">
        <f t="shared" si="20"/>
        <v>0</v>
      </c>
      <c r="F42" s="484">
        <f t="shared" si="21"/>
        <v>0</v>
      </c>
      <c r="G42" s="484">
        <f t="shared" si="22"/>
        <v>0</v>
      </c>
      <c r="H42" s="485">
        <f t="shared" si="23"/>
        <v>0</v>
      </c>
      <c r="I42" s="485">
        <f t="shared" si="23"/>
        <v>0</v>
      </c>
    </row>
    <row r="43" spans="1:9" ht="13.5" thickBot="1" x14ac:dyDescent="0.25">
      <c r="A43" s="486" t="s">
        <v>386</v>
      </c>
      <c r="B43" s="487"/>
      <c r="C43" s="487"/>
      <c r="D43" s="487"/>
      <c r="E43" s="488">
        <f t="shared" si="20"/>
        <v>0</v>
      </c>
      <c r="F43" s="488">
        <f t="shared" si="21"/>
        <v>0</v>
      </c>
      <c r="G43" s="488">
        <f t="shared" si="22"/>
        <v>0</v>
      </c>
      <c r="H43" s="489">
        <f t="shared" si="23"/>
        <v>0</v>
      </c>
      <c r="I43" s="489">
        <f t="shared" si="23"/>
        <v>0</v>
      </c>
    </row>
    <row r="44" spans="1:9" ht="13.5" thickBot="1" x14ac:dyDescent="0.25">
      <c r="A44" s="469" t="s">
        <v>387</v>
      </c>
      <c r="B44" s="470">
        <f>SUM(B40:B43)</f>
        <v>244380</v>
      </c>
      <c r="C44" s="470">
        <f>SUM(C40:C43)</f>
        <v>266975</v>
      </c>
      <c r="D44" s="470">
        <f>SUM(D40:D43)</f>
        <v>290706.59999999998</v>
      </c>
      <c r="E44" s="490">
        <f t="shared" si="20"/>
        <v>1</v>
      </c>
      <c r="F44" s="490">
        <f t="shared" si="21"/>
        <v>1</v>
      </c>
      <c r="G44" s="490">
        <f t="shared" si="22"/>
        <v>1</v>
      </c>
      <c r="H44" s="491">
        <f t="shared" si="23"/>
        <v>22595</v>
      </c>
      <c r="I44" s="492">
        <f t="shared" si="23"/>
        <v>23731.599999999977</v>
      </c>
    </row>
    <row r="45" spans="1:9" x14ac:dyDescent="0.2">
      <c r="A45" s="493" t="s">
        <v>388</v>
      </c>
      <c r="B45" s="494">
        <f>+'DATI PROGETTO E FINANZIAMENTO'!C109</f>
        <v>72562</v>
      </c>
      <c r="C45" s="494">
        <f>+'DATI PROGETTO E FINANZIAMENTO'!D109</f>
        <v>79388</v>
      </c>
      <c r="D45" s="494">
        <f>+'DATI PROGETTO E FINANZIAMENTO'!E109</f>
        <v>86563</v>
      </c>
      <c r="E45" s="495">
        <f t="shared" si="20"/>
        <v>0.3</v>
      </c>
      <c r="F45" s="495">
        <f t="shared" si="21"/>
        <v>0.3</v>
      </c>
      <c r="G45" s="495">
        <f t="shared" si="22"/>
        <v>0.3</v>
      </c>
      <c r="H45" s="496">
        <f t="shared" si="23"/>
        <v>6826</v>
      </c>
      <c r="I45" s="496">
        <f t="shared" si="23"/>
        <v>7175</v>
      </c>
    </row>
    <row r="46" spans="1:9" x14ac:dyDescent="0.2">
      <c r="A46" s="471" t="s">
        <v>389</v>
      </c>
      <c r="B46" s="487">
        <f>+'DATI PROGETTO E FINANZIAMENTO'!C111+'DATI PROGETTO E FINANZIAMENTO'!C112</f>
        <v>33994</v>
      </c>
      <c r="C46" s="487">
        <f>+'DATI PROGETTO E FINANZIAMENTO'!D111+'DATI PROGETTO E FINANZIAMENTO'!D112</f>
        <v>36268</v>
      </c>
      <c r="D46" s="487">
        <f>+'DATI PROGETTO E FINANZIAMENTO'!E111+'DATI PROGETTO E FINANZIAMENTO'!E112</f>
        <v>38649</v>
      </c>
      <c r="E46" s="484">
        <f t="shared" si="20"/>
        <v>0.14000000000000001</v>
      </c>
      <c r="F46" s="484">
        <f t="shared" si="21"/>
        <v>0.14000000000000001</v>
      </c>
      <c r="G46" s="484">
        <f t="shared" si="22"/>
        <v>0.13</v>
      </c>
      <c r="H46" s="485">
        <f t="shared" si="23"/>
        <v>2274</v>
      </c>
      <c r="I46" s="485">
        <f t="shared" si="23"/>
        <v>2381</v>
      </c>
    </row>
    <row r="47" spans="1:9" x14ac:dyDescent="0.2">
      <c r="A47" s="471" t="s">
        <v>390</v>
      </c>
      <c r="B47" s="483">
        <v>0</v>
      </c>
      <c r="C47" s="483">
        <v>0</v>
      </c>
      <c r="D47" s="483">
        <v>0</v>
      </c>
      <c r="E47" s="484">
        <f t="shared" si="20"/>
        <v>0</v>
      </c>
      <c r="F47" s="484">
        <f t="shared" si="21"/>
        <v>0</v>
      </c>
      <c r="G47" s="484">
        <f t="shared" si="22"/>
        <v>0</v>
      </c>
      <c r="H47" s="485">
        <f t="shared" si="23"/>
        <v>0</v>
      </c>
      <c r="I47" s="485">
        <f t="shared" si="23"/>
        <v>0</v>
      </c>
    </row>
    <row r="48" spans="1:9" ht="13.5" thickBot="1" x14ac:dyDescent="0.25">
      <c r="A48" s="486" t="s">
        <v>391</v>
      </c>
      <c r="B48" s="487">
        <f>+'DATI PROGETTO E FINANZIAMENTO'!C114</f>
        <v>3666</v>
      </c>
      <c r="C48" s="487">
        <f>+'DATI PROGETTO E FINANZIAMENTO'!D114</f>
        <v>4005</v>
      </c>
      <c r="D48" s="487">
        <f>+'DATI PROGETTO E FINANZIAMENTO'!E114</f>
        <v>4361</v>
      </c>
      <c r="E48" s="488">
        <f t="shared" si="20"/>
        <v>0.02</v>
      </c>
      <c r="F48" s="488">
        <f t="shared" si="21"/>
        <v>0.02</v>
      </c>
      <c r="G48" s="488">
        <f t="shared" si="22"/>
        <v>0.02</v>
      </c>
      <c r="H48" s="489">
        <f t="shared" si="23"/>
        <v>339</v>
      </c>
      <c r="I48" s="489">
        <f t="shared" si="23"/>
        <v>356</v>
      </c>
    </row>
    <row r="49" spans="1:9" ht="13.5" thickBot="1" x14ac:dyDescent="0.25">
      <c r="A49" s="497" t="s">
        <v>392</v>
      </c>
      <c r="B49" s="498">
        <f t="shared" ref="B49:I49" si="24">SUM(B45:B48)</f>
        <v>110222</v>
      </c>
      <c r="C49" s="498">
        <f t="shared" si="24"/>
        <v>119661</v>
      </c>
      <c r="D49" s="498">
        <f t="shared" si="24"/>
        <v>129573</v>
      </c>
      <c r="E49" s="499">
        <f t="shared" si="24"/>
        <v>0.46</v>
      </c>
      <c r="F49" s="499">
        <f t="shared" si="24"/>
        <v>0.46</v>
      </c>
      <c r="G49" s="499">
        <f t="shared" si="24"/>
        <v>0.45</v>
      </c>
      <c r="H49" s="499">
        <f t="shared" si="24"/>
        <v>9439</v>
      </c>
      <c r="I49" s="499">
        <f t="shared" si="24"/>
        <v>9912</v>
      </c>
    </row>
    <row r="50" spans="1:9" ht="13.5" thickBot="1" x14ac:dyDescent="0.25">
      <c r="A50" s="500" t="s">
        <v>149</v>
      </c>
      <c r="B50" s="501">
        <f>B44-B49</f>
        <v>134158</v>
      </c>
      <c r="C50" s="501">
        <f>C44-C49</f>
        <v>147314</v>
      </c>
      <c r="D50" s="501">
        <f>D44-D49</f>
        <v>161133.59999999998</v>
      </c>
      <c r="E50" s="490">
        <f t="shared" ref="E50:E59" si="25">ROUND(B50/$B$44,2)</f>
        <v>0.55000000000000004</v>
      </c>
      <c r="F50" s="490">
        <f t="shared" ref="F50:F59" si="26">ROUND(C50/$C$44,2)</f>
        <v>0.55000000000000004</v>
      </c>
      <c r="G50" s="490">
        <f t="shared" ref="G50:G59" si="27">ROUND(D50/$D$44,2)</f>
        <v>0.55000000000000004</v>
      </c>
      <c r="H50" s="491">
        <f t="shared" ref="H50:I59" si="28">C50-B50</f>
        <v>13156</v>
      </c>
      <c r="I50" s="492">
        <f t="shared" si="28"/>
        <v>13819.599999999977</v>
      </c>
    </row>
    <row r="51" spans="1:9" ht="13.5" thickBot="1" x14ac:dyDescent="0.25">
      <c r="A51" s="502" t="s">
        <v>393</v>
      </c>
      <c r="B51" s="503">
        <f>+'DATI PROGETTO E FINANZIAMENTO'!C117</f>
        <v>106061.2</v>
      </c>
      <c r="C51" s="503">
        <f>+'DATI PROGETTO E FINANZIAMENTO'!D117</f>
        <v>106061.2</v>
      </c>
      <c r="D51" s="503">
        <f>+'DATI PROGETTO E FINANZIAMENTO'!E117</f>
        <v>127273.44</v>
      </c>
      <c r="E51" s="504">
        <f t="shared" si="25"/>
        <v>0.43</v>
      </c>
      <c r="F51" s="504">
        <f t="shared" si="26"/>
        <v>0.4</v>
      </c>
      <c r="G51" s="504">
        <f t="shared" si="27"/>
        <v>0.44</v>
      </c>
      <c r="H51" s="505">
        <f t="shared" si="28"/>
        <v>0</v>
      </c>
      <c r="I51" s="505">
        <f t="shared" si="28"/>
        <v>21212.240000000005</v>
      </c>
    </row>
    <row r="52" spans="1:9" ht="13.5" thickBot="1" x14ac:dyDescent="0.25">
      <c r="A52" s="469" t="s">
        <v>394</v>
      </c>
      <c r="B52" s="470">
        <f>B50-B51</f>
        <v>28096.800000000003</v>
      </c>
      <c r="C52" s="470">
        <f>C50-C51</f>
        <v>41252.800000000003</v>
      </c>
      <c r="D52" s="470">
        <f>D50-D51</f>
        <v>33860.159999999974</v>
      </c>
      <c r="E52" s="490">
        <f t="shared" si="25"/>
        <v>0.11</v>
      </c>
      <c r="F52" s="490">
        <f t="shared" si="26"/>
        <v>0.15</v>
      </c>
      <c r="G52" s="490">
        <f t="shared" si="27"/>
        <v>0.12</v>
      </c>
      <c r="H52" s="491">
        <f t="shared" si="28"/>
        <v>13156</v>
      </c>
      <c r="I52" s="492">
        <f t="shared" si="28"/>
        <v>-7392.6400000000285</v>
      </c>
    </row>
    <row r="53" spans="1:9" x14ac:dyDescent="0.2">
      <c r="A53" s="493" t="s">
        <v>395</v>
      </c>
      <c r="B53" s="494">
        <f>+'DATI PROGETTO E FINANZIAMENTO'!C120</f>
        <v>10000</v>
      </c>
      <c r="C53" s="494">
        <f>+'DATI PROGETTO E FINANZIAMENTO'!D120</f>
        <v>12000</v>
      </c>
      <c r="D53" s="494">
        <f>+'DATI PROGETTO E FINANZIAMENTO'!E120</f>
        <v>15000</v>
      </c>
      <c r="E53" s="495">
        <f t="shared" si="25"/>
        <v>0.04</v>
      </c>
      <c r="F53" s="495">
        <f t="shared" si="26"/>
        <v>0.04</v>
      </c>
      <c r="G53" s="495">
        <f t="shared" si="27"/>
        <v>0.05</v>
      </c>
      <c r="H53" s="496">
        <f t="shared" si="28"/>
        <v>2000</v>
      </c>
      <c r="I53" s="496">
        <f t="shared" si="28"/>
        <v>3000</v>
      </c>
    </row>
    <row r="54" spans="1:9" x14ac:dyDescent="0.2">
      <c r="A54" s="471" t="s">
        <v>396</v>
      </c>
      <c r="B54" s="483"/>
      <c r="C54" s="483"/>
      <c r="D54" s="506"/>
      <c r="E54" s="484">
        <f t="shared" si="25"/>
        <v>0</v>
      </c>
      <c r="F54" s="484">
        <f t="shared" si="26"/>
        <v>0</v>
      </c>
      <c r="G54" s="484">
        <f t="shared" si="27"/>
        <v>0</v>
      </c>
      <c r="H54" s="485">
        <f t="shared" si="28"/>
        <v>0</v>
      </c>
      <c r="I54" s="485">
        <f t="shared" si="28"/>
        <v>0</v>
      </c>
    </row>
    <row r="55" spans="1:9" ht="13.5" thickBot="1" x14ac:dyDescent="0.25">
      <c r="A55" s="486" t="s">
        <v>397</v>
      </c>
      <c r="B55" s="487"/>
      <c r="C55" s="487"/>
      <c r="D55" s="487"/>
      <c r="E55" s="488">
        <f t="shared" si="25"/>
        <v>0</v>
      </c>
      <c r="F55" s="488">
        <f t="shared" si="26"/>
        <v>0</v>
      </c>
      <c r="G55" s="488">
        <f t="shared" si="27"/>
        <v>0</v>
      </c>
      <c r="H55" s="489">
        <f t="shared" si="28"/>
        <v>0</v>
      </c>
      <c r="I55" s="489">
        <f t="shared" si="28"/>
        <v>0</v>
      </c>
    </row>
    <row r="56" spans="1:9" ht="13.5" thickBot="1" x14ac:dyDescent="0.25">
      <c r="A56" s="469" t="s">
        <v>398</v>
      </c>
      <c r="B56" s="470">
        <f>+B52-B53-B54-B55</f>
        <v>18096.800000000003</v>
      </c>
      <c r="C56" s="470">
        <f>+C52-C53-C54-C55</f>
        <v>29252.800000000003</v>
      </c>
      <c r="D56" s="470">
        <f>+D52-D53-D54-D55</f>
        <v>18860.159999999974</v>
      </c>
      <c r="E56" s="490">
        <f t="shared" si="25"/>
        <v>7.0000000000000007E-2</v>
      </c>
      <c r="F56" s="490">
        <f t="shared" si="26"/>
        <v>0.11</v>
      </c>
      <c r="G56" s="490">
        <f t="shared" si="27"/>
        <v>0.06</v>
      </c>
      <c r="H56" s="491">
        <f t="shared" si="28"/>
        <v>11156</v>
      </c>
      <c r="I56" s="492">
        <f t="shared" si="28"/>
        <v>-10392.640000000029</v>
      </c>
    </row>
    <row r="57" spans="1:9" x14ac:dyDescent="0.2">
      <c r="A57" s="493" t="s">
        <v>399</v>
      </c>
      <c r="B57" s="494">
        <v>0</v>
      </c>
      <c r="C57" s="494">
        <v>0</v>
      </c>
      <c r="D57" s="494">
        <v>0</v>
      </c>
      <c r="E57" s="495">
        <f t="shared" si="25"/>
        <v>0</v>
      </c>
      <c r="F57" s="495">
        <f t="shared" si="26"/>
        <v>0</v>
      </c>
      <c r="G57" s="495">
        <f t="shared" si="27"/>
        <v>0</v>
      </c>
      <c r="H57" s="496">
        <f t="shared" si="28"/>
        <v>0</v>
      </c>
      <c r="I57" s="496">
        <f t="shared" si="28"/>
        <v>0</v>
      </c>
    </row>
    <row r="58" spans="1:9" ht="13.5" thickBot="1" x14ac:dyDescent="0.25">
      <c r="A58" s="486" t="s">
        <v>400</v>
      </c>
      <c r="B58" s="503">
        <f>-'DATI PROGETTO E FINANZIAMENTO'!C125</f>
        <v>-3099.9999999999854</v>
      </c>
      <c r="C58" s="503">
        <f>-'DATI PROGETTO E FINANZIAMENTO'!D125</f>
        <v>-2853.5358176070731</v>
      </c>
      <c r="D58" s="503">
        <f>-'DATI PROGETTO E FINANZIAMENTO'!E125</f>
        <v>-2594.7484260945421</v>
      </c>
      <c r="E58" s="488">
        <f t="shared" si="25"/>
        <v>-0.01</v>
      </c>
      <c r="F58" s="488">
        <f t="shared" si="26"/>
        <v>-0.01</v>
      </c>
      <c r="G58" s="488">
        <f t="shared" si="27"/>
        <v>-0.01</v>
      </c>
      <c r="H58" s="489">
        <f t="shared" si="28"/>
        <v>246.46418239291233</v>
      </c>
      <c r="I58" s="489">
        <f t="shared" si="28"/>
        <v>258.78739151253103</v>
      </c>
    </row>
    <row r="59" spans="1:9" ht="13.5" thickBot="1" x14ac:dyDescent="0.25">
      <c r="A59" s="497" t="s">
        <v>401</v>
      </c>
      <c r="B59" s="498">
        <f>+B57+B58</f>
        <v>-3099.9999999999854</v>
      </c>
      <c r="C59" s="498">
        <f>+C57+C58</f>
        <v>-2853.5358176070731</v>
      </c>
      <c r="D59" s="498">
        <f>+D57+D58</f>
        <v>-2594.7484260945421</v>
      </c>
      <c r="E59" s="507">
        <f t="shared" si="25"/>
        <v>-0.01</v>
      </c>
      <c r="F59" s="508">
        <f t="shared" si="26"/>
        <v>-0.01</v>
      </c>
      <c r="G59" s="508">
        <f t="shared" si="27"/>
        <v>-0.01</v>
      </c>
      <c r="H59" s="509">
        <f t="shared" si="28"/>
        <v>246.46418239291233</v>
      </c>
      <c r="I59" s="510">
        <f t="shared" si="28"/>
        <v>258.78739151253103</v>
      </c>
    </row>
    <row r="60" spans="1:9" x14ac:dyDescent="0.2">
      <c r="A60" s="493" t="s">
        <v>402</v>
      </c>
      <c r="B60" s="494">
        <v>0</v>
      </c>
      <c r="C60" s="511">
        <v>0</v>
      </c>
      <c r="D60" s="511">
        <v>0</v>
      </c>
      <c r="E60" s="512"/>
      <c r="F60" s="513"/>
      <c r="G60" s="513"/>
      <c r="H60" s="505"/>
      <c r="I60" s="514"/>
    </row>
    <row r="61" spans="1:9" ht="13.5" thickBot="1" x14ac:dyDescent="0.25">
      <c r="A61" s="486" t="s">
        <v>403</v>
      </c>
      <c r="B61" s="494">
        <v>0</v>
      </c>
      <c r="C61" s="515">
        <v>0</v>
      </c>
      <c r="D61" s="515">
        <v>0</v>
      </c>
      <c r="E61" s="512"/>
      <c r="F61" s="513"/>
      <c r="G61" s="513"/>
      <c r="H61" s="505"/>
      <c r="I61" s="514"/>
    </row>
    <row r="62" spans="1:9" ht="13.5" thickBot="1" x14ac:dyDescent="0.25">
      <c r="A62" s="497" t="s">
        <v>404</v>
      </c>
      <c r="B62" s="516">
        <f t="shared" ref="B62:I62" si="29">+B60+B61</f>
        <v>0</v>
      </c>
      <c r="C62" s="516">
        <f t="shared" si="29"/>
        <v>0</v>
      </c>
      <c r="D62" s="516">
        <f t="shared" si="29"/>
        <v>0</v>
      </c>
      <c r="E62" s="517">
        <f t="shared" si="29"/>
        <v>0</v>
      </c>
      <c r="F62" s="517">
        <f t="shared" si="29"/>
        <v>0</v>
      </c>
      <c r="G62" s="517">
        <f t="shared" si="29"/>
        <v>0</v>
      </c>
      <c r="H62" s="517">
        <f t="shared" si="29"/>
        <v>0</v>
      </c>
      <c r="I62" s="517">
        <f t="shared" si="29"/>
        <v>0</v>
      </c>
    </row>
    <row r="63" spans="1:9" x14ac:dyDescent="0.2">
      <c r="A63" s="493" t="s">
        <v>405</v>
      </c>
      <c r="B63" s="518">
        <v>0</v>
      </c>
      <c r="C63" s="519">
        <v>0</v>
      </c>
      <c r="D63" s="520">
        <v>0</v>
      </c>
      <c r="E63" s="495">
        <f t="shared" ref="E63:E72" si="30">ROUND(B63/$B$44,2)</f>
        <v>0</v>
      </c>
      <c r="F63" s="495">
        <f t="shared" ref="F63:F72" si="31">ROUND(C63/$C$44,2)</f>
        <v>0</v>
      </c>
      <c r="G63" s="495">
        <f t="shared" ref="G63:G72" si="32">ROUND(D63/$D$44,2)</f>
        <v>0</v>
      </c>
      <c r="H63" s="496">
        <f t="shared" ref="H63:I72" si="33">C63-B63</f>
        <v>0</v>
      </c>
      <c r="I63" s="496">
        <f t="shared" si="33"/>
        <v>0</v>
      </c>
    </row>
    <row r="64" spans="1:9" ht="13.5" thickBot="1" x14ac:dyDescent="0.25">
      <c r="A64" s="486" t="s">
        <v>406</v>
      </c>
      <c r="B64" s="518"/>
      <c r="C64" s="521">
        <v>0</v>
      </c>
      <c r="D64" s="522">
        <v>0</v>
      </c>
      <c r="E64" s="488">
        <f t="shared" si="30"/>
        <v>0</v>
      </c>
      <c r="F64" s="488">
        <f t="shared" si="31"/>
        <v>0</v>
      </c>
      <c r="G64" s="488">
        <f t="shared" si="32"/>
        <v>0</v>
      </c>
      <c r="H64" s="489">
        <f t="shared" si="33"/>
        <v>0</v>
      </c>
      <c r="I64" s="489">
        <f t="shared" si="33"/>
        <v>0</v>
      </c>
    </row>
    <row r="65" spans="1:9" ht="13.5" thickBot="1" x14ac:dyDescent="0.25">
      <c r="A65" s="497" t="s">
        <v>407</v>
      </c>
      <c r="B65" s="498">
        <f>+B63+B64</f>
        <v>0</v>
      </c>
      <c r="C65" s="516">
        <f>+C63+C64</f>
        <v>0</v>
      </c>
      <c r="D65" s="523">
        <f>+D63+D64</f>
        <v>0</v>
      </c>
      <c r="E65" s="508">
        <f t="shared" si="30"/>
        <v>0</v>
      </c>
      <c r="F65" s="508">
        <f t="shared" si="31"/>
        <v>0</v>
      </c>
      <c r="G65" s="508">
        <f t="shared" si="32"/>
        <v>0</v>
      </c>
      <c r="H65" s="509">
        <f t="shared" si="33"/>
        <v>0</v>
      </c>
      <c r="I65" s="510">
        <f t="shared" si="33"/>
        <v>0</v>
      </c>
    </row>
    <row r="66" spans="1:9" ht="13.5" thickBot="1" x14ac:dyDescent="0.25">
      <c r="A66" s="469" t="s">
        <v>408</v>
      </c>
      <c r="B66" s="470">
        <f>+B56+B59+B62+B65</f>
        <v>14996.800000000017</v>
      </c>
      <c r="C66" s="470">
        <f>+C56+C59+C62+C65</f>
        <v>26399.26418239293</v>
      </c>
      <c r="D66" s="470">
        <f>+D56+D59+D62+D65</f>
        <v>16265.411573905432</v>
      </c>
      <c r="E66" s="490">
        <f t="shared" si="30"/>
        <v>0.06</v>
      </c>
      <c r="F66" s="490">
        <f t="shared" si="31"/>
        <v>0.1</v>
      </c>
      <c r="G66" s="490">
        <f t="shared" si="32"/>
        <v>0.06</v>
      </c>
      <c r="H66" s="491">
        <f t="shared" si="33"/>
        <v>11402.464182392912</v>
      </c>
      <c r="I66" s="492">
        <f t="shared" si="33"/>
        <v>-10133.852608487497</v>
      </c>
    </row>
    <row r="67" spans="1:9" x14ac:dyDescent="0.2">
      <c r="A67" s="493" t="s">
        <v>409</v>
      </c>
      <c r="B67" s="494">
        <v>0</v>
      </c>
      <c r="C67" s="494">
        <v>0</v>
      </c>
      <c r="D67" s="494">
        <v>0</v>
      </c>
      <c r="E67" s="495">
        <f t="shared" si="30"/>
        <v>0</v>
      </c>
      <c r="F67" s="495">
        <f t="shared" si="31"/>
        <v>0</v>
      </c>
      <c r="G67" s="495">
        <f t="shared" si="32"/>
        <v>0</v>
      </c>
      <c r="H67" s="496">
        <f t="shared" si="33"/>
        <v>0</v>
      </c>
      <c r="I67" s="496">
        <f t="shared" si="33"/>
        <v>0</v>
      </c>
    </row>
    <row r="68" spans="1:9" ht="13.5" thickBot="1" x14ac:dyDescent="0.25">
      <c r="A68" s="486" t="s">
        <v>410</v>
      </c>
      <c r="B68" s="487">
        <v>0</v>
      </c>
      <c r="C68" s="487">
        <v>0</v>
      </c>
      <c r="D68" s="487">
        <v>0</v>
      </c>
      <c r="E68" s="488">
        <f t="shared" si="30"/>
        <v>0</v>
      </c>
      <c r="F68" s="488">
        <f t="shared" si="31"/>
        <v>0</v>
      </c>
      <c r="G68" s="488">
        <f t="shared" si="32"/>
        <v>0</v>
      </c>
      <c r="H68" s="485">
        <f t="shared" si="33"/>
        <v>0</v>
      </c>
      <c r="I68" s="485">
        <f t="shared" si="33"/>
        <v>0</v>
      </c>
    </row>
    <row r="69" spans="1:9" ht="13.5" thickBot="1" x14ac:dyDescent="0.25">
      <c r="A69" s="524" t="s">
        <v>411</v>
      </c>
      <c r="B69" s="525">
        <f>+B67+B68</f>
        <v>0</v>
      </c>
      <c r="C69" s="525">
        <f>+C67+C68</f>
        <v>0</v>
      </c>
      <c r="D69" s="525">
        <f>+D67+D68</f>
        <v>0</v>
      </c>
      <c r="E69" s="526">
        <f t="shared" si="30"/>
        <v>0</v>
      </c>
      <c r="F69" s="526">
        <f t="shared" si="31"/>
        <v>0</v>
      </c>
      <c r="G69" s="526">
        <f t="shared" si="32"/>
        <v>0</v>
      </c>
      <c r="H69" s="489">
        <f t="shared" si="33"/>
        <v>0</v>
      </c>
      <c r="I69" s="489">
        <f t="shared" si="33"/>
        <v>0</v>
      </c>
    </row>
    <row r="70" spans="1:9" ht="13.5" thickBot="1" x14ac:dyDescent="0.25">
      <c r="A70" s="469" t="s">
        <v>412</v>
      </c>
      <c r="B70" s="470">
        <f>+B66+B69</f>
        <v>14996.800000000017</v>
      </c>
      <c r="C70" s="470">
        <f>+C66+C69</f>
        <v>26399.26418239293</v>
      </c>
      <c r="D70" s="470">
        <f>+D66+D69</f>
        <v>16265.411573905432</v>
      </c>
      <c r="E70" s="490">
        <f t="shared" si="30"/>
        <v>0.06</v>
      </c>
      <c r="F70" s="490">
        <f t="shared" si="31"/>
        <v>0.1</v>
      </c>
      <c r="G70" s="490">
        <f t="shared" si="32"/>
        <v>0.06</v>
      </c>
      <c r="H70" s="491">
        <f t="shared" si="33"/>
        <v>11402.464182392912</v>
      </c>
      <c r="I70" s="492">
        <f t="shared" si="33"/>
        <v>-10133.852608487497</v>
      </c>
    </row>
    <row r="71" spans="1:9" ht="13.5" thickBot="1" x14ac:dyDescent="0.25">
      <c r="A71" s="502" t="s">
        <v>413</v>
      </c>
      <c r="B71" s="503">
        <f>+'DATI PROGETTO E FINANZIAMENTO'!C129</f>
        <v>450</v>
      </c>
      <c r="C71" s="503">
        <f>+'DATI PROGETTO E FINANZIAMENTO'!D129</f>
        <v>792</v>
      </c>
      <c r="D71" s="503">
        <f>+'DATI PROGETTO E FINANZIAMENTO'!E129</f>
        <v>488</v>
      </c>
      <c r="E71" s="504">
        <f t="shared" si="30"/>
        <v>0</v>
      </c>
      <c r="F71" s="504">
        <f t="shared" si="31"/>
        <v>0</v>
      </c>
      <c r="G71" s="504">
        <f t="shared" si="32"/>
        <v>0</v>
      </c>
      <c r="H71" s="505">
        <f t="shared" si="33"/>
        <v>342</v>
      </c>
      <c r="I71" s="505">
        <f t="shared" si="33"/>
        <v>-304</v>
      </c>
    </row>
    <row r="72" spans="1:9" ht="13.5" thickBot="1" x14ac:dyDescent="0.25">
      <c r="A72" s="469" t="s">
        <v>414</v>
      </c>
      <c r="B72" s="470">
        <f>+B70-B71</f>
        <v>14546.800000000017</v>
      </c>
      <c r="C72" s="470">
        <f>+C70-C71</f>
        <v>25607.26418239293</v>
      </c>
      <c r="D72" s="470">
        <f>+D70-D71</f>
        <v>15777.411573905432</v>
      </c>
      <c r="E72" s="490">
        <f t="shared" si="30"/>
        <v>0.06</v>
      </c>
      <c r="F72" s="490">
        <f t="shared" si="31"/>
        <v>0.1</v>
      </c>
      <c r="G72" s="490">
        <f t="shared" si="32"/>
        <v>0.05</v>
      </c>
      <c r="H72" s="491">
        <f t="shared" si="33"/>
        <v>11060.464182392912</v>
      </c>
      <c r="I72" s="492">
        <f t="shared" si="33"/>
        <v>-9829.8526084874975</v>
      </c>
    </row>
    <row r="73" spans="1:9" x14ac:dyDescent="0.2">
      <c r="A73" s="196"/>
      <c r="B73" s="527"/>
      <c r="C73" s="527"/>
      <c r="D73" s="527"/>
      <c r="E73" s="191"/>
      <c r="F73" s="191"/>
      <c r="G73" s="192"/>
      <c r="H73" s="192"/>
      <c r="I73" s="192"/>
    </row>
    <row r="74" spans="1:9" x14ac:dyDescent="0.2">
      <c r="A74" s="193" t="s">
        <v>415</v>
      </c>
      <c r="B74" s="528">
        <v>0.22</v>
      </c>
      <c r="C74" s="528">
        <v>0.22</v>
      </c>
      <c r="D74" s="528">
        <v>0.22</v>
      </c>
      <c r="E74" s="191"/>
      <c r="F74" s="191"/>
      <c r="G74" s="192"/>
      <c r="H74" s="192"/>
      <c r="I74" s="192"/>
    </row>
    <row r="75" spans="1:9" x14ac:dyDescent="0.2">
      <c r="A75" s="193" t="s">
        <v>416</v>
      </c>
      <c r="B75" s="528">
        <v>0.22</v>
      </c>
      <c r="C75" s="528">
        <v>0.22</v>
      </c>
      <c r="D75" s="528">
        <v>0.22</v>
      </c>
      <c r="E75" s="191"/>
      <c r="F75" s="191"/>
      <c r="G75" s="192"/>
      <c r="H75" s="192"/>
      <c r="I75" s="192"/>
    </row>
    <row r="76" spans="1:9" x14ac:dyDescent="0.2">
      <c r="A76" s="529"/>
      <c r="B76" s="530" t="s">
        <v>417</v>
      </c>
      <c r="C76" s="531"/>
      <c r="D76" s="532"/>
      <c r="E76" s="191"/>
      <c r="F76" s="191"/>
      <c r="G76" s="192"/>
      <c r="H76" s="192"/>
      <c r="I76" s="192"/>
    </row>
    <row r="77" spans="1:9" x14ac:dyDescent="0.2">
      <c r="A77" s="471"/>
      <c r="B77" s="479" t="str">
        <f>+B38</f>
        <v>n</v>
      </c>
      <c r="C77" s="479" t="str">
        <f>+C38</f>
        <v>n+1</v>
      </c>
      <c r="D77" s="479" t="str">
        <f>+D38</f>
        <v>n+2</v>
      </c>
      <c r="E77" s="191"/>
      <c r="F77" s="191"/>
      <c r="G77" s="192"/>
      <c r="H77" s="192"/>
      <c r="I77" s="192"/>
    </row>
    <row r="78" spans="1:9" x14ac:dyDescent="0.2">
      <c r="A78" s="437" t="s">
        <v>418</v>
      </c>
      <c r="B78" s="471"/>
      <c r="C78" s="471"/>
      <c r="D78" s="471"/>
      <c r="E78" s="191"/>
      <c r="F78" s="191"/>
      <c r="G78" s="192"/>
      <c r="H78" s="192"/>
      <c r="I78" s="192"/>
    </row>
    <row r="79" spans="1:9" x14ac:dyDescent="0.2">
      <c r="A79" s="471" t="s">
        <v>419</v>
      </c>
      <c r="B79" s="589">
        <f>+B27+B25</f>
        <v>38819.586849315063</v>
      </c>
      <c r="C79" s="589">
        <f t="shared" ref="C79:D79" si="34">+C27+C25</f>
        <v>44091.573150684933</v>
      </c>
      <c r="D79" s="589">
        <f t="shared" si="34"/>
        <v>50071.009315068484</v>
      </c>
      <c r="E79" s="191"/>
      <c r="F79" s="191"/>
      <c r="G79" s="192"/>
      <c r="H79" s="192"/>
      <c r="I79" s="192"/>
    </row>
    <row r="80" spans="1:9" x14ac:dyDescent="0.2">
      <c r="A80" s="471" t="s">
        <v>420</v>
      </c>
      <c r="B80" s="588">
        <f>+'DATI PROGETTO E FINANZIAMENTO'!C143</f>
        <v>3.5</v>
      </c>
      <c r="C80" s="588">
        <f>+'DATI PROGETTO E FINANZIAMENTO'!D143</f>
        <v>3.5</v>
      </c>
      <c r="D80" s="588">
        <f>+'DATI PROGETTO E FINANZIAMENTO'!E143</f>
        <v>4</v>
      </c>
      <c r="E80" s="191"/>
      <c r="F80" s="191"/>
      <c r="G80" s="192"/>
      <c r="H80" s="192"/>
      <c r="I80" s="192"/>
    </row>
    <row r="81" spans="1:9" x14ac:dyDescent="0.2">
      <c r="A81" s="471" t="s">
        <v>481</v>
      </c>
      <c r="B81" s="588">
        <v>45</v>
      </c>
      <c r="C81" s="588">
        <v>45</v>
      </c>
      <c r="D81" s="588">
        <v>40</v>
      </c>
      <c r="E81" s="191"/>
      <c r="F81" s="191"/>
      <c r="G81" s="192"/>
      <c r="H81" s="192"/>
      <c r="I81" s="192"/>
    </row>
    <row r="82" spans="1:9" x14ac:dyDescent="0.2">
      <c r="A82" s="471" t="s">
        <v>421</v>
      </c>
      <c r="B82" s="587">
        <f>(B81*B85)/365</f>
        <v>36757.430136986295</v>
      </c>
      <c r="C82" s="587">
        <f t="shared" ref="C82:D82" si="35">(C81*C85)/365</f>
        <v>40155.965753424658</v>
      </c>
      <c r="D82" s="587">
        <f t="shared" si="35"/>
        <v>38867.074191780819</v>
      </c>
      <c r="E82" s="191"/>
      <c r="F82" s="191"/>
      <c r="G82" s="192"/>
      <c r="H82" s="192"/>
      <c r="I82" s="192"/>
    </row>
    <row r="83" spans="1:9" x14ac:dyDescent="0.2">
      <c r="A83" s="471" t="s">
        <v>482</v>
      </c>
      <c r="B83" s="533">
        <v>60</v>
      </c>
      <c r="C83" s="533">
        <v>60</v>
      </c>
      <c r="D83" s="533">
        <v>60</v>
      </c>
      <c r="E83" s="191"/>
      <c r="F83" s="191"/>
      <c r="G83" s="192"/>
      <c r="H83" s="192"/>
      <c r="I83" s="192"/>
    </row>
    <row r="84" spans="1:9" x14ac:dyDescent="0.2">
      <c r="A84" s="471" t="s">
        <v>422</v>
      </c>
      <c r="B84" s="587">
        <f>(B83*B86)/365</f>
        <v>21369.586849315067</v>
      </c>
      <c r="C84" s="587">
        <f t="shared" ref="C84:D84" si="36">(C83*C86)/365</f>
        <v>23194.573150684933</v>
      </c>
      <c r="D84" s="587">
        <f t="shared" si="36"/>
        <v>25111.009315068488</v>
      </c>
      <c r="E84" s="191"/>
      <c r="F84" s="191"/>
      <c r="G84" s="192"/>
      <c r="H84" s="192"/>
      <c r="I84" s="192"/>
    </row>
    <row r="85" spans="1:9" x14ac:dyDescent="0.2">
      <c r="A85" s="534" t="s">
        <v>423</v>
      </c>
      <c r="B85" s="586">
        <f>+B40*(1+B74)</f>
        <v>298143.59999999998</v>
      </c>
      <c r="C85" s="586">
        <f t="shared" ref="C85:D85" si="37">+C40*(1+C74)</f>
        <v>325709.5</v>
      </c>
      <c r="D85" s="586">
        <f t="shared" si="37"/>
        <v>354662.05199999997</v>
      </c>
      <c r="E85" s="191"/>
      <c r="F85" s="191"/>
      <c r="G85" s="192"/>
      <c r="H85" s="192"/>
      <c r="I85" s="192"/>
    </row>
    <row r="86" spans="1:9" x14ac:dyDescent="0.2">
      <c r="A86" s="534" t="s">
        <v>424</v>
      </c>
      <c r="B86" s="586">
        <f>(B45+B46)*(1+B75)</f>
        <v>129998.31999999999</v>
      </c>
      <c r="C86" s="586">
        <f t="shared" ref="C86:D86" si="38">(C45+C46)*(1+C75)</f>
        <v>141100.32</v>
      </c>
      <c r="D86" s="586">
        <f t="shared" si="38"/>
        <v>152758.63999999998</v>
      </c>
      <c r="E86" s="191"/>
      <c r="F86" s="191"/>
      <c r="G86" s="192"/>
      <c r="H86" s="192"/>
      <c r="I86" s="192"/>
    </row>
    <row r="87" spans="1:9" x14ac:dyDescent="0.2">
      <c r="A87" s="535" t="s">
        <v>425</v>
      </c>
      <c r="B87" s="589">
        <f>+[1]SP!C74</f>
        <v>0</v>
      </c>
      <c r="C87" s="589">
        <f>+[1]SP!D74</f>
        <v>0</v>
      </c>
      <c r="D87" s="589">
        <f>+[1]SP!E74</f>
        <v>0</v>
      </c>
      <c r="E87" s="191"/>
      <c r="F87" s="191"/>
      <c r="G87" s="192"/>
      <c r="H87" s="192"/>
      <c r="I87" s="192"/>
    </row>
    <row r="88" spans="1:9" x14ac:dyDescent="0.2">
      <c r="A88" s="535" t="s">
        <v>426</v>
      </c>
      <c r="B88" s="589">
        <v>0</v>
      </c>
      <c r="C88" s="589">
        <v>0</v>
      </c>
      <c r="D88" s="589">
        <v>0</v>
      </c>
      <c r="E88" s="191"/>
      <c r="F88" s="191"/>
      <c r="G88" s="192"/>
      <c r="H88" s="192"/>
      <c r="I88" s="192"/>
    </row>
    <row r="89" spans="1:9" x14ac:dyDescent="0.2">
      <c r="A89" s="534" t="s">
        <v>427</v>
      </c>
      <c r="B89" s="587">
        <f>+'piano ammo MUTUO'!D15</f>
        <v>57070.716352141673</v>
      </c>
      <c r="C89" s="587">
        <f>+'piano ammo MUTUO'!D16</f>
        <v>51894.968521890434</v>
      </c>
      <c r="D89" s="587">
        <f>+'piano ammo MUTUO'!D17</f>
        <v>46460.433300126664</v>
      </c>
      <c r="E89" s="191"/>
      <c r="F89" s="191"/>
      <c r="G89" s="192"/>
      <c r="H89" s="192"/>
      <c r="I89" s="192"/>
    </row>
    <row r="90" spans="1:9" ht="23.25" customHeight="1" x14ac:dyDescent="0.2">
      <c r="A90" s="536" t="s">
        <v>428</v>
      </c>
      <c r="B90" s="589">
        <f>+B88+B89</f>
        <v>57070.716352141673</v>
      </c>
      <c r="C90" s="589">
        <f>+C88+C89</f>
        <v>51894.968521890434</v>
      </c>
      <c r="D90" s="589">
        <f>+D88+D89</f>
        <v>46460.433300126664</v>
      </c>
      <c r="E90" s="191"/>
      <c r="F90" s="191"/>
      <c r="G90" s="192"/>
      <c r="H90" s="192"/>
      <c r="I90" s="192"/>
    </row>
    <row r="91" spans="1:9" x14ac:dyDescent="0.2">
      <c r="A91" s="437" t="s">
        <v>347</v>
      </c>
      <c r="B91" s="537" t="s">
        <v>417</v>
      </c>
      <c r="C91" s="538"/>
      <c r="D91" s="539"/>
      <c r="E91" s="191"/>
      <c r="F91" s="191"/>
      <c r="G91" s="192"/>
      <c r="H91" s="192"/>
      <c r="I91" s="192"/>
    </row>
    <row r="92" spans="1:9" x14ac:dyDescent="0.2">
      <c r="A92" s="486"/>
      <c r="B92" s="479" t="str">
        <f>+B77</f>
        <v>n</v>
      </c>
      <c r="C92" s="479" t="str">
        <f>+C77</f>
        <v>n+1</v>
      </c>
      <c r="D92" s="479" t="str">
        <f>+D77</f>
        <v>n+2</v>
      </c>
      <c r="E92" s="191"/>
      <c r="F92" s="191"/>
      <c r="G92" s="192"/>
      <c r="H92" s="192"/>
      <c r="I92" s="192"/>
    </row>
    <row r="93" spans="1:9" x14ac:dyDescent="0.2">
      <c r="A93" s="540" t="s">
        <v>429</v>
      </c>
      <c r="B93" s="191"/>
      <c r="C93" s="191"/>
      <c r="D93" s="191"/>
      <c r="E93" s="191"/>
      <c r="F93" s="191"/>
      <c r="G93" s="192"/>
      <c r="H93" s="192"/>
      <c r="I93" s="192"/>
    </row>
    <row r="94" spans="1:9" x14ac:dyDescent="0.2">
      <c r="A94" s="541" t="s">
        <v>430</v>
      </c>
      <c r="B94" s="191"/>
      <c r="C94" s="191"/>
      <c r="D94" s="191"/>
      <c r="E94" s="191"/>
      <c r="F94" s="191"/>
      <c r="G94" s="192"/>
      <c r="H94" s="192"/>
      <c r="I94" s="192"/>
    </row>
    <row r="95" spans="1:9" x14ac:dyDescent="0.2">
      <c r="A95" s="542" t="s">
        <v>431</v>
      </c>
      <c r="B95" s="543">
        <f>ROUND(B4/B15,4)</f>
        <v>0.52810000000000001</v>
      </c>
      <c r="C95" s="543">
        <f>ROUND(C4/C15,2)</f>
        <v>0.45</v>
      </c>
      <c r="D95" s="544">
        <f>ROUND(D4/D15,2)</f>
        <v>0.44</v>
      </c>
      <c r="E95" s="192"/>
      <c r="F95" s="191"/>
      <c r="G95" s="192"/>
      <c r="H95" s="192"/>
      <c r="I95" s="192"/>
    </row>
    <row r="96" spans="1:9" x14ac:dyDescent="0.2">
      <c r="A96" s="545" t="s">
        <v>432</v>
      </c>
      <c r="B96" s="452">
        <f>ROUND(B10/B15,4)</f>
        <v>0.47189999999999999</v>
      </c>
      <c r="C96" s="452">
        <f>ROUND(C10/C15,2)</f>
        <v>0.55000000000000004</v>
      </c>
      <c r="D96" s="471">
        <f>ROUND(D10/D15,2)</f>
        <v>0.56000000000000005</v>
      </c>
      <c r="E96" s="192"/>
      <c r="F96" s="191"/>
      <c r="G96" s="192"/>
      <c r="H96" s="192"/>
      <c r="I96" s="192"/>
    </row>
    <row r="97" spans="1:9" x14ac:dyDescent="0.2">
      <c r="A97" s="191"/>
      <c r="B97" s="546"/>
      <c r="C97" s="191"/>
      <c r="D97" s="191"/>
      <c r="E97" s="191"/>
      <c r="F97" s="191"/>
      <c r="G97" s="192"/>
      <c r="H97" s="192"/>
      <c r="I97" s="192"/>
    </row>
    <row r="98" spans="1:9" x14ac:dyDescent="0.2">
      <c r="A98" s="541" t="s">
        <v>433</v>
      </c>
      <c r="B98" s="547" t="str">
        <f>+B92</f>
        <v>n</v>
      </c>
      <c r="C98" s="547" t="str">
        <f>+C92</f>
        <v>n+1</v>
      </c>
      <c r="D98" s="547" t="str">
        <f>+D92</f>
        <v>n+2</v>
      </c>
      <c r="E98" s="191"/>
      <c r="F98" s="191"/>
      <c r="G98" s="192"/>
      <c r="H98" s="192"/>
      <c r="I98" s="192"/>
    </row>
    <row r="99" spans="1:9" x14ac:dyDescent="0.2">
      <c r="A99" s="548" t="s">
        <v>434</v>
      </c>
      <c r="B99" s="543">
        <f>ROUND(B18/B15,4)</f>
        <v>0.43740000000000001</v>
      </c>
      <c r="C99" s="543">
        <f>ROUND(C18/C15,4)</f>
        <v>0.51060000000000005</v>
      </c>
      <c r="D99" s="543">
        <f>ROUND(D18/D15,4)</f>
        <v>0.54569999999999996</v>
      </c>
      <c r="E99" s="549"/>
      <c r="F99" s="191"/>
      <c r="G99" s="192"/>
      <c r="H99" s="192"/>
      <c r="I99" s="192"/>
    </row>
    <row r="100" spans="1:9" x14ac:dyDescent="0.2">
      <c r="A100" s="471" t="s">
        <v>435</v>
      </c>
      <c r="B100" s="550">
        <f>ROUND(B18/B23,4)</f>
        <v>0.77739999999999998</v>
      </c>
      <c r="C100" s="471">
        <f>ROUND(C18/C23,4)</f>
        <v>1.0434000000000001</v>
      </c>
      <c r="D100" s="471">
        <f>ROUND(D18/D23,4)</f>
        <v>1.2010000000000001</v>
      </c>
      <c r="E100" s="192"/>
      <c r="F100" s="191"/>
      <c r="G100" s="192"/>
      <c r="H100" s="192"/>
      <c r="I100" s="192"/>
    </row>
    <row r="101" spans="1:9" x14ac:dyDescent="0.2">
      <c r="A101" s="471" t="s">
        <v>436</v>
      </c>
      <c r="B101" s="452">
        <f>ROUND(B23/B15,4)</f>
        <v>0.56259999999999999</v>
      </c>
      <c r="C101" s="452">
        <f>ROUND(C23/C15,4)</f>
        <v>0.4894</v>
      </c>
      <c r="D101" s="452">
        <f>ROUND(D23/D15,4)</f>
        <v>0.45429999999999998</v>
      </c>
      <c r="E101" s="191"/>
      <c r="F101" s="191"/>
      <c r="G101" s="192"/>
      <c r="H101" s="192"/>
      <c r="I101" s="192"/>
    </row>
    <row r="102" spans="1:9" x14ac:dyDescent="0.2">
      <c r="A102" s="191"/>
      <c r="B102" s="191"/>
      <c r="C102" s="191"/>
      <c r="D102" s="191"/>
      <c r="E102" s="191"/>
      <c r="F102" s="191"/>
      <c r="G102" s="192"/>
      <c r="H102" s="192"/>
      <c r="I102" s="192"/>
    </row>
    <row r="103" spans="1:9" x14ac:dyDescent="0.2">
      <c r="A103" s="551" t="s">
        <v>437</v>
      </c>
      <c r="B103" s="436" t="str">
        <f>+B98</f>
        <v>n</v>
      </c>
      <c r="C103" s="436" t="str">
        <f>+C98</f>
        <v>n+1</v>
      </c>
      <c r="D103" s="436" t="str">
        <f>+D98</f>
        <v>n+2</v>
      </c>
      <c r="E103" s="191"/>
      <c r="F103" s="191"/>
      <c r="G103" s="192"/>
      <c r="H103" s="192"/>
      <c r="I103" s="192"/>
    </row>
    <row r="104" spans="1:9" x14ac:dyDescent="0.2">
      <c r="A104" s="486" t="s">
        <v>438</v>
      </c>
      <c r="B104" s="486">
        <f>ROUND(B15/B18,4)</f>
        <v>2.2863000000000002</v>
      </c>
      <c r="C104" s="471">
        <f>ROUND(C15/C18,4)</f>
        <v>1.9583999999999999</v>
      </c>
      <c r="D104" s="471">
        <f>ROUND(D15/D18,4)</f>
        <v>1.8327</v>
      </c>
      <c r="E104" s="191"/>
      <c r="F104" s="191"/>
      <c r="G104" s="192"/>
      <c r="H104" s="192"/>
      <c r="I104" s="192"/>
    </row>
    <row r="105" spans="1:9" x14ac:dyDescent="0.2">
      <c r="A105" s="471" t="s">
        <v>439</v>
      </c>
      <c r="B105" s="552">
        <f>+(B24+B25)/B18</f>
        <v>1.0522289783257863</v>
      </c>
      <c r="C105" s="552">
        <f t="shared" ref="C105:D105" si="39">+(C24+C25)/C18</f>
        <v>0.74974033540793739</v>
      </c>
      <c r="D105" s="552">
        <f t="shared" si="39"/>
        <v>0.61735988564181443</v>
      </c>
      <c r="E105" s="191"/>
      <c r="F105" s="191"/>
      <c r="G105" s="192"/>
      <c r="H105" s="192"/>
      <c r="I105" s="192"/>
    </row>
    <row r="106" spans="1:9" x14ac:dyDescent="0.2">
      <c r="A106" s="471" t="s">
        <v>440</v>
      </c>
      <c r="B106" s="553">
        <f>(B18+B24)/B15</f>
        <v>0.7722371696652679</v>
      </c>
      <c r="C106" s="553">
        <f t="shared" ref="C106:D106" si="40">(C18+C24)/C15</f>
        <v>0.77520504780053612</v>
      </c>
      <c r="D106" s="553">
        <f t="shared" si="40"/>
        <v>0.76433078911476271</v>
      </c>
      <c r="E106" s="191"/>
      <c r="F106" s="191"/>
      <c r="G106" s="192"/>
      <c r="H106" s="192"/>
      <c r="I106" s="192"/>
    </row>
    <row r="107" spans="1:9" x14ac:dyDescent="0.2">
      <c r="A107" s="191"/>
      <c r="B107" s="191"/>
      <c r="C107" s="191"/>
      <c r="D107" s="191"/>
      <c r="E107" s="191"/>
      <c r="F107" s="191"/>
      <c r="G107" s="192"/>
      <c r="H107" s="192"/>
      <c r="I107" s="192"/>
    </row>
    <row r="108" spans="1:9" x14ac:dyDescent="0.2">
      <c r="A108" s="191"/>
      <c r="B108" s="191"/>
      <c r="C108" s="191"/>
      <c r="D108" s="191"/>
      <c r="E108" s="191"/>
      <c r="F108" s="191"/>
      <c r="G108" s="192"/>
      <c r="H108" s="192"/>
      <c r="I108" s="192"/>
    </row>
    <row r="109" spans="1:9" ht="13.5" thickBot="1" x14ac:dyDescent="0.25">
      <c r="A109" s="191"/>
      <c r="B109" s="191"/>
      <c r="C109" s="191"/>
      <c r="D109" s="191"/>
      <c r="E109" s="191"/>
      <c r="F109" s="191"/>
      <c r="G109" s="192"/>
      <c r="H109" s="192"/>
      <c r="I109" s="192"/>
    </row>
    <row r="110" spans="1:9" ht="13.5" thickBot="1" x14ac:dyDescent="0.25">
      <c r="A110" s="554" t="s">
        <v>441</v>
      </c>
      <c r="B110" s="555" t="str">
        <f>+B98</f>
        <v>n</v>
      </c>
      <c r="C110" s="555" t="str">
        <f>+C98</f>
        <v>n+1</v>
      </c>
      <c r="D110" s="555" t="str">
        <f>+D98</f>
        <v>n+2</v>
      </c>
      <c r="E110" s="191"/>
      <c r="F110" s="191"/>
      <c r="G110" s="192"/>
      <c r="H110" s="192"/>
      <c r="I110" s="192"/>
    </row>
    <row r="111" spans="1:9" x14ac:dyDescent="0.2">
      <c r="A111" s="493" t="s">
        <v>442</v>
      </c>
      <c r="B111" s="485">
        <f>B18-B4</f>
        <v>-15453.199999999983</v>
      </c>
      <c r="C111" s="485">
        <f>C18-C4</f>
        <v>12154.064182392947</v>
      </c>
      <c r="D111" s="485">
        <f>D18-D4</f>
        <v>22931.475756298372</v>
      </c>
      <c r="E111" s="191"/>
      <c r="F111" s="191"/>
      <c r="G111" s="192"/>
      <c r="H111" s="192"/>
      <c r="I111" s="192"/>
    </row>
    <row r="112" spans="1:9" x14ac:dyDescent="0.2">
      <c r="A112" s="471" t="s">
        <v>443</v>
      </c>
      <c r="B112" s="485">
        <f>(B18+B24)-B4</f>
        <v>41617.516352141683</v>
      </c>
      <c r="C112" s="485">
        <f>(C18+C24)-C4</f>
        <v>64049.032704283367</v>
      </c>
      <c r="D112" s="485">
        <f>(D18+D24)-D4</f>
        <v>69391.909056425036</v>
      </c>
      <c r="E112" s="191"/>
      <c r="F112" s="191"/>
      <c r="G112" s="192"/>
      <c r="H112" s="192"/>
      <c r="I112" s="192"/>
    </row>
    <row r="113" spans="1:9" x14ac:dyDescent="0.2">
      <c r="A113" s="471" t="s">
        <v>444</v>
      </c>
      <c r="B113" s="471">
        <f>ROUND(B18/B4,4)</f>
        <v>0.82830000000000004</v>
      </c>
      <c r="C113" s="471">
        <f>ROUND(C18/C4,4)</f>
        <v>1.1380999999999999</v>
      </c>
      <c r="D113" s="471">
        <f>ROUND(D18/D4,4)</f>
        <v>1.2465999999999999</v>
      </c>
      <c r="E113" s="191"/>
      <c r="F113" s="191"/>
      <c r="G113" s="192"/>
      <c r="H113" s="192"/>
      <c r="I113" s="192"/>
    </row>
    <row r="114" spans="1:9" x14ac:dyDescent="0.2">
      <c r="A114" s="471" t="s">
        <v>445</v>
      </c>
      <c r="B114" s="556">
        <f>ROUND((B18+B24)/B4,4)</f>
        <v>1.4623999999999999</v>
      </c>
      <c r="C114" s="556">
        <f>ROUND((C18+C24)/C4,4)</f>
        <v>1.7278</v>
      </c>
      <c r="D114" s="550">
        <f>ROUND((D18+D24)/D4,4)</f>
        <v>1.7461</v>
      </c>
      <c r="E114" s="191"/>
      <c r="F114" s="191"/>
      <c r="G114" s="192"/>
      <c r="H114" s="192"/>
      <c r="I114" s="192"/>
    </row>
    <row r="115" spans="1:9" ht="13.5" thickBot="1" x14ac:dyDescent="0.25">
      <c r="A115" s="191"/>
      <c r="B115" s="564"/>
      <c r="C115" s="564"/>
      <c r="D115" s="564"/>
      <c r="E115" s="191"/>
      <c r="F115" s="191"/>
      <c r="G115" s="192"/>
      <c r="H115" s="192"/>
      <c r="I115" s="192"/>
    </row>
    <row r="116" spans="1:9" ht="13.5" thickBot="1" x14ac:dyDescent="0.25">
      <c r="A116" s="554" t="s">
        <v>446</v>
      </c>
      <c r="B116" s="555" t="str">
        <f>+B110</f>
        <v>n</v>
      </c>
      <c r="C116" s="555" t="str">
        <f>+C110</f>
        <v>n+1</v>
      </c>
      <c r="D116" s="555" t="str">
        <f>+D110</f>
        <v>n+2</v>
      </c>
      <c r="E116" s="191"/>
      <c r="F116" s="191"/>
      <c r="G116" s="192"/>
      <c r="H116" s="192"/>
      <c r="I116" s="192"/>
    </row>
    <row r="117" spans="1:9" x14ac:dyDescent="0.2">
      <c r="A117" s="493" t="s">
        <v>447</v>
      </c>
      <c r="B117" s="485">
        <f>B10-B25-B26-B27</f>
        <v>41617.063343516638</v>
      </c>
      <c r="C117" s="485">
        <f t="shared" ref="C117:D117" si="41">C10-C25-C26-C27</f>
        <v>64048.832714430493</v>
      </c>
      <c r="D117" s="485">
        <f t="shared" si="41"/>
        <v>69391.855414618884</v>
      </c>
      <c r="E117" s="192"/>
      <c r="F117" s="191"/>
      <c r="G117" s="192"/>
      <c r="H117" s="192"/>
      <c r="I117" s="192"/>
    </row>
    <row r="118" spans="1:9" x14ac:dyDescent="0.2">
      <c r="A118" s="471" t="s">
        <v>448</v>
      </c>
      <c r="B118" s="471">
        <f>ROUND(B10/(B25+B26+B27),2)</f>
        <v>2.0699999999999998</v>
      </c>
      <c r="C118" s="471">
        <f t="shared" ref="C118:D118" si="42">ROUND(C10/(C25+C26+C27),2)</f>
        <v>2.4500000000000002</v>
      </c>
      <c r="D118" s="471">
        <f t="shared" si="42"/>
        <v>2.39</v>
      </c>
      <c r="E118" s="191"/>
      <c r="F118" s="191"/>
      <c r="G118" s="192"/>
      <c r="H118" s="192"/>
      <c r="I118" s="192"/>
    </row>
    <row r="119" spans="1:9" x14ac:dyDescent="0.2">
      <c r="A119" s="471" t="s">
        <v>449</v>
      </c>
      <c r="B119" s="485">
        <f>(B13+B12)-(B25+B26+B27)</f>
        <v>41617.063343516638</v>
      </c>
      <c r="C119" s="485">
        <f t="shared" ref="C119:D119" si="43">(C13+C12)-(C25+C26+C27)</f>
        <v>64048.8327144305</v>
      </c>
      <c r="D119" s="485">
        <f t="shared" si="43"/>
        <v>69391.855414618884</v>
      </c>
      <c r="E119" s="191"/>
      <c r="F119" s="191"/>
      <c r="G119" s="192"/>
      <c r="H119" s="192"/>
      <c r="I119" s="192"/>
    </row>
    <row r="120" spans="1:9" x14ac:dyDescent="0.2">
      <c r="A120" s="471" t="s">
        <v>450</v>
      </c>
      <c r="B120" s="471">
        <f>ROUND((B13+B12)/(B25+B26+B27),2)</f>
        <v>2.0699999999999998</v>
      </c>
      <c r="C120" s="471">
        <f t="shared" ref="C120:D120" si="44">ROUND((C13+C12)/(C25+C26+C27),2)</f>
        <v>2.4500000000000002</v>
      </c>
      <c r="D120" s="471">
        <f t="shared" si="44"/>
        <v>2.39</v>
      </c>
      <c r="E120" s="191"/>
      <c r="F120" s="191"/>
      <c r="G120" s="192"/>
      <c r="H120" s="192"/>
      <c r="I120" s="192"/>
    </row>
    <row r="121" spans="1:9" x14ac:dyDescent="0.2">
      <c r="A121" s="471" t="s">
        <v>451</v>
      </c>
      <c r="B121" s="471">
        <f>ROUND(B13/B79,2)</f>
        <v>0.52</v>
      </c>
      <c r="C121" s="471">
        <f>ROUND(C13/C79,2)</f>
        <v>0.92</v>
      </c>
      <c r="D121" s="471">
        <f>ROUND(D13/D79,2)</f>
        <v>0.96</v>
      </c>
      <c r="E121" s="191"/>
      <c r="F121" s="191"/>
      <c r="G121" s="192"/>
      <c r="H121" s="192"/>
      <c r="I121" s="192"/>
    </row>
    <row r="122" spans="1:9" x14ac:dyDescent="0.2">
      <c r="A122" s="471" t="s">
        <v>452</v>
      </c>
      <c r="B122" s="486">
        <f>ROUND((B13+B12)/B79,2)</f>
        <v>2.0699999999999998</v>
      </c>
      <c r="C122" s="486">
        <f t="shared" ref="C122:D122" si="45">ROUND((C13+C12)/C79,2)</f>
        <v>2.4500000000000002</v>
      </c>
      <c r="D122" s="486">
        <f t="shared" si="45"/>
        <v>2.39</v>
      </c>
      <c r="E122" s="191"/>
      <c r="F122" s="191"/>
      <c r="G122" s="192"/>
      <c r="H122" s="192"/>
      <c r="I122" s="192"/>
    </row>
    <row r="123" spans="1:9" ht="22.5" x14ac:dyDescent="0.2">
      <c r="A123" s="557" t="s">
        <v>453</v>
      </c>
      <c r="B123" s="485">
        <f>(B13+B87)-(B88+B89)</f>
        <v>-36963.096296296259</v>
      </c>
      <c r="C123" s="485">
        <f t="shared" ref="C123:D123" si="46">(C13+C87)-(C88+C89)</f>
        <v>-11402.528410199651</v>
      </c>
      <c r="D123" s="485">
        <f t="shared" si="46"/>
        <v>1466.9572377798904</v>
      </c>
      <c r="E123" s="191"/>
      <c r="F123" s="191"/>
      <c r="G123" s="192"/>
      <c r="H123" s="192"/>
      <c r="I123" s="192"/>
    </row>
    <row r="124" spans="1:9" x14ac:dyDescent="0.2">
      <c r="A124" s="558"/>
      <c r="B124" s="559"/>
      <c r="C124" s="559"/>
      <c r="D124" s="559"/>
      <c r="E124" s="191"/>
      <c r="F124" s="191"/>
      <c r="G124" s="192"/>
      <c r="H124" s="192"/>
      <c r="I124" s="192"/>
    </row>
    <row r="125" spans="1:9" x14ac:dyDescent="0.2">
      <c r="A125" s="540" t="s">
        <v>454</v>
      </c>
      <c r="B125" s="481" t="str">
        <f>+B116</f>
        <v>n</v>
      </c>
      <c r="C125" s="481" t="str">
        <f>+C116</f>
        <v>n+1</v>
      </c>
      <c r="D125" s="481" t="str">
        <f>+D116</f>
        <v>n+2</v>
      </c>
      <c r="E125" s="191"/>
      <c r="F125" s="191"/>
      <c r="G125" s="192"/>
      <c r="H125" s="192"/>
      <c r="I125" s="192"/>
    </row>
    <row r="126" spans="1:9" x14ac:dyDescent="0.2">
      <c r="A126" s="493" t="s">
        <v>455</v>
      </c>
      <c r="B126" s="560">
        <f>ROUND(B72/B18,4)</f>
        <v>0.1951</v>
      </c>
      <c r="C126" s="560">
        <f t="shared" ref="C126:D126" si="47">ROUND(C72/C18,4)</f>
        <v>0.25569999999999998</v>
      </c>
      <c r="D126" s="560">
        <f t="shared" si="47"/>
        <v>0.1361</v>
      </c>
      <c r="E126" s="191"/>
      <c r="F126" s="191"/>
      <c r="G126" s="192"/>
      <c r="H126" s="192"/>
      <c r="I126" s="192"/>
    </row>
    <row r="127" spans="1:9" x14ac:dyDescent="0.2">
      <c r="A127" s="471" t="s">
        <v>456</v>
      </c>
      <c r="B127" s="561">
        <f>ROUND(B72/(B18-B21),4)</f>
        <v>0.2424</v>
      </c>
      <c r="C127" s="561">
        <f t="shared" ref="C127:D127" si="48">ROUND(C72/(C18-C21),4)</f>
        <v>0.34350000000000003</v>
      </c>
      <c r="D127" s="561">
        <f t="shared" si="48"/>
        <v>0.1575</v>
      </c>
      <c r="E127" s="191"/>
      <c r="F127" s="191"/>
      <c r="G127" s="192"/>
      <c r="H127" s="192"/>
      <c r="I127" s="192"/>
    </row>
    <row r="128" spans="1:9" x14ac:dyDescent="0.2">
      <c r="A128" s="471" t="s">
        <v>457</v>
      </c>
      <c r="B128" s="562">
        <f>ROUND(B56/B15,4)</f>
        <v>0.1062</v>
      </c>
      <c r="C128" s="562">
        <f t="shared" ref="C128:D128" si="49">ROUND(C56/C15,4)</f>
        <v>0.14910000000000001</v>
      </c>
      <c r="D128" s="562">
        <f t="shared" si="49"/>
        <v>8.8800000000000004E-2</v>
      </c>
      <c r="E128" s="191"/>
      <c r="F128" s="191"/>
      <c r="G128" s="192"/>
      <c r="H128" s="192"/>
      <c r="I128" s="192"/>
    </row>
    <row r="129" spans="1:9" x14ac:dyDescent="0.2">
      <c r="A129" s="471" t="s">
        <v>458</v>
      </c>
      <c r="B129" s="563">
        <f>ROUND(B72/B56,4)</f>
        <v>0.80379999999999996</v>
      </c>
      <c r="C129" s="563">
        <f t="shared" ref="C129:D129" si="50">ROUND(C72/C56,4)</f>
        <v>0.87539999999999996</v>
      </c>
      <c r="D129" s="563">
        <f t="shared" si="50"/>
        <v>0.83650000000000002</v>
      </c>
      <c r="E129" s="191"/>
      <c r="F129" s="191"/>
      <c r="G129" s="192"/>
      <c r="H129" s="192"/>
      <c r="I129" s="192"/>
    </row>
    <row r="130" spans="1:9" x14ac:dyDescent="0.2">
      <c r="A130" s="471" t="s">
        <v>459</v>
      </c>
      <c r="B130" s="561">
        <f>ROUND(B56/B40,4)</f>
        <v>7.4099999999999999E-2</v>
      </c>
      <c r="C130" s="561">
        <f t="shared" ref="C130:D130" si="51">ROUND(C56/C40,4)</f>
        <v>0.1096</v>
      </c>
      <c r="D130" s="561">
        <f t="shared" si="51"/>
        <v>6.4899999999999999E-2</v>
      </c>
      <c r="E130" s="191"/>
      <c r="F130" s="191"/>
      <c r="G130" s="192"/>
      <c r="H130" s="192"/>
      <c r="I130" s="192"/>
    </row>
    <row r="131" spans="1:9" x14ac:dyDescent="0.2">
      <c r="A131" s="471" t="s">
        <v>460</v>
      </c>
      <c r="B131" s="563">
        <f>ROUND(B40/B15,2)</f>
        <v>1.43</v>
      </c>
      <c r="C131" s="563">
        <f t="shared" ref="C131:D131" si="52">ROUND(C40/C15,2)</f>
        <v>1.36</v>
      </c>
      <c r="D131" s="563">
        <f t="shared" si="52"/>
        <v>1.37</v>
      </c>
      <c r="E131" s="191"/>
      <c r="F131" s="191"/>
      <c r="G131" s="192"/>
      <c r="H131" s="192"/>
      <c r="I131" s="192"/>
    </row>
    <row r="132" spans="1:9" x14ac:dyDescent="0.2">
      <c r="A132" s="471" t="s">
        <v>461</v>
      </c>
      <c r="B132" s="562">
        <f>ROUND(B58/B90,4)*-1</f>
        <v>5.4300000000000001E-2</v>
      </c>
      <c r="C132" s="562">
        <f t="shared" ref="C132:D132" si="53">ROUND(C58/C90,4)*-1</f>
        <v>5.5E-2</v>
      </c>
      <c r="D132" s="562">
        <f t="shared" si="53"/>
        <v>5.5800000000000002E-2</v>
      </c>
      <c r="E132" s="191"/>
      <c r="F132" s="191"/>
      <c r="G132" s="192"/>
      <c r="H132" s="192"/>
      <c r="I132" s="192"/>
    </row>
    <row r="133" spans="1:9" x14ac:dyDescent="0.2">
      <c r="A133" s="191"/>
      <c r="B133" s="564"/>
      <c r="C133" s="564"/>
      <c r="D133" s="564"/>
      <c r="E133" s="191"/>
      <c r="F133" s="191"/>
      <c r="G133" s="192"/>
      <c r="H133" s="192"/>
      <c r="I133" s="192"/>
    </row>
    <row r="134" spans="1:9" x14ac:dyDescent="0.2">
      <c r="A134" s="540" t="s">
        <v>462</v>
      </c>
      <c r="B134" s="479" t="str">
        <f>+B125</f>
        <v>n</v>
      </c>
      <c r="C134" s="479" t="str">
        <f>+C125</f>
        <v>n+1</v>
      </c>
      <c r="D134" s="479" t="str">
        <f>+D125</f>
        <v>n+2</v>
      </c>
      <c r="E134" s="191"/>
      <c r="F134" s="191"/>
      <c r="G134" s="192"/>
      <c r="H134" s="192"/>
      <c r="I134" s="192"/>
    </row>
    <row r="135" spans="1:9" x14ac:dyDescent="0.2">
      <c r="A135" s="471" t="s">
        <v>463</v>
      </c>
      <c r="B135" s="565">
        <f>ROUND(B40/B80,2)</f>
        <v>69822.86</v>
      </c>
      <c r="C135" s="565">
        <f t="shared" ref="C135:D135" si="54">ROUND(C40/C80,2)</f>
        <v>76278.570000000007</v>
      </c>
      <c r="D135" s="565">
        <f t="shared" si="54"/>
        <v>72676.649999999994</v>
      </c>
      <c r="E135" s="191"/>
      <c r="F135" s="191"/>
      <c r="G135" s="192"/>
      <c r="H135" s="192"/>
      <c r="I135" s="192"/>
    </row>
    <row r="136" spans="1:9" x14ac:dyDescent="0.2">
      <c r="A136" s="471" t="s">
        <v>464</v>
      </c>
      <c r="B136" s="563">
        <f>ROUND(B85/B82,2)</f>
        <v>8.11</v>
      </c>
      <c r="C136" s="563">
        <f>ROUND(C85/C82,2)</f>
        <v>8.11</v>
      </c>
      <c r="D136" s="563">
        <f>ROUND(D85/D82,2)</f>
        <v>9.1300000000000008</v>
      </c>
      <c r="E136" s="191"/>
      <c r="F136" s="191"/>
      <c r="G136" s="192"/>
      <c r="H136" s="192"/>
      <c r="I136" s="192"/>
    </row>
    <row r="137" spans="1:9" x14ac:dyDescent="0.2">
      <c r="A137" s="471" t="s">
        <v>465</v>
      </c>
      <c r="B137" s="563">
        <f>ROUND(B82/B85*365,0)</f>
        <v>45</v>
      </c>
      <c r="C137" s="563">
        <f>ROUND(C82/C85*365,0)</f>
        <v>45</v>
      </c>
      <c r="D137" s="563">
        <f>ROUND(D82/D85*365,0)</f>
        <v>40</v>
      </c>
      <c r="E137" s="191"/>
      <c r="F137" s="191"/>
      <c r="G137" s="192"/>
      <c r="H137" s="192"/>
      <c r="I137" s="192"/>
    </row>
    <row r="138" spans="1:9" x14ac:dyDescent="0.2">
      <c r="A138" s="471" t="s">
        <v>466</v>
      </c>
      <c r="B138" s="563">
        <f t="shared" ref="B138:D138" si="55">ROUND(B84/B86*365,0)</f>
        <v>60</v>
      </c>
      <c r="C138" s="563">
        <f t="shared" si="55"/>
        <v>60</v>
      </c>
      <c r="D138" s="563">
        <f t="shared" si="55"/>
        <v>60</v>
      </c>
      <c r="E138" s="191"/>
      <c r="F138" s="191"/>
      <c r="G138" s="192"/>
      <c r="H138" s="192"/>
      <c r="I138" s="192"/>
    </row>
    <row r="139" spans="1:9" x14ac:dyDescent="0.2">
      <c r="A139" s="486" t="s">
        <v>467</v>
      </c>
      <c r="B139" s="566">
        <f>ROUND(B40/B10,2)</f>
        <v>3.04</v>
      </c>
      <c r="C139" s="563">
        <f>ROUND(C40/C10,2)</f>
        <v>2.4700000000000002</v>
      </c>
      <c r="D139" s="563">
        <f>ROUND(D40/D10,2)</f>
        <v>2.4300000000000002</v>
      </c>
      <c r="E139" s="191"/>
      <c r="F139" s="191"/>
      <c r="G139" s="192"/>
      <c r="H139" s="192"/>
      <c r="I139" s="192"/>
    </row>
    <row r="140" spans="1:9" x14ac:dyDescent="0.2">
      <c r="A140" s="471" t="s">
        <v>468</v>
      </c>
      <c r="B140" s="566" t="e">
        <f>+B40/B11</f>
        <v>#DIV/0!</v>
      </c>
      <c r="C140" s="566" t="e">
        <f>+C40/C11</f>
        <v>#DIV/0!</v>
      </c>
      <c r="D140" s="566" t="e">
        <f>+D40/D11</f>
        <v>#DIV/0!</v>
      </c>
      <c r="E140" s="191"/>
      <c r="F140" s="191"/>
      <c r="G140" s="192"/>
      <c r="H140" s="192"/>
      <c r="I140" s="192"/>
    </row>
    <row r="141" spans="1:9" x14ac:dyDescent="0.2">
      <c r="A141" s="471" t="s">
        <v>469</v>
      </c>
      <c r="B141" s="563">
        <f>ROUND(B11*365/B40,0)</f>
        <v>0</v>
      </c>
      <c r="C141" s="563">
        <f>ROUND(C11*365/C40,0)</f>
        <v>0</v>
      </c>
      <c r="D141" s="563">
        <f>ROUND(D11*365/D40,0)</f>
        <v>0</v>
      </c>
      <c r="E141" s="191"/>
      <c r="F141" s="191"/>
      <c r="G141" s="192"/>
      <c r="H141" s="192"/>
      <c r="I141" s="192"/>
    </row>
    <row r="142" spans="1:9" ht="27.75" customHeight="1" x14ac:dyDescent="0.2">
      <c r="A142" s="567" t="s">
        <v>470</v>
      </c>
      <c r="B142" s="568">
        <f>B141+B137</f>
        <v>45</v>
      </c>
      <c r="C142" s="568">
        <f>C141+C137</f>
        <v>45</v>
      </c>
      <c r="D142" s="568">
        <f>D141+D137</f>
        <v>40</v>
      </c>
      <c r="E142" s="191"/>
      <c r="F142" s="191"/>
      <c r="G142" s="192"/>
      <c r="H142" s="192"/>
      <c r="I142" s="192"/>
    </row>
    <row r="143" spans="1:9" x14ac:dyDescent="0.2">
      <c r="A143" s="471" t="s">
        <v>471</v>
      </c>
      <c r="B143" s="568">
        <f>+B138</f>
        <v>60</v>
      </c>
      <c r="C143" s="568">
        <f>+C138</f>
        <v>60</v>
      </c>
      <c r="D143" s="568">
        <f>+D138</f>
        <v>60</v>
      </c>
      <c r="E143" s="191"/>
      <c r="F143" s="191"/>
      <c r="G143" s="192"/>
      <c r="H143" s="192"/>
      <c r="I143" s="192"/>
    </row>
    <row r="144" spans="1:9" x14ac:dyDescent="0.2">
      <c r="A144" s="471" t="s">
        <v>472</v>
      </c>
      <c r="B144" s="569">
        <f>+B143-B142</f>
        <v>15</v>
      </c>
      <c r="C144" s="569">
        <f>+C143-C142</f>
        <v>15</v>
      </c>
      <c r="D144" s="569">
        <f>+D143-D142</f>
        <v>20</v>
      </c>
      <c r="E144" s="191"/>
      <c r="F144" s="191"/>
      <c r="G144" s="192"/>
      <c r="H144" s="192"/>
      <c r="I144" s="192"/>
    </row>
    <row r="145" spans="1:9" x14ac:dyDescent="0.2">
      <c r="A145" s="471"/>
      <c r="B145" s="471"/>
      <c r="C145" s="570"/>
      <c r="D145" s="471"/>
      <c r="E145" s="191"/>
      <c r="F145" s="191"/>
      <c r="G145" s="192"/>
      <c r="H145" s="192"/>
      <c r="I145" s="192"/>
    </row>
    <row r="146" spans="1:9" x14ac:dyDescent="0.2">
      <c r="A146" s="571" t="s">
        <v>473</v>
      </c>
      <c r="B146" s="191"/>
      <c r="C146" s="191"/>
      <c r="D146" s="191"/>
      <c r="E146" s="191"/>
      <c r="F146" s="191"/>
      <c r="G146" s="192"/>
      <c r="H146" s="192"/>
      <c r="I146" s="192"/>
    </row>
    <row r="147" spans="1:9" x14ac:dyDescent="0.2">
      <c r="A147" s="191" t="s">
        <v>38</v>
      </c>
      <c r="B147" s="572" t="str">
        <f>+B38</f>
        <v>n</v>
      </c>
      <c r="C147" s="572" t="str">
        <f t="shared" ref="C147:D147" si="56">+C38</f>
        <v>n+1</v>
      </c>
      <c r="D147" s="572" t="str">
        <f t="shared" si="56"/>
        <v>n+2</v>
      </c>
      <c r="E147" s="191"/>
      <c r="F147" s="191"/>
      <c r="G147" s="192"/>
      <c r="H147" s="192"/>
      <c r="I147" s="192"/>
    </row>
    <row r="148" spans="1:9" ht="45" x14ac:dyDescent="0.2">
      <c r="A148" s="573" t="s">
        <v>474</v>
      </c>
      <c r="B148" s="574">
        <f>-B58/B40</f>
        <v>1.2685162451919084E-2</v>
      </c>
      <c r="C148" s="574">
        <f t="shared" ref="C148:D148" si="57">-C58/C40</f>
        <v>1.0688400852540775E-2</v>
      </c>
      <c r="D148" s="574">
        <f t="shared" si="57"/>
        <v>8.9256605322842429E-3</v>
      </c>
      <c r="E148" s="191"/>
      <c r="F148" s="191"/>
      <c r="G148" s="192"/>
      <c r="H148" s="192"/>
      <c r="I148" s="192"/>
    </row>
    <row r="149" spans="1:9" x14ac:dyDescent="0.2">
      <c r="A149" s="575" t="s">
        <v>475</v>
      </c>
      <c r="B149" s="576">
        <v>2.7E-2</v>
      </c>
      <c r="C149" s="576">
        <v>2.7E-2</v>
      </c>
      <c r="D149" s="576">
        <v>2.7E-2</v>
      </c>
      <c r="E149" s="191"/>
      <c r="F149" s="191"/>
      <c r="G149" s="192"/>
      <c r="H149" s="192"/>
      <c r="I149" s="192"/>
    </row>
    <row r="150" spans="1:9" ht="15" x14ac:dyDescent="0.25">
      <c r="A150" s="194" t="s">
        <v>330</v>
      </c>
      <c r="B150" s="577" t="str">
        <f>IF(B148&lt;B149,"OK","ALERT")</f>
        <v>OK</v>
      </c>
      <c r="C150" s="577" t="str">
        <f t="shared" ref="C150:D150" si="58">IF(C148&lt;C149,"OK","ALERT")</f>
        <v>OK</v>
      </c>
      <c r="D150" s="577" t="str">
        <f t="shared" si="58"/>
        <v>OK</v>
      </c>
      <c r="E150" s="191"/>
      <c r="F150" s="191"/>
      <c r="G150" s="192"/>
      <c r="H150" s="192"/>
      <c r="I150" s="192"/>
    </row>
    <row r="151" spans="1:9" x14ac:dyDescent="0.2">
      <c r="C151" s="191"/>
      <c r="D151" s="191"/>
      <c r="E151" s="191"/>
      <c r="F151" s="191"/>
      <c r="G151" s="192"/>
      <c r="H151" s="192"/>
      <c r="I151" s="192"/>
    </row>
    <row r="152" spans="1:9" ht="30" x14ac:dyDescent="0.25">
      <c r="A152" s="578" t="s">
        <v>476</v>
      </c>
      <c r="B152" s="579">
        <f>+B18/B23</f>
        <v>0.77741750219919548</v>
      </c>
      <c r="C152" s="579">
        <f t="shared" ref="C152:D152" si="59">+C18/C23</f>
        <v>1.0434177795886597</v>
      </c>
      <c r="D152" s="580">
        <f t="shared" si="59"/>
        <v>1.200971130395698</v>
      </c>
      <c r="E152" s="191"/>
      <c r="F152" s="191"/>
      <c r="G152" s="192"/>
      <c r="H152" s="192"/>
      <c r="I152" s="192"/>
    </row>
    <row r="153" spans="1:9" x14ac:dyDescent="0.2">
      <c r="A153" s="575" t="s">
        <v>475</v>
      </c>
      <c r="B153" s="576">
        <v>2.23E-2</v>
      </c>
      <c r="C153" s="576">
        <v>2.23E-2</v>
      </c>
      <c r="D153" s="576">
        <v>2.23E-2</v>
      </c>
      <c r="E153" s="191"/>
      <c r="F153" s="191"/>
      <c r="G153" s="192"/>
      <c r="H153" s="192"/>
      <c r="I153" s="192"/>
    </row>
    <row r="154" spans="1:9" ht="15" x14ac:dyDescent="0.25">
      <c r="A154" s="194" t="s">
        <v>330</v>
      </c>
      <c r="B154" s="577" t="str">
        <f>IF(B152&gt;B153,"OK","ALERT")</f>
        <v>OK</v>
      </c>
      <c r="C154" s="577" t="str">
        <f t="shared" ref="C154:D154" si="60">IF(C152&gt;C153,"OK","ALERT")</f>
        <v>OK</v>
      </c>
      <c r="D154" s="577" t="str">
        <f t="shared" si="60"/>
        <v>OK</v>
      </c>
      <c r="E154" s="191"/>
      <c r="F154" s="191"/>
      <c r="G154" s="192"/>
      <c r="H154" s="192"/>
      <c r="I154" s="192"/>
    </row>
    <row r="155" spans="1:9" ht="15" x14ac:dyDescent="0.25">
      <c r="A155" s="191"/>
      <c r="B155" s="581"/>
      <c r="C155" s="581"/>
      <c r="D155" s="581"/>
      <c r="E155" s="191"/>
      <c r="F155" s="191"/>
      <c r="G155" s="192"/>
      <c r="H155" s="192"/>
      <c r="I155" s="192"/>
    </row>
    <row r="156" spans="1:9" x14ac:dyDescent="0.2">
      <c r="A156" s="191"/>
      <c r="B156" s="191"/>
      <c r="C156" s="191"/>
      <c r="D156" s="191"/>
      <c r="E156" s="191"/>
      <c r="F156" s="191"/>
      <c r="G156" s="192"/>
      <c r="H156" s="192"/>
      <c r="I156" s="192"/>
    </row>
    <row r="157" spans="1:9" ht="30" x14ac:dyDescent="0.25">
      <c r="A157" s="578" t="s">
        <v>477</v>
      </c>
      <c r="B157" s="582">
        <f>+B158/B15</f>
        <v>0.14402301366653131</v>
      </c>
      <c r="C157" s="582">
        <f>+C158/C15</f>
        <v>0.19173644520882258</v>
      </c>
      <c r="D157" s="582">
        <f>+D158/D15</f>
        <v>0.14486019292389271</v>
      </c>
      <c r="E157" s="191"/>
      <c r="F157" s="191"/>
      <c r="G157" s="192"/>
      <c r="H157" s="192"/>
      <c r="I157" s="192"/>
    </row>
    <row r="158" spans="1:9" ht="15" x14ac:dyDescent="0.25">
      <c r="A158" s="583" t="s">
        <v>478</v>
      </c>
      <c r="B158" s="584">
        <f>B72+B53</f>
        <v>24546.800000000017</v>
      </c>
      <c r="C158" s="584">
        <f t="shared" ref="C158:D158" si="61">C72+C53</f>
        <v>37607.26418239293</v>
      </c>
      <c r="D158" s="584">
        <f t="shared" si="61"/>
        <v>30777.411573905432</v>
      </c>
      <c r="E158" s="191"/>
      <c r="F158" s="191"/>
      <c r="G158" s="192"/>
      <c r="H158" s="192"/>
      <c r="I158" s="192"/>
    </row>
    <row r="159" spans="1:9" x14ac:dyDescent="0.2">
      <c r="A159" s="575" t="s">
        <v>475</v>
      </c>
      <c r="B159" s="576">
        <v>5.0000000000000001E-3</v>
      </c>
      <c r="C159" s="576">
        <v>5.0000000000000001E-3</v>
      </c>
      <c r="D159" s="576">
        <v>5.0000000000000001E-3</v>
      </c>
      <c r="E159" s="191"/>
      <c r="F159" s="191"/>
      <c r="G159" s="192"/>
      <c r="H159" s="192"/>
      <c r="I159" s="192"/>
    </row>
    <row r="160" spans="1:9" ht="15" x14ac:dyDescent="0.25">
      <c r="A160" s="194" t="s">
        <v>330</v>
      </c>
      <c r="B160" s="577" t="str">
        <f>IF(B157&lt;B159,"alert","ok")</f>
        <v>ok</v>
      </c>
      <c r="C160" s="577" t="str">
        <f t="shared" ref="C160:D160" si="62">IF(C157&lt;C159,"alert","ok")</f>
        <v>ok</v>
      </c>
      <c r="D160" s="577" t="str">
        <f t="shared" si="62"/>
        <v>ok</v>
      </c>
      <c r="E160" s="581"/>
      <c r="F160" s="581"/>
      <c r="G160" s="581"/>
      <c r="H160" s="581"/>
      <c r="I160" s="581"/>
    </row>
    <row r="161" spans="1:9" x14ac:dyDescent="0.2">
      <c r="A161" s="191"/>
      <c r="B161" s="191"/>
      <c r="C161" s="191"/>
      <c r="D161" s="191"/>
      <c r="E161" s="191"/>
      <c r="F161" s="191"/>
      <c r="G161" s="192"/>
      <c r="H161" s="192"/>
      <c r="I161" s="192"/>
    </row>
    <row r="162" spans="1:9" x14ac:dyDescent="0.2">
      <c r="A162" s="191"/>
      <c r="B162" s="191"/>
      <c r="C162" s="191"/>
      <c r="D162" s="191"/>
      <c r="E162" s="191"/>
      <c r="F162" s="191"/>
      <c r="G162" s="192"/>
      <c r="H162" s="192"/>
      <c r="I162" s="192"/>
    </row>
    <row r="163" spans="1:9" ht="30" x14ac:dyDescent="0.25">
      <c r="A163" s="578" t="s">
        <v>479</v>
      </c>
      <c r="B163" s="579">
        <f>+B10/(B25+B26+B27)</f>
        <v>2.0720635308423159</v>
      </c>
      <c r="C163" s="579">
        <f t="shared" ref="C163:D163" si="63">+C10/(C25+C26+C27)</f>
        <v>2.4526320595443654</v>
      </c>
      <c r="D163" s="579">
        <f t="shared" si="63"/>
        <v>2.3858689162420368</v>
      </c>
      <c r="E163" s="585"/>
      <c r="F163" s="585"/>
      <c r="G163" s="585"/>
      <c r="H163" s="585"/>
      <c r="I163" s="585"/>
    </row>
    <row r="164" spans="1:9" x14ac:dyDescent="0.2">
      <c r="A164" s="575" t="s">
        <v>475</v>
      </c>
      <c r="B164" s="576">
        <v>0.69799999999999995</v>
      </c>
      <c r="C164" s="576">
        <v>0.69799999999999995</v>
      </c>
      <c r="D164" s="576">
        <v>0.69799999999999995</v>
      </c>
      <c r="E164" s="191"/>
      <c r="F164" s="191"/>
      <c r="G164" s="192"/>
      <c r="H164" s="192"/>
      <c r="I164" s="192"/>
    </row>
    <row r="165" spans="1:9" ht="15" x14ac:dyDescent="0.25">
      <c r="A165" s="194" t="s">
        <v>330</v>
      </c>
      <c r="B165" s="577" t="str">
        <f>IF(B163&lt;B164,"alert","ok")</f>
        <v>ok</v>
      </c>
      <c r="C165" s="577" t="str">
        <f t="shared" ref="C165:D165" si="64">IF(C163&lt;C164,"alert","ok")</f>
        <v>ok</v>
      </c>
      <c r="D165" s="577" t="str">
        <f t="shared" si="64"/>
        <v>ok</v>
      </c>
      <c r="E165" s="191"/>
      <c r="F165" s="191"/>
      <c r="G165" s="192"/>
      <c r="H165" s="192"/>
      <c r="I165" s="192"/>
    </row>
    <row r="166" spans="1:9" x14ac:dyDescent="0.2">
      <c r="A166" s="191"/>
      <c r="B166" s="191"/>
      <c r="C166" s="191"/>
      <c r="D166" s="191"/>
      <c r="E166" s="191"/>
      <c r="F166" s="191"/>
      <c r="G166" s="192"/>
      <c r="H166" s="192"/>
      <c r="I166" s="192"/>
    </row>
    <row r="167" spans="1:9" x14ac:dyDescent="0.2">
      <c r="A167" s="191"/>
      <c r="B167" s="191"/>
      <c r="C167" s="191"/>
      <c r="D167" s="191"/>
      <c r="E167" s="191"/>
      <c r="F167" s="191"/>
      <c r="G167" s="192"/>
      <c r="H167" s="192"/>
      <c r="I167" s="192"/>
    </row>
    <row r="168" spans="1:9" ht="30" x14ac:dyDescent="0.25">
      <c r="A168" s="578" t="s">
        <v>480</v>
      </c>
      <c r="B168" s="579">
        <f t="shared" ref="B168:D168" si="65">+B34/B15</f>
        <v>0.10238408218101624</v>
      </c>
      <c r="C168" s="579">
        <f t="shared" si="65"/>
        <v>0.10654102558740874</v>
      </c>
      <c r="D168" s="579">
        <f t="shared" si="65"/>
        <v>0.11747935354141135</v>
      </c>
      <c r="E168" s="585"/>
      <c r="F168" s="585"/>
      <c r="G168" s="585"/>
      <c r="H168" s="585"/>
      <c r="I168" s="585"/>
    </row>
    <row r="169" spans="1:9" x14ac:dyDescent="0.2">
      <c r="A169" s="575" t="s">
        <v>475</v>
      </c>
      <c r="B169" s="576">
        <v>0.14599999999999999</v>
      </c>
      <c r="C169" s="576">
        <v>0.14599999999999999</v>
      </c>
      <c r="D169" s="576">
        <v>0.14599999999999999</v>
      </c>
      <c r="E169" s="191"/>
      <c r="F169" s="191"/>
      <c r="G169" s="192"/>
      <c r="H169" s="192"/>
      <c r="I169" s="192"/>
    </row>
    <row r="170" spans="1:9" ht="15" x14ac:dyDescent="0.25">
      <c r="A170" s="194" t="s">
        <v>330</v>
      </c>
      <c r="B170" s="577" t="str">
        <f>IF(B168&gt;B169,"alert","ok")</f>
        <v>ok</v>
      </c>
      <c r="C170" s="577" t="str">
        <f t="shared" ref="C170:D170" si="66">IF(C168&gt;C169,"alert","ok")</f>
        <v>ok</v>
      </c>
      <c r="D170" s="577" t="str">
        <f t="shared" si="66"/>
        <v>ok</v>
      </c>
      <c r="E170" s="191"/>
      <c r="F170" s="191"/>
      <c r="G170" s="192"/>
      <c r="H170" s="192"/>
      <c r="I170" s="192"/>
    </row>
  </sheetData>
  <mergeCells count="4">
    <mergeCell ref="E2:G2"/>
    <mergeCell ref="H2:I2"/>
    <mergeCell ref="E38:G38"/>
    <mergeCell ref="H38:I38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syncVertical="1" syncRef="A1" transitionEvaluation="1">
    <pageSetUpPr fitToPage="1"/>
  </sheetPr>
  <dimension ref="A1:V374"/>
  <sheetViews>
    <sheetView showGridLines="0" zoomScale="130" zoomScaleNormal="130" workbookViewId="0">
      <selection activeCell="I23" sqref="I23"/>
    </sheetView>
  </sheetViews>
  <sheetFormatPr defaultColWidth="11" defaultRowHeight="12.75" x14ac:dyDescent="0.2"/>
  <cols>
    <col min="1" max="1" width="6.28515625" style="25" bestFit="1" customWidth="1"/>
    <col min="2" max="2" width="6" style="26" bestFit="1" customWidth="1"/>
    <col min="3" max="3" width="14.42578125" style="26" customWidth="1"/>
    <col min="4" max="4" width="16.140625" style="26" bestFit="1" customWidth="1"/>
    <col min="5" max="5" width="10" style="26" customWidth="1"/>
    <col min="6" max="6" width="11.7109375" style="26" bestFit="1" customWidth="1"/>
    <col min="7" max="7" width="12" style="26" bestFit="1" customWidth="1"/>
    <col min="8" max="9" width="8.42578125" style="24" customWidth="1"/>
    <col min="10" max="10" width="7.5703125" style="24" customWidth="1"/>
    <col min="11" max="11" width="6.140625" style="24" bestFit="1" customWidth="1"/>
    <col min="12" max="12" width="7.5703125" style="24" customWidth="1"/>
    <col min="13" max="13" width="8.7109375" style="24" customWidth="1"/>
    <col min="14" max="14" width="7.140625" style="24" customWidth="1"/>
    <col min="15" max="15" width="8.140625" style="24" customWidth="1"/>
    <col min="16" max="16" width="7.85546875" style="24" customWidth="1"/>
    <col min="17" max="16384" width="11" style="24"/>
  </cols>
  <sheetData>
    <row r="1" spans="1:22" ht="13.5" thickBot="1" x14ac:dyDescent="0.25"/>
    <row r="2" spans="1:22" ht="16.5" x14ac:dyDescent="0.25">
      <c r="A2" s="28"/>
      <c r="B2" s="29"/>
      <c r="C2" s="30" t="s">
        <v>27</v>
      </c>
      <c r="D2" s="29"/>
      <c r="E2" s="29"/>
      <c r="F2" s="29"/>
      <c r="G2" s="31"/>
      <c r="H2" s="27"/>
      <c r="I2" s="27"/>
      <c r="J2" s="27"/>
      <c r="K2" s="27"/>
      <c r="L2" s="27"/>
      <c r="M2" s="27"/>
      <c r="N2" s="27"/>
      <c r="O2" s="27"/>
      <c r="P2" s="27"/>
    </row>
    <row r="3" spans="1:22" ht="16.5" thickBot="1" x14ac:dyDescent="0.3">
      <c r="A3" s="32"/>
      <c r="B3" s="33"/>
      <c r="C3" s="34"/>
      <c r="D3" s="33"/>
      <c r="E3" s="33"/>
      <c r="F3" s="33"/>
      <c r="G3" s="35"/>
      <c r="H3" s="27"/>
      <c r="I3" s="27"/>
      <c r="J3" s="27"/>
      <c r="K3" s="27"/>
      <c r="L3" s="27"/>
      <c r="M3" s="27"/>
      <c r="N3" s="27"/>
      <c r="O3" s="27"/>
      <c r="P3" s="27"/>
    </row>
    <row r="4" spans="1:22" ht="14.25" thickBot="1" x14ac:dyDescent="0.3">
      <c r="B4" s="36"/>
      <c r="C4" s="37"/>
      <c r="D4" s="36"/>
      <c r="E4" s="36"/>
      <c r="F4" s="38" t="s">
        <v>28</v>
      </c>
      <c r="G4" s="36"/>
      <c r="H4" s="27"/>
      <c r="I4" s="27"/>
      <c r="J4" s="27"/>
      <c r="K4" s="27"/>
      <c r="L4" s="27"/>
      <c r="M4" s="27"/>
      <c r="N4" s="27"/>
      <c r="O4" s="27"/>
      <c r="P4" s="27"/>
    </row>
    <row r="5" spans="1:22" x14ac:dyDescent="0.2">
      <c r="B5" s="36"/>
      <c r="C5" s="39" t="s">
        <v>29</v>
      </c>
      <c r="D5" s="40"/>
      <c r="E5" s="40"/>
      <c r="F5" s="41">
        <f>+'DATI PROGETTO E FINANZIAMENTO'!D32</f>
        <v>62000</v>
      </c>
      <c r="G5" s="36" t="s">
        <v>30</v>
      </c>
      <c r="H5" s="27"/>
      <c r="I5" s="27"/>
      <c r="J5" s="27"/>
      <c r="K5" s="27"/>
      <c r="L5" s="27"/>
      <c r="M5" s="27"/>
      <c r="N5" s="27"/>
      <c r="O5" s="27"/>
      <c r="P5" s="27"/>
    </row>
    <row r="6" spans="1:22" x14ac:dyDescent="0.2">
      <c r="B6" s="36"/>
      <c r="C6" s="42" t="s">
        <v>40</v>
      </c>
      <c r="D6" s="43"/>
      <c r="E6" s="64"/>
      <c r="F6" s="45">
        <f>'DATI PROGETTO E FINANZIAMENTO'!D34*100</f>
        <v>5</v>
      </c>
      <c r="G6" s="46">
        <f>(F6/100)/(12/F7)</f>
        <v>0.05</v>
      </c>
      <c r="H6" s="27"/>
      <c r="I6" s="27"/>
      <c r="J6" s="27"/>
      <c r="K6" s="27"/>
      <c r="L6" s="27"/>
      <c r="M6" s="27"/>
      <c r="N6" s="27"/>
      <c r="O6" s="27"/>
      <c r="P6" s="27"/>
    </row>
    <row r="7" spans="1:22" x14ac:dyDescent="0.2">
      <c r="B7" s="36"/>
      <c r="C7" s="61" t="s">
        <v>39</v>
      </c>
      <c r="D7" s="62"/>
      <c r="E7" s="63"/>
      <c r="F7" s="65">
        <v>12</v>
      </c>
      <c r="G7" s="46"/>
      <c r="H7" s="27"/>
      <c r="I7" s="27"/>
      <c r="J7" s="27"/>
      <c r="K7" s="27"/>
      <c r="L7" s="27"/>
      <c r="M7" s="27"/>
      <c r="N7" s="27"/>
      <c r="O7" s="27"/>
      <c r="P7" s="27"/>
    </row>
    <row r="8" spans="1:22" x14ac:dyDescent="0.2">
      <c r="B8" s="36"/>
      <c r="C8" s="61" t="s">
        <v>38</v>
      </c>
      <c r="D8" s="62"/>
      <c r="E8" s="44"/>
      <c r="F8" s="65">
        <v>10</v>
      </c>
      <c r="G8" s="46"/>
      <c r="H8" s="27"/>
      <c r="I8" s="27"/>
      <c r="J8" s="27"/>
      <c r="K8" s="27"/>
      <c r="L8" s="27"/>
      <c r="M8" s="27"/>
      <c r="N8" s="27"/>
      <c r="O8" s="27"/>
      <c r="P8" s="27"/>
    </row>
    <row r="9" spans="1:22" ht="13.5" thickBot="1" x14ac:dyDescent="0.25">
      <c r="B9" s="36"/>
      <c r="C9" s="66" t="s">
        <v>37</v>
      </c>
      <c r="D9" s="67"/>
      <c r="E9" s="67"/>
      <c r="F9" s="68">
        <f>+F8*(12/F7)</f>
        <v>10</v>
      </c>
      <c r="G9" s="69"/>
      <c r="H9" s="60">
        <v>1</v>
      </c>
      <c r="I9" s="60">
        <v>2</v>
      </c>
      <c r="J9" s="60">
        <v>3</v>
      </c>
      <c r="K9" s="60">
        <v>4</v>
      </c>
      <c r="L9" s="60">
        <v>5</v>
      </c>
      <c r="M9" s="60">
        <v>6</v>
      </c>
      <c r="N9" s="60">
        <v>7</v>
      </c>
      <c r="O9" s="60">
        <v>8</v>
      </c>
      <c r="P9" s="60">
        <v>9</v>
      </c>
      <c r="Q9" s="60">
        <v>10</v>
      </c>
      <c r="R9" s="60">
        <v>11</v>
      </c>
      <c r="S9" s="411"/>
      <c r="T9" s="412"/>
      <c r="U9" s="412"/>
      <c r="V9" s="412"/>
    </row>
    <row r="10" spans="1:22" x14ac:dyDescent="0.2">
      <c r="B10" s="36"/>
      <c r="C10" s="47" t="s">
        <v>18</v>
      </c>
      <c r="D10" s="48"/>
      <c r="E10" s="48"/>
      <c r="F10" s="49">
        <f>PMT(G6,F9,-F5)</f>
        <v>8029.2836478583122</v>
      </c>
      <c r="G10" s="36" t="s">
        <v>30</v>
      </c>
      <c r="H10" s="414"/>
      <c r="I10" s="414"/>
      <c r="J10" s="414"/>
      <c r="K10" s="414"/>
      <c r="L10" s="414"/>
      <c r="M10" s="414"/>
      <c r="N10" s="414"/>
      <c r="O10" s="414"/>
      <c r="P10" s="414"/>
      <c r="Q10" s="415"/>
      <c r="R10" s="413"/>
      <c r="S10" s="412"/>
      <c r="T10" s="412"/>
      <c r="U10" s="412"/>
      <c r="V10" s="412"/>
    </row>
    <row r="11" spans="1:22" x14ac:dyDescent="0.2">
      <c r="B11" s="36"/>
      <c r="C11" s="50" t="s">
        <v>31</v>
      </c>
      <c r="D11" s="51"/>
      <c r="E11" s="51"/>
      <c r="F11" s="52">
        <f>+(F10*F9)-F5</f>
        <v>18292.836478583122</v>
      </c>
      <c r="G11" s="36" t="s">
        <v>329</v>
      </c>
      <c r="H11" s="414">
        <f>+G15</f>
        <v>3099.9999999999854</v>
      </c>
      <c r="I11" s="414">
        <f>+G16</f>
        <v>2853.5358176070731</v>
      </c>
      <c r="J11" s="414">
        <f>+G17</f>
        <v>2594.7484260945421</v>
      </c>
      <c r="K11" s="414">
        <f>+G18</f>
        <v>2323.0216650063085</v>
      </c>
      <c r="L11" s="414">
        <f>+G19</f>
        <v>2037.7085658637516</v>
      </c>
      <c r="M11" s="414">
        <f>+G20</f>
        <v>1738.129811763989</v>
      </c>
      <c r="N11" s="414">
        <f>+G21</f>
        <v>1423.5721199593063</v>
      </c>
      <c r="O11" s="414">
        <f>+G22</f>
        <v>1093.2865435643253</v>
      </c>
      <c r="P11" s="414">
        <f>+G23</f>
        <v>746.48668834964155</v>
      </c>
      <c r="Q11" s="414">
        <f>+G24</f>
        <v>382.34684037419902</v>
      </c>
      <c r="R11" s="413"/>
      <c r="S11" s="412"/>
      <c r="T11" s="412"/>
      <c r="U11" s="412"/>
      <c r="V11" s="412"/>
    </row>
    <row r="12" spans="1:22" ht="13.5" thickBot="1" x14ac:dyDescent="0.25">
      <c r="B12" s="36"/>
      <c r="C12" s="53" t="s">
        <v>32</v>
      </c>
      <c r="D12" s="54"/>
      <c r="E12" s="54"/>
      <c r="F12" s="55">
        <f>+F5+F11</f>
        <v>80292.836478583122</v>
      </c>
      <c r="G12" s="36" t="s">
        <v>29</v>
      </c>
      <c r="H12" s="414">
        <f>+F15</f>
        <v>4929.2836478583267</v>
      </c>
      <c r="I12" s="414">
        <f>+F16</f>
        <v>5175.7478302512391</v>
      </c>
      <c r="J12" s="414">
        <f>+F17</f>
        <v>5434.5352217637701</v>
      </c>
      <c r="K12" s="414">
        <f>+F18</f>
        <v>5706.2619828520037</v>
      </c>
      <c r="L12" s="414">
        <f>+F19</f>
        <v>5991.5750819945606</v>
      </c>
      <c r="M12" s="414">
        <f>+F20</f>
        <v>6291.1538360943232</v>
      </c>
      <c r="N12" s="414">
        <f>+F21</f>
        <v>6605.7115278990059</v>
      </c>
      <c r="O12" s="414">
        <f>+F22</f>
        <v>6935.9971042939869</v>
      </c>
      <c r="P12" s="414">
        <f>+F23</f>
        <v>7282.7969595086706</v>
      </c>
      <c r="Q12" s="414">
        <f>+F24</f>
        <v>7646.9368074841132</v>
      </c>
      <c r="R12" s="26"/>
      <c r="S12" s="26"/>
    </row>
    <row r="13" spans="1:22" x14ac:dyDescent="0.2">
      <c r="B13" s="36"/>
      <c r="C13" s="36"/>
      <c r="D13" s="36"/>
      <c r="E13" s="36"/>
      <c r="F13" s="36"/>
      <c r="G13" s="36"/>
    </row>
    <row r="14" spans="1:22" x14ac:dyDescent="0.2">
      <c r="A14" s="56" t="s">
        <v>19</v>
      </c>
      <c r="B14" s="57" t="s">
        <v>18</v>
      </c>
      <c r="C14" s="58" t="s">
        <v>33</v>
      </c>
      <c r="D14" s="58" t="s">
        <v>34</v>
      </c>
      <c r="E14" s="58" t="s">
        <v>18</v>
      </c>
      <c r="F14" s="58" t="s">
        <v>35</v>
      </c>
      <c r="G14" s="409" t="s">
        <v>36</v>
      </c>
    </row>
    <row r="15" spans="1:22" x14ac:dyDescent="0.2">
      <c r="A15" s="60">
        <f t="shared" ref="A15:A25" si="0">CEILING((B15/(12/$F$7)),1)</f>
        <v>1</v>
      </c>
      <c r="B15" s="59">
        <v>1</v>
      </c>
      <c r="C15" s="60">
        <f>F5</f>
        <v>62000</v>
      </c>
      <c r="D15" s="60">
        <f t="shared" ref="D15:D78" si="1">IF(C15=0,0,IF(PV($G$6,$F$9-B15,-$F$10)&gt;0,PV($G$6,$F$9-B15,-$F$10),0))</f>
        <v>57070.716352141673</v>
      </c>
      <c r="E15" s="60">
        <f t="shared" ref="E15:E78" si="2">IF(C15=0,0,+$F$10)</f>
        <v>8029.2836478583122</v>
      </c>
      <c r="F15" s="60">
        <f t="shared" ref="F15:F78" si="3">C15-D15</f>
        <v>4929.2836478583267</v>
      </c>
      <c r="G15" s="410">
        <f t="shared" ref="G15:G78" si="4">E15-F15</f>
        <v>3099.9999999999854</v>
      </c>
    </row>
    <row r="16" spans="1:22" x14ac:dyDescent="0.2">
      <c r="A16" s="60">
        <f t="shared" si="0"/>
        <v>2</v>
      </c>
      <c r="B16" s="59">
        <v>2</v>
      </c>
      <c r="C16" s="60">
        <f t="shared" ref="C16:C79" si="5">D15</f>
        <v>57070.716352141673</v>
      </c>
      <c r="D16" s="60">
        <f t="shared" si="1"/>
        <v>51894.968521890434</v>
      </c>
      <c r="E16" s="60">
        <f t="shared" si="2"/>
        <v>8029.2836478583122</v>
      </c>
      <c r="F16" s="60">
        <f t="shared" si="3"/>
        <v>5175.7478302512391</v>
      </c>
      <c r="G16" s="60">
        <f t="shared" si="4"/>
        <v>2853.5358176070731</v>
      </c>
      <c r="H16" s="27"/>
      <c r="I16" s="27"/>
      <c r="J16" s="27"/>
      <c r="K16" s="27"/>
      <c r="L16" s="27"/>
      <c r="M16" s="27"/>
      <c r="N16" s="27"/>
      <c r="O16" s="27"/>
      <c r="P16" s="27"/>
    </row>
    <row r="17" spans="1:16" x14ac:dyDescent="0.2">
      <c r="A17" s="60">
        <f t="shared" si="0"/>
        <v>3</v>
      </c>
      <c r="B17" s="59">
        <v>3</v>
      </c>
      <c r="C17" s="60">
        <f t="shared" si="5"/>
        <v>51894.968521890434</v>
      </c>
      <c r="D17" s="60">
        <f t="shared" si="1"/>
        <v>46460.433300126664</v>
      </c>
      <c r="E17" s="60">
        <f t="shared" si="2"/>
        <v>8029.2836478583122</v>
      </c>
      <c r="F17" s="60">
        <f t="shared" si="3"/>
        <v>5434.5352217637701</v>
      </c>
      <c r="G17" s="60">
        <f t="shared" si="4"/>
        <v>2594.7484260945421</v>
      </c>
      <c r="H17" s="27"/>
      <c r="I17" s="27"/>
      <c r="J17" s="27"/>
      <c r="K17" s="27"/>
      <c r="L17" s="27"/>
      <c r="M17" s="27"/>
      <c r="N17" s="27"/>
      <c r="O17" s="27"/>
      <c r="P17" s="27"/>
    </row>
    <row r="18" spans="1:16" x14ac:dyDescent="0.2">
      <c r="A18" s="60">
        <f t="shared" si="0"/>
        <v>4</v>
      </c>
      <c r="B18" s="59">
        <v>4</v>
      </c>
      <c r="C18" s="60">
        <f t="shared" si="5"/>
        <v>46460.433300126664</v>
      </c>
      <c r="D18" s="60">
        <f t="shared" si="1"/>
        <v>40754.17131727466</v>
      </c>
      <c r="E18" s="60">
        <f t="shared" si="2"/>
        <v>8029.2836478583122</v>
      </c>
      <c r="F18" s="60">
        <f t="shared" si="3"/>
        <v>5706.2619828520037</v>
      </c>
      <c r="G18" s="60">
        <f t="shared" si="4"/>
        <v>2323.0216650063085</v>
      </c>
      <c r="H18" s="27"/>
      <c r="I18" s="27"/>
      <c r="J18" s="27"/>
      <c r="K18" s="27"/>
      <c r="L18" s="27"/>
      <c r="M18" s="27"/>
      <c r="N18" s="27"/>
      <c r="O18" s="27"/>
      <c r="P18" s="27"/>
    </row>
    <row r="19" spans="1:16" x14ac:dyDescent="0.2">
      <c r="A19" s="60">
        <f t="shared" si="0"/>
        <v>5</v>
      </c>
      <c r="B19" s="59">
        <v>5</v>
      </c>
      <c r="C19" s="60">
        <f t="shared" si="5"/>
        <v>40754.17131727466</v>
      </c>
      <c r="D19" s="60">
        <f t="shared" si="1"/>
        <v>34762.5962352801</v>
      </c>
      <c r="E19" s="60">
        <f t="shared" si="2"/>
        <v>8029.2836478583122</v>
      </c>
      <c r="F19" s="60">
        <f t="shared" si="3"/>
        <v>5991.5750819945606</v>
      </c>
      <c r="G19" s="60">
        <f t="shared" si="4"/>
        <v>2037.7085658637516</v>
      </c>
      <c r="H19" s="27"/>
      <c r="I19" s="27"/>
      <c r="J19" s="27"/>
      <c r="K19" s="27"/>
      <c r="L19" s="27"/>
      <c r="M19" s="27"/>
      <c r="N19" s="27"/>
      <c r="O19" s="27"/>
      <c r="P19" s="27"/>
    </row>
    <row r="20" spans="1:16" x14ac:dyDescent="0.2">
      <c r="A20" s="60">
        <f t="shared" si="0"/>
        <v>6</v>
      </c>
      <c r="B20" s="59">
        <v>6</v>
      </c>
      <c r="C20" s="60">
        <f t="shared" si="5"/>
        <v>34762.5962352801</v>
      </c>
      <c r="D20" s="60">
        <f t="shared" si="1"/>
        <v>28471.442399185777</v>
      </c>
      <c r="E20" s="60">
        <f t="shared" si="2"/>
        <v>8029.2836478583122</v>
      </c>
      <c r="F20" s="60">
        <f t="shared" si="3"/>
        <v>6291.1538360943232</v>
      </c>
      <c r="G20" s="60">
        <f t="shared" si="4"/>
        <v>1738.129811763989</v>
      </c>
      <c r="H20" s="27"/>
      <c r="I20" s="27"/>
      <c r="J20" s="27"/>
      <c r="K20" s="27"/>
      <c r="L20" s="27"/>
      <c r="M20" s="27"/>
      <c r="N20" s="27"/>
      <c r="O20" s="27"/>
      <c r="P20" s="27"/>
    </row>
    <row r="21" spans="1:16" x14ac:dyDescent="0.2">
      <c r="A21" s="60">
        <f t="shared" si="0"/>
        <v>7</v>
      </c>
      <c r="B21" s="59">
        <v>7</v>
      </c>
      <c r="C21" s="60">
        <f t="shared" si="5"/>
        <v>28471.442399185777</v>
      </c>
      <c r="D21" s="60">
        <f t="shared" si="1"/>
        <v>21865.730871286771</v>
      </c>
      <c r="E21" s="60">
        <f t="shared" si="2"/>
        <v>8029.2836478583122</v>
      </c>
      <c r="F21" s="60">
        <f t="shared" si="3"/>
        <v>6605.7115278990059</v>
      </c>
      <c r="G21" s="60">
        <f t="shared" si="4"/>
        <v>1423.5721199593063</v>
      </c>
      <c r="H21" s="27"/>
      <c r="I21" s="27"/>
      <c r="J21" s="27"/>
      <c r="K21" s="27"/>
      <c r="L21" s="27"/>
      <c r="M21" s="27"/>
      <c r="N21" s="27"/>
      <c r="O21" s="27"/>
      <c r="P21" s="27"/>
    </row>
    <row r="22" spans="1:16" x14ac:dyDescent="0.2">
      <c r="A22" s="60">
        <f t="shared" si="0"/>
        <v>8</v>
      </c>
      <c r="B22" s="59">
        <v>8</v>
      </c>
      <c r="C22" s="60">
        <f t="shared" si="5"/>
        <v>21865.730871286771</v>
      </c>
      <c r="D22" s="60">
        <f t="shared" si="1"/>
        <v>14929.733766992784</v>
      </c>
      <c r="E22" s="60">
        <f t="shared" si="2"/>
        <v>8029.2836478583122</v>
      </c>
      <c r="F22" s="60">
        <f t="shared" si="3"/>
        <v>6935.9971042939869</v>
      </c>
      <c r="G22" s="60">
        <f t="shared" si="4"/>
        <v>1093.2865435643253</v>
      </c>
      <c r="H22" s="27"/>
      <c r="I22" s="27"/>
      <c r="J22" s="27"/>
      <c r="K22" s="27"/>
      <c r="L22" s="27"/>
      <c r="M22" s="27"/>
      <c r="N22" s="27"/>
      <c r="O22" s="27"/>
      <c r="P22" s="27"/>
    </row>
    <row r="23" spans="1:16" x14ac:dyDescent="0.2">
      <c r="A23" s="60">
        <f t="shared" si="0"/>
        <v>9</v>
      </c>
      <c r="B23" s="59">
        <v>9</v>
      </c>
      <c r="C23" s="60">
        <f t="shared" si="5"/>
        <v>14929.733766992784</v>
      </c>
      <c r="D23" s="60">
        <f t="shared" si="1"/>
        <v>7646.9368074841132</v>
      </c>
      <c r="E23" s="60">
        <f t="shared" si="2"/>
        <v>8029.2836478583122</v>
      </c>
      <c r="F23" s="60">
        <f t="shared" si="3"/>
        <v>7282.7969595086706</v>
      </c>
      <c r="G23" s="60">
        <f t="shared" si="4"/>
        <v>746.48668834964155</v>
      </c>
      <c r="H23" s="27"/>
      <c r="I23" s="27"/>
      <c r="J23" s="27"/>
      <c r="K23" s="27"/>
      <c r="L23" s="27"/>
      <c r="M23" s="27"/>
      <c r="N23" s="27"/>
      <c r="O23" s="27"/>
      <c r="P23" s="27"/>
    </row>
    <row r="24" spans="1:16" x14ac:dyDescent="0.2">
      <c r="A24" s="60">
        <f t="shared" si="0"/>
        <v>10</v>
      </c>
      <c r="B24" s="59">
        <v>10</v>
      </c>
      <c r="C24" s="60">
        <f t="shared" si="5"/>
        <v>7646.9368074841132</v>
      </c>
      <c r="D24" s="60">
        <f t="shared" si="1"/>
        <v>0</v>
      </c>
      <c r="E24" s="60">
        <f t="shared" si="2"/>
        <v>8029.2836478583122</v>
      </c>
      <c r="F24" s="60">
        <f t="shared" si="3"/>
        <v>7646.9368074841132</v>
      </c>
      <c r="G24" s="60">
        <f t="shared" si="4"/>
        <v>382.34684037419902</v>
      </c>
      <c r="H24" s="27"/>
      <c r="I24" s="27"/>
      <c r="J24" s="27"/>
      <c r="K24" s="27"/>
      <c r="L24" s="27"/>
      <c r="M24" s="27"/>
      <c r="N24" s="27"/>
      <c r="O24" s="27"/>
      <c r="P24" s="27"/>
    </row>
    <row r="25" spans="1:16" x14ac:dyDescent="0.2">
      <c r="A25" s="60">
        <f t="shared" si="0"/>
        <v>11</v>
      </c>
      <c r="B25" s="59">
        <v>11</v>
      </c>
      <c r="C25" s="60">
        <f t="shared" si="5"/>
        <v>0</v>
      </c>
      <c r="D25" s="60">
        <f t="shared" si="1"/>
        <v>0</v>
      </c>
      <c r="E25" s="60">
        <f t="shared" si="2"/>
        <v>0</v>
      </c>
      <c r="F25" s="60">
        <f t="shared" si="3"/>
        <v>0</v>
      </c>
      <c r="G25" s="60">
        <f t="shared" si="4"/>
        <v>0</v>
      </c>
      <c r="H25" s="27"/>
      <c r="I25" s="27"/>
      <c r="J25" s="27"/>
      <c r="K25" s="27"/>
      <c r="L25" s="27"/>
      <c r="M25" s="27"/>
      <c r="N25" s="27"/>
      <c r="O25" s="27"/>
      <c r="P25" s="27"/>
    </row>
    <row r="26" spans="1:16" x14ac:dyDescent="0.2">
      <c r="A26" s="60">
        <f>CEILING((B26/(12/$F$7)),1)</f>
        <v>12</v>
      </c>
      <c r="B26" s="59">
        <v>12</v>
      </c>
      <c r="C26" s="60">
        <f t="shared" si="5"/>
        <v>0</v>
      </c>
      <c r="D26" s="60">
        <f t="shared" si="1"/>
        <v>0</v>
      </c>
      <c r="E26" s="60">
        <f t="shared" si="2"/>
        <v>0</v>
      </c>
      <c r="F26" s="60">
        <f t="shared" si="3"/>
        <v>0</v>
      </c>
      <c r="G26" s="60">
        <f t="shared" si="4"/>
        <v>0</v>
      </c>
      <c r="H26" s="27"/>
      <c r="I26" s="27"/>
      <c r="J26" s="27"/>
      <c r="K26" s="27"/>
      <c r="L26" s="27"/>
      <c r="M26" s="27"/>
      <c r="N26" s="27"/>
      <c r="O26" s="27"/>
      <c r="P26" s="27"/>
    </row>
    <row r="27" spans="1:16" x14ac:dyDescent="0.2">
      <c r="A27" s="60">
        <f t="shared" ref="A27:A90" si="6">CEILING((B27/(12/$F$7)),1)</f>
        <v>13</v>
      </c>
      <c r="B27" s="59">
        <v>13</v>
      </c>
      <c r="C27" s="60">
        <f t="shared" si="5"/>
        <v>0</v>
      </c>
      <c r="D27" s="60">
        <f t="shared" si="1"/>
        <v>0</v>
      </c>
      <c r="E27" s="60">
        <f t="shared" si="2"/>
        <v>0</v>
      </c>
      <c r="F27" s="60">
        <f t="shared" si="3"/>
        <v>0</v>
      </c>
      <c r="G27" s="60">
        <f t="shared" si="4"/>
        <v>0</v>
      </c>
      <c r="H27" s="27"/>
      <c r="I27" s="27"/>
      <c r="J27" s="27"/>
      <c r="K27" s="27"/>
      <c r="L27" s="27"/>
      <c r="M27" s="27"/>
      <c r="N27" s="27"/>
      <c r="O27" s="27"/>
      <c r="P27" s="27"/>
    </row>
    <row r="28" spans="1:16" x14ac:dyDescent="0.2">
      <c r="A28" s="60">
        <f t="shared" si="6"/>
        <v>14</v>
      </c>
      <c r="B28" s="59">
        <v>14</v>
      </c>
      <c r="C28" s="60">
        <f t="shared" si="5"/>
        <v>0</v>
      </c>
      <c r="D28" s="60">
        <f t="shared" si="1"/>
        <v>0</v>
      </c>
      <c r="E28" s="60">
        <f t="shared" si="2"/>
        <v>0</v>
      </c>
      <c r="F28" s="60">
        <f t="shared" si="3"/>
        <v>0</v>
      </c>
      <c r="G28" s="60">
        <f t="shared" si="4"/>
        <v>0</v>
      </c>
      <c r="H28" s="27"/>
      <c r="I28" s="27"/>
      <c r="J28" s="27"/>
      <c r="K28" s="27"/>
      <c r="L28" s="27"/>
      <c r="M28" s="27"/>
      <c r="N28" s="27"/>
      <c r="O28" s="27"/>
      <c r="P28" s="27"/>
    </row>
    <row r="29" spans="1:16" x14ac:dyDescent="0.2">
      <c r="A29" s="60">
        <f t="shared" si="6"/>
        <v>15</v>
      </c>
      <c r="B29" s="59">
        <v>15</v>
      </c>
      <c r="C29" s="60">
        <f t="shared" si="5"/>
        <v>0</v>
      </c>
      <c r="D29" s="60">
        <f t="shared" si="1"/>
        <v>0</v>
      </c>
      <c r="E29" s="60">
        <f t="shared" si="2"/>
        <v>0</v>
      </c>
      <c r="F29" s="60">
        <f t="shared" si="3"/>
        <v>0</v>
      </c>
      <c r="G29" s="60">
        <f t="shared" si="4"/>
        <v>0</v>
      </c>
      <c r="H29" s="27"/>
      <c r="I29" s="27"/>
      <c r="J29" s="27"/>
      <c r="K29" s="27"/>
      <c r="L29" s="27"/>
      <c r="M29" s="27"/>
      <c r="N29" s="27"/>
      <c r="O29" s="27"/>
      <c r="P29" s="27"/>
    </row>
    <row r="30" spans="1:16" x14ac:dyDescent="0.2">
      <c r="A30" s="60">
        <f t="shared" si="6"/>
        <v>16</v>
      </c>
      <c r="B30" s="59">
        <v>16</v>
      </c>
      <c r="C30" s="60">
        <f t="shared" si="5"/>
        <v>0</v>
      </c>
      <c r="D30" s="60">
        <f t="shared" si="1"/>
        <v>0</v>
      </c>
      <c r="E30" s="60">
        <f t="shared" si="2"/>
        <v>0</v>
      </c>
      <c r="F30" s="60">
        <f t="shared" si="3"/>
        <v>0</v>
      </c>
      <c r="G30" s="60">
        <f t="shared" si="4"/>
        <v>0</v>
      </c>
      <c r="H30" s="27"/>
      <c r="I30" s="27"/>
      <c r="J30" s="27"/>
      <c r="K30" s="27"/>
      <c r="L30" s="27"/>
      <c r="M30" s="27"/>
      <c r="N30" s="27"/>
      <c r="O30" s="27"/>
      <c r="P30" s="27"/>
    </row>
    <row r="31" spans="1:16" x14ac:dyDescent="0.2">
      <c r="A31" s="60">
        <f t="shared" si="6"/>
        <v>17</v>
      </c>
      <c r="B31" s="59">
        <v>17</v>
      </c>
      <c r="C31" s="60">
        <f t="shared" si="5"/>
        <v>0</v>
      </c>
      <c r="D31" s="60">
        <f t="shared" si="1"/>
        <v>0</v>
      </c>
      <c r="E31" s="60">
        <f t="shared" si="2"/>
        <v>0</v>
      </c>
      <c r="F31" s="60">
        <f t="shared" si="3"/>
        <v>0</v>
      </c>
      <c r="G31" s="60">
        <f t="shared" si="4"/>
        <v>0</v>
      </c>
      <c r="H31" s="27"/>
      <c r="I31" s="27"/>
      <c r="J31" s="27"/>
      <c r="K31" s="27"/>
      <c r="L31" s="27"/>
      <c r="M31" s="27"/>
      <c r="N31" s="27"/>
      <c r="O31" s="27"/>
      <c r="P31" s="27"/>
    </row>
    <row r="32" spans="1:16" x14ac:dyDescent="0.2">
      <c r="A32" s="60">
        <f t="shared" si="6"/>
        <v>18</v>
      </c>
      <c r="B32" s="59">
        <v>18</v>
      </c>
      <c r="C32" s="60">
        <f t="shared" si="5"/>
        <v>0</v>
      </c>
      <c r="D32" s="60">
        <f t="shared" si="1"/>
        <v>0</v>
      </c>
      <c r="E32" s="60">
        <f t="shared" si="2"/>
        <v>0</v>
      </c>
      <c r="F32" s="60">
        <f t="shared" si="3"/>
        <v>0</v>
      </c>
      <c r="G32" s="60">
        <f t="shared" si="4"/>
        <v>0</v>
      </c>
      <c r="H32" s="27"/>
      <c r="I32" s="27"/>
      <c r="J32" s="27"/>
      <c r="K32" s="27"/>
      <c r="L32" s="27"/>
      <c r="M32" s="27"/>
      <c r="N32" s="27"/>
      <c r="O32" s="27"/>
      <c r="P32" s="27"/>
    </row>
    <row r="33" spans="1:16" x14ac:dyDescent="0.2">
      <c r="A33" s="60">
        <f t="shared" si="6"/>
        <v>19</v>
      </c>
      <c r="B33" s="59">
        <v>19</v>
      </c>
      <c r="C33" s="60">
        <f t="shared" si="5"/>
        <v>0</v>
      </c>
      <c r="D33" s="60">
        <f t="shared" si="1"/>
        <v>0</v>
      </c>
      <c r="E33" s="60">
        <f t="shared" si="2"/>
        <v>0</v>
      </c>
      <c r="F33" s="60">
        <f t="shared" si="3"/>
        <v>0</v>
      </c>
      <c r="G33" s="60">
        <f t="shared" si="4"/>
        <v>0</v>
      </c>
      <c r="H33" s="27"/>
      <c r="I33" s="27"/>
      <c r="J33" s="27"/>
      <c r="K33" s="27"/>
      <c r="L33" s="27"/>
      <c r="M33" s="27"/>
      <c r="N33" s="27"/>
      <c r="O33" s="27"/>
      <c r="P33" s="27"/>
    </row>
    <row r="34" spans="1:16" x14ac:dyDescent="0.2">
      <c r="A34" s="60">
        <f t="shared" si="6"/>
        <v>20</v>
      </c>
      <c r="B34" s="59">
        <v>20</v>
      </c>
      <c r="C34" s="60">
        <f t="shared" si="5"/>
        <v>0</v>
      </c>
      <c r="D34" s="60">
        <f t="shared" si="1"/>
        <v>0</v>
      </c>
      <c r="E34" s="60">
        <f t="shared" si="2"/>
        <v>0</v>
      </c>
      <c r="F34" s="60">
        <f t="shared" si="3"/>
        <v>0</v>
      </c>
      <c r="G34" s="60">
        <f t="shared" si="4"/>
        <v>0</v>
      </c>
      <c r="H34" s="27"/>
      <c r="I34" s="27"/>
      <c r="J34" s="27"/>
      <c r="K34" s="27"/>
      <c r="L34" s="27"/>
      <c r="M34" s="27"/>
      <c r="N34" s="27"/>
      <c r="O34" s="27"/>
      <c r="P34" s="27"/>
    </row>
    <row r="35" spans="1:16" x14ac:dyDescent="0.2">
      <c r="A35" s="60">
        <f t="shared" si="6"/>
        <v>21</v>
      </c>
      <c r="B35" s="59">
        <v>21</v>
      </c>
      <c r="C35" s="60">
        <f t="shared" si="5"/>
        <v>0</v>
      </c>
      <c r="D35" s="60">
        <f t="shared" si="1"/>
        <v>0</v>
      </c>
      <c r="E35" s="60">
        <f t="shared" si="2"/>
        <v>0</v>
      </c>
      <c r="F35" s="60">
        <f t="shared" si="3"/>
        <v>0</v>
      </c>
      <c r="G35" s="60">
        <f t="shared" si="4"/>
        <v>0</v>
      </c>
      <c r="H35" s="27"/>
      <c r="I35" s="27"/>
      <c r="J35" s="27"/>
      <c r="K35" s="27"/>
      <c r="L35" s="27"/>
      <c r="M35" s="27"/>
      <c r="N35" s="27"/>
      <c r="O35" s="27"/>
      <c r="P35" s="27"/>
    </row>
    <row r="36" spans="1:16" x14ac:dyDescent="0.2">
      <c r="A36" s="60">
        <f t="shared" si="6"/>
        <v>22</v>
      </c>
      <c r="B36" s="59">
        <v>22</v>
      </c>
      <c r="C36" s="60">
        <f t="shared" si="5"/>
        <v>0</v>
      </c>
      <c r="D36" s="60">
        <f t="shared" si="1"/>
        <v>0</v>
      </c>
      <c r="E36" s="60">
        <f t="shared" si="2"/>
        <v>0</v>
      </c>
      <c r="F36" s="60">
        <f t="shared" si="3"/>
        <v>0</v>
      </c>
      <c r="G36" s="60">
        <f t="shared" si="4"/>
        <v>0</v>
      </c>
      <c r="H36" s="27"/>
      <c r="I36" s="27"/>
      <c r="J36" s="27"/>
      <c r="K36" s="27"/>
      <c r="L36" s="27"/>
      <c r="M36" s="27"/>
      <c r="N36" s="27"/>
      <c r="O36" s="27"/>
      <c r="P36" s="27"/>
    </row>
    <row r="37" spans="1:16" x14ac:dyDescent="0.2">
      <c r="A37" s="60">
        <f t="shared" si="6"/>
        <v>23</v>
      </c>
      <c r="B37" s="59">
        <v>23</v>
      </c>
      <c r="C37" s="60">
        <f t="shared" si="5"/>
        <v>0</v>
      </c>
      <c r="D37" s="60">
        <f t="shared" si="1"/>
        <v>0</v>
      </c>
      <c r="E37" s="60">
        <f t="shared" si="2"/>
        <v>0</v>
      </c>
      <c r="F37" s="60">
        <f t="shared" si="3"/>
        <v>0</v>
      </c>
      <c r="G37" s="60">
        <f t="shared" si="4"/>
        <v>0</v>
      </c>
      <c r="H37" s="27"/>
      <c r="I37" s="27"/>
      <c r="J37" s="27"/>
      <c r="K37" s="27"/>
      <c r="L37" s="27"/>
      <c r="M37" s="27"/>
      <c r="N37" s="27"/>
      <c r="O37" s="27"/>
      <c r="P37" s="27"/>
    </row>
    <row r="38" spans="1:16" x14ac:dyDescent="0.2">
      <c r="A38" s="60">
        <f t="shared" si="6"/>
        <v>24</v>
      </c>
      <c r="B38" s="59">
        <v>24</v>
      </c>
      <c r="C38" s="60">
        <f t="shared" si="5"/>
        <v>0</v>
      </c>
      <c r="D38" s="60">
        <f t="shared" si="1"/>
        <v>0</v>
      </c>
      <c r="E38" s="60">
        <f t="shared" si="2"/>
        <v>0</v>
      </c>
      <c r="F38" s="60">
        <f t="shared" si="3"/>
        <v>0</v>
      </c>
      <c r="G38" s="60">
        <f t="shared" si="4"/>
        <v>0</v>
      </c>
      <c r="H38" s="27"/>
      <c r="I38" s="27"/>
      <c r="J38" s="27"/>
      <c r="K38" s="27"/>
      <c r="L38" s="27"/>
      <c r="M38" s="27"/>
      <c r="N38" s="27"/>
      <c r="O38" s="27"/>
      <c r="P38" s="27"/>
    </row>
    <row r="39" spans="1:16" x14ac:dyDescent="0.2">
      <c r="A39" s="60">
        <f t="shared" si="6"/>
        <v>25</v>
      </c>
      <c r="B39" s="59">
        <v>25</v>
      </c>
      <c r="C39" s="60">
        <f t="shared" si="5"/>
        <v>0</v>
      </c>
      <c r="D39" s="60">
        <f t="shared" si="1"/>
        <v>0</v>
      </c>
      <c r="E39" s="60">
        <f t="shared" si="2"/>
        <v>0</v>
      </c>
      <c r="F39" s="60">
        <f t="shared" si="3"/>
        <v>0</v>
      </c>
      <c r="G39" s="60">
        <f t="shared" si="4"/>
        <v>0</v>
      </c>
      <c r="H39" s="27"/>
      <c r="I39" s="27"/>
      <c r="J39" s="27"/>
      <c r="K39" s="27"/>
      <c r="L39" s="27"/>
      <c r="M39" s="27"/>
      <c r="N39" s="27"/>
      <c r="O39" s="27"/>
      <c r="P39" s="27"/>
    </row>
    <row r="40" spans="1:16" x14ac:dyDescent="0.2">
      <c r="A40" s="60">
        <f t="shared" si="6"/>
        <v>26</v>
      </c>
      <c r="B40" s="59">
        <v>26</v>
      </c>
      <c r="C40" s="60">
        <f t="shared" si="5"/>
        <v>0</v>
      </c>
      <c r="D40" s="60">
        <f t="shared" si="1"/>
        <v>0</v>
      </c>
      <c r="E40" s="60">
        <f t="shared" si="2"/>
        <v>0</v>
      </c>
      <c r="F40" s="60">
        <f t="shared" si="3"/>
        <v>0</v>
      </c>
      <c r="G40" s="60">
        <f t="shared" si="4"/>
        <v>0</v>
      </c>
      <c r="H40" s="27"/>
      <c r="I40" s="27"/>
      <c r="J40" s="27"/>
      <c r="K40" s="27"/>
      <c r="L40" s="27"/>
      <c r="M40" s="27"/>
      <c r="N40" s="27"/>
      <c r="O40" s="27"/>
      <c r="P40" s="27"/>
    </row>
    <row r="41" spans="1:16" x14ac:dyDescent="0.2">
      <c r="A41" s="60">
        <f t="shared" si="6"/>
        <v>27</v>
      </c>
      <c r="B41" s="59">
        <v>27</v>
      </c>
      <c r="C41" s="60">
        <f t="shared" si="5"/>
        <v>0</v>
      </c>
      <c r="D41" s="60">
        <f t="shared" si="1"/>
        <v>0</v>
      </c>
      <c r="E41" s="60">
        <f t="shared" si="2"/>
        <v>0</v>
      </c>
      <c r="F41" s="60">
        <f t="shared" si="3"/>
        <v>0</v>
      </c>
      <c r="G41" s="60">
        <f t="shared" si="4"/>
        <v>0</v>
      </c>
      <c r="H41" s="27"/>
      <c r="I41" s="27"/>
      <c r="J41" s="27"/>
      <c r="K41" s="27"/>
      <c r="L41" s="27"/>
      <c r="M41" s="27"/>
      <c r="N41" s="27"/>
      <c r="O41" s="27"/>
      <c r="P41" s="27"/>
    </row>
    <row r="42" spans="1:16" x14ac:dyDescent="0.2">
      <c r="A42" s="60">
        <f t="shared" si="6"/>
        <v>28</v>
      </c>
      <c r="B42" s="59">
        <v>28</v>
      </c>
      <c r="C42" s="60">
        <f t="shared" si="5"/>
        <v>0</v>
      </c>
      <c r="D42" s="60">
        <f t="shared" si="1"/>
        <v>0</v>
      </c>
      <c r="E42" s="60">
        <f t="shared" si="2"/>
        <v>0</v>
      </c>
      <c r="F42" s="60">
        <f t="shared" si="3"/>
        <v>0</v>
      </c>
      <c r="G42" s="60">
        <f t="shared" si="4"/>
        <v>0</v>
      </c>
      <c r="H42" s="27"/>
      <c r="I42" s="27"/>
      <c r="J42" s="27"/>
      <c r="K42" s="27"/>
      <c r="L42" s="27"/>
      <c r="M42" s="27"/>
      <c r="N42" s="27"/>
      <c r="O42" s="27"/>
      <c r="P42" s="27"/>
    </row>
    <row r="43" spans="1:16" x14ac:dyDescent="0.2">
      <c r="A43" s="60">
        <f t="shared" si="6"/>
        <v>29</v>
      </c>
      <c r="B43" s="59">
        <v>29</v>
      </c>
      <c r="C43" s="60">
        <f t="shared" si="5"/>
        <v>0</v>
      </c>
      <c r="D43" s="60">
        <f t="shared" si="1"/>
        <v>0</v>
      </c>
      <c r="E43" s="60">
        <f t="shared" si="2"/>
        <v>0</v>
      </c>
      <c r="F43" s="60">
        <f t="shared" si="3"/>
        <v>0</v>
      </c>
      <c r="G43" s="60">
        <f t="shared" si="4"/>
        <v>0</v>
      </c>
      <c r="H43" s="27"/>
      <c r="I43" s="27"/>
      <c r="J43" s="27"/>
      <c r="K43" s="27"/>
      <c r="L43" s="27"/>
      <c r="M43" s="27"/>
      <c r="N43" s="27"/>
      <c r="O43" s="27"/>
      <c r="P43" s="27"/>
    </row>
    <row r="44" spans="1:16" x14ac:dyDescent="0.2">
      <c r="A44" s="60">
        <f t="shared" si="6"/>
        <v>30</v>
      </c>
      <c r="B44" s="59">
        <v>30</v>
      </c>
      <c r="C44" s="60">
        <f t="shared" si="5"/>
        <v>0</v>
      </c>
      <c r="D44" s="60">
        <f t="shared" si="1"/>
        <v>0</v>
      </c>
      <c r="E44" s="60">
        <f t="shared" si="2"/>
        <v>0</v>
      </c>
      <c r="F44" s="60">
        <f t="shared" si="3"/>
        <v>0</v>
      </c>
      <c r="G44" s="60">
        <f t="shared" si="4"/>
        <v>0</v>
      </c>
      <c r="H44" s="27"/>
      <c r="I44" s="27"/>
      <c r="J44" s="27"/>
      <c r="K44" s="27"/>
      <c r="L44" s="27"/>
      <c r="M44" s="27"/>
      <c r="N44" s="27"/>
      <c r="O44" s="27"/>
      <c r="P44" s="27"/>
    </row>
    <row r="45" spans="1:16" x14ac:dyDescent="0.2">
      <c r="A45" s="60">
        <f t="shared" si="6"/>
        <v>31</v>
      </c>
      <c r="B45" s="59">
        <v>31</v>
      </c>
      <c r="C45" s="60">
        <f t="shared" si="5"/>
        <v>0</v>
      </c>
      <c r="D45" s="60">
        <f t="shared" si="1"/>
        <v>0</v>
      </c>
      <c r="E45" s="60">
        <f t="shared" si="2"/>
        <v>0</v>
      </c>
      <c r="F45" s="60">
        <f t="shared" si="3"/>
        <v>0</v>
      </c>
      <c r="G45" s="60">
        <f t="shared" si="4"/>
        <v>0</v>
      </c>
      <c r="H45" s="27"/>
      <c r="I45" s="27"/>
      <c r="J45" s="27"/>
      <c r="K45" s="27"/>
      <c r="L45" s="27"/>
      <c r="M45" s="27"/>
      <c r="N45" s="27"/>
      <c r="O45" s="27"/>
      <c r="P45" s="27"/>
    </row>
    <row r="46" spans="1:16" x14ac:dyDescent="0.2">
      <c r="A46" s="60">
        <f t="shared" si="6"/>
        <v>32</v>
      </c>
      <c r="B46" s="59">
        <v>32</v>
      </c>
      <c r="C46" s="60">
        <f t="shared" si="5"/>
        <v>0</v>
      </c>
      <c r="D46" s="60">
        <f t="shared" si="1"/>
        <v>0</v>
      </c>
      <c r="E46" s="60">
        <f t="shared" si="2"/>
        <v>0</v>
      </c>
      <c r="F46" s="60">
        <f t="shared" si="3"/>
        <v>0</v>
      </c>
      <c r="G46" s="60">
        <f t="shared" si="4"/>
        <v>0</v>
      </c>
      <c r="H46" s="27"/>
      <c r="I46" s="27"/>
      <c r="J46" s="27"/>
      <c r="K46" s="27"/>
      <c r="L46" s="27"/>
      <c r="M46" s="27"/>
      <c r="N46" s="27"/>
      <c r="O46" s="27"/>
      <c r="P46" s="27"/>
    </row>
    <row r="47" spans="1:16" x14ac:dyDescent="0.2">
      <c r="A47" s="60">
        <f t="shared" si="6"/>
        <v>33</v>
      </c>
      <c r="B47" s="59">
        <v>33</v>
      </c>
      <c r="C47" s="60">
        <f t="shared" si="5"/>
        <v>0</v>
      </c>
      <c r="D47" s="60">
        <f t="shared" si="1"/>
        <v>0</v>
      </c>
      <c r="E47" s="60">
        <f t="shared" si="2"/>
        <v>0</v>
      </c>
      <c r="F47" s="60">
        <f t="shared" si="3"/>
        <v>0</v>
      </c>
      <c r="G47" s="60">
        <f t="shared" si="4"/>
        <v>0</v>
      </c>
      <c r="H47" s="27"/>
      <c r="I47" s="27"/>
      <c r="J47" s="27"/>
      <c r="K47" s="27"/>
      <c r="L47" s="27"/>
      <c r="M47" s="27"/>
      <c r="N47" s="27"/>
      <c r="O47" s="27"/>
      <c r="P47" s="27"/>
    </row>
    <row r="48" spans="1:16" x14ac:dyDescent="0.2">
      <c r="A48" s="60">
        <f t="shared" si="6"/>
        <v>34</v>
      </c>
      <c r="B48" s="59">
        <v>34</v>
      </c>
      <c r="C48" s="60">
        <f t="shared" si="5"/>
        <v>0</v>
      </c>
      <c r="D48" s="60">
        <f t="shared" si="1"/>
        <v>0</v>
      </c>
      <c r="E48" s="60">
        <f t="shared" si="2"/>
        <v>0</v>
      </c>
      <c r="F48" s="60">
        <f t="shared" si="3"/>
        <v>0</v>
      </c>
      <c r="G48" s="60">
        <f t="shared" si="4"/>
        <v>0</v>
      </c>
      <c r="H48" s="27"/>
      <c r="I48" s="27"/>
      <c r="J48" s="27"/>
      <c r="K48" s="27"/>
      <c r="L48" s="27"/>
      <c r="M48" s="27"/>
      <c r="N48" s="27"/>
      <c r="O48" s="27"/>
      <c r="P48" s="27"/>
    </row>
    <row r="49" spans="1:16" x14ac:dyDescent="0.2">
      <c r="A49" s="60">
        <f t="shared" si="6"/>
        <v>35</v>
      </c>
      <c r="B49" s="59">
        <v>35</v>
      </c>
      <c r="C49" s="60">
        <f t="shared" si="5"/>
        <v>0</v>
      </c>
      <c r="D49" s="60">
        <f t="shared" si="1"/>
        <v>0</v>
      </c>
      <c r="E49" s="60">
        <f t="shared" si="2"/>
        <v>0</v>
      </c>
      <c r="F49" s="60">
        <f t="shared" si="3"/>
        <v>0</v>
      </c>
      <c r="G49" s="60">
        <f t="shared" si="4"/>
        <v>0</v>
      </c>
      <c r="H49" s="27"/>
      <c r="I49" s="27"/>
      <c r="J49" s="27"/>
      <c r="K49" s="27"/>
      <c r="L49" s="27"/>
      <c r="M49" s="27"/>
      <c r="N49" s="27"/>
      <c r="O49" s="27"/>
      <c r="P49" s="27"/>
    </row>
    <row r="50" spans="1:16" x14ac:dyDescent="0.2">
      <c r="A50" s="60">
        <f t="shared" si="6"/>
        <v>36</v>
      </c>
      <c r="B50" s="59">
        <v>36</v>
      </c>
      <c r="C50" s="60">
        <f t="shared" si="5"/>
        <v>0</v>
      </c>
      <c r="D50" s="60">
        <f t="shared" si="1"/>
        <v>0</v>
      </c>
      <c r="E50" s="60">
        <f t="shared" si="2"/>
        <v>0</v>
      </c>
      <c r="F50" s="60">
        <f t="shared" si="3"/>
        <v>0</v>
      </c>
      <c r="G50" s="60">
        <f t="shared" si="4"/>
        <v>0</v>
      </c>
      <c r="H50" s="27"/>
      <c r="I50" s="27"/>
      <c r="J50" s="27"/>
      <c r="K50" s="27"/>
      <c r="L50" s="27"/>
      <c r="M50" s="27"/>
      <c r="N50" s="27"/>
      <c r="O50" s="27"/>
      <c r="P50" s="27"/>
    </row>
    <row r="51" spans="1:16" x14ac:dyDescent="0.2">
      <c r="A51" s="60">
        <f t="shared" si="6"/>
        <v>37</v>
      </c>
      <c r="B51" s="59">
        <v>37</v>
      </c>
      <c r="C51" s="60">
        <f t="shared" si="5"/>
        <v>0</v>
      </c>
      <c r="D51" s="60">
        <f t="shared" si="1"/>
        <v>0</v>
      </c>
      <c r="E51" s="60">
        <f t="shared" si="2"/>
        <v>0</v>
      </c>
      <c r="F51" s="60">
        <f t="shared" si="3"/>
        <v>0</v>
      </c>
      <c r="G51" s="60">
        <f t="shared" si="4"/>
        <v>0</v>
      </c>
      <c r="H51" s="27"/>
      <c r="I51" s="27"/>
      <c r="J51" s="27"/>
      <c r="K51" s="27"/>
      <c r="L51" s="27"/>
      <c r="M51" s="27"/>
      <c r="N51" s="27"/>
      <c r="O51" s="27"/>
      <c r="P51" s="27"/>
    </row>
    <row r="52" spans="1:16" x14ac:dyDescent="0.2">
      <c r="A52" s="60">
        <f t="shared" si="6"/>
        <v>38</v>
      </c>
      <c r="B52" s="59">
        <v>38</v>
      </c>
      <c r="C52" s="60">
        <f t="shared" si="5"/>
        <v>0</v>
      </c>
      <c r="D52" s="60">
        <f t="shared" si="1"/>
        <v>0</v>
      </c>
      <c r="E52" s="60">
        <f t="shared" si="2"/>
        <v>0</v>
      </c>
      <c r="F52" s="60">
        <f t="shared" si="3"/>
        <v>0</v>
      </c>
      <c r="G52" s="60">
        <f t="shared" si="4"/>
        <v>0</v>
      </c>
      <c r="H52" s="27"/>
      <c r="I52" s="27"/>
      <c r="J52" s="27"/>
      <c r="K52" s="27"/>
      <c r="L52" s="27"/>
      <c r="M52" s="27"/>
      <c r="N52" s="27"/>
      <c r="O52" s="27"/>
      <c r="P52" s="27"/>
    </row>
    <row r="53" spans="1:16" x14ac:dyDescent="0.2">
      <c r="A53" s="60">
        <f t="shared" si="6"/>
        <v>39</v>
      </c>
      <c r="B53" s="59">
        <v>39</v>
      </c>
      <c r="C53" s="60">
        <f t="shared" si="5"/>
        <v>0</v>
      </c>
      <c r="D53" s="60">
        <f t="shared" si="1"/>
        <v>0</v>
      </c>
      <c r="E53" s="60">
        <f t="shared" si="2"/>
        <v>0</v>
      </c>
      <c r="F53" s="60">
        <f t="shared" si="3"/>
        <v>0</v>
      </c>
      <c r="G53" s="60">
        <f t="shared" si="4"/>
        <v>0</v>
      </c>
      <c r="H53" s="27"/>
      <c r="I53" s="27"/>
      <c r="J53" s="27"/>
      <c r="K53" s="27"/>
      <c r="L53" s="27"/>
      <c r="M53" s="27"/>
      <c r="N53" s="27"/>
      <c r="O53" s="27"/>
      <c r="P53" s="27"/>
    </row>
    <row r="54" spans="1:16" x14ac:dyDescent="0.2">
      <c r="A54" s="60">
        <f t="shared" si="6"/>
        <v>40</v>
      </c>
      <c r="B54" s="59">
        <v>40</v>
      </c>
      <c r="C54" s="60">
        <f t="shared" si="5"/>
        <v>0</v>
      </c>
      <c r="D54" s="60">
        <f t="shared" si="1"/>
        <v>0</v>
      </c>
      <c r="E54" s="60">
        <f t="shared" si="2"/>
        <v>0</v>
      </c>
      <c r="F54" s="60">
        <f t="shared" si="3"/>
        <v>0</v>
      </c>
      <c r="G54" s="60">
        <f t="shared" si="4"/>
        <v>0</v>
      </c>
      <c r="H54" s="27"/>
      <c r="I54" s="27"/>
      <c r="J54" s="27"/>
      <c r="K54" s="27"/>
      <c r="L54" s="27"/>
      <c r="M54" s="27"/>
      <c r="N54" s="27"/>
      <c r="O54" s="27"/>
      <c r="P54" s="27"/>
    </row>
    <row r="55" spans="1:16" x14ac:dyDescent="0.2">
      <c r="A55" s="60">
        <f t="shared" si="6"/>
        <v>41</v>
      </c>
      <c r="B55" s="59">
        <v>41</v>
      </c>
      <c r="C55" s="60">
        <f t="shared" si="5"/>
        <v>0</v>
      </c>
      <c r="D55" s="60">
        <f t="shared" si="1"/>
        <v>0</v>
      </c>
      <c r="E55" s="60">
        <f t="shared" si="2"/>
        <v>0</v>
      </c>
      <c r="F55" s="60">
        <f t="shared" si="3"/>
        <v>0</v>
      </c>
      <c r="G55" s="60">
        <f t="shared" si="4"/>
        <v>0</v>
      </c>
      <c r="H55" s="27"/>
      <c r="I55" s="27"/>
      <c r="J55" s="27"/>
      <c r="K55" s="27"/>
      <c r="L55" s="27"/>
      <c r="M55" s="27"/>
      <c r="N55" s="27"/>
      <c r="O55" s="27"/>
      <c r="P55" s="27"/>
    </row>
    <row r="56" spans="1:16" x14ac:dyDescent="0.2">
      <c r="A56" s="60">
        <f t="shared" si="6"/>
        <v>42</v>
      </c>
      <c r="B56" s="59">
        <v>42</v>
      </c>
      <c r="C56" s="60">
        <f t="shared" si="5"/>
        <v>0</v>
      </c>
      <c r="D56" s="60">
        <f t="shared" si="1"/>
        <v>0</v>
      </c>
      <c r="E56" s="60">
        <f t="shared" si="2"/>
        <v>0</v>
      </c>
      <c r="F56" s="60">
        <f t="shared" si="3"/>
        <v>0</v>
      </c>
      <c r="G56" s="60">
        <f t="shared" si="4"/>
        <v>0</v>
      </c>
      <c r="H56" s="27"/>
      <c r="I56" s="27"/>
      <c r="J56" s="27"/>
      <c r="K56" s="27"/>
      <c r="L56" s="27"/>
      <c r="M56" s="27"/>
      <c r="N56" s="27"/>
      <c r="O56" s="27"/>
      <c r="P56" s="27"/>
    </row>
    <row r="57" spans="1:16" x14ac:dyDescent="0.2">
      <c r="A57" s="60">
        <f t="shared" si="6"/>
        <v>43</v>
      </c>
      <c r="B57" s="59">
        <v>43</v>
      </c>
      <c r="C57" s="60">
        <f t="shared" si="5"/>
        <v>0</v>
      </c>
      <c r="D57" s="60">
        <f t="shared" si="1"/>
        <v>0</v>
      </c>
      <c r="E57" s="60">
        <f t="shared" si="2"/>
        <v>0</v>
      </c>
      <c r="F57" s="60">
        <f t="shared" si="3"/>
        <v>0</v>
      </c>
      <c r="G57" s="60">
        <f t="shared" si="4"/>
        <v>0</v>
      </c>
      <c r="H57" s="27"/>
      <c r="I57" s="27"/>
      <c r="J57" s="27"/>
      <c r="K57" s="27"/>
      <c r="L57" s="27"/>
      <c r="M57" s="27"/>
      <c r="N57" s="27"/>
      <c r="O57" s="27"/>
      <c r="P57" s="27"/>
    </row>
    <row r="58" spans="1:16" x14ac:dyDescent="0.2">
      <c r="A58" s="60">
        <f t="shared" si="6"/>
        <v>44</v>
      </c>
      <c r="B58" s="59">
        <v>44</v>
      </c>
      <c r="C58" s="60">
        <f t="shared" si="5"/>
        <v>0</v>
      </c>
      <c r="D58" s="60">
        <f t="shared" si="1"/>
        <v>0</v>
      </c>
      <c r="E58" s="60">
        <f t="shared" si="2"/>
        <v>0</v>
      </c>
      <c r="F58" s="60">
        <f t="shared" si="3"/>
        <v>0</v>
      </c>
      <c r="G58" s="60">
        <f t="shared" si="4"/>
        <v>0</v>
      </c>
      <c r="H58" s="27"/>
      <c r="I58" s="27"/>
      <c r="J58" s="27"/>
      <c r="K58" s="27"/>
      <c r="L58" s="27"/>
      <c r="M58" s="27"/>
      <c r="N58" s="27"/>
      <c r="O58" s="27"/>
      <c r="P58" s="27"/>
    </row>
    <row r="59" spans="1:16" x14ac:dyDescent="0.2">
      <c r="A59" s="60">
        <f t="shared" si="6"/>
        <v>45</v>
      </c>
      <c r="B59" s="59">
        <v>45</v>
      </c>
      <c r="C59" s="60">
        <f t="shared" si="5"/>
        <v>0</v>
      </c>
      <c r="D59" s="60">
        <f t="shared" si="1"/>
        <v>0</v>
      </c>
      <c r="E59" s="60">
        <f t="shared" si="2"/>
        <v>0</v>
      </c>
      <c r="F59" s="60">
        <f t="shared" si="3"/>
        <v>0</v>
      </c>
      <c r="G59" s="60">
        <f t="shared" si="4"/>
        <v>0</v>
      </c>
      <c r="H59" s="37"/>
      <c r="I59" s="37"/>
      <c r="J59" s="27"/>
      <c r="K59" s="27"/>
      <c r="L59" s="27"/>
      <c r="M59" s="27"/>
      <c r="N59" s="27"/>
      <c r="O59" s="27"/>
      <c r="P59" s="27"/>
    </row>
    <row r="60" spans="1:16" x14ac:dyDescent="0.2">
      <c r="A60" s="60">
        <f t="shared" si="6"/>
        <v>46</v>
      </c>
      <c r="B60" s="59">
        <v>46</v>
      </c>
      <c r="C60" s="60">
        <f t="shared" si="5"/>
        <v>0</v>
      </c>
      <c r="D60" s="60">
        <f t="shared" si="1"/>
        <v>0</v>
      </c>
      <c r="E60" s="60">
        <f t="shared" si="2"/>
        <v>0</v>
      </c>
      <c r="F60" s="60">
        <f t="shared" si="3"/>
        <v>0</v>
      </c>
      <c r="G60" s="60">
        <f t="shared" si="4"/>
        <v>0</v>
      </c>
      <c r="H60" s="27"/>
      <c r="I60" s="27"/>
      <c r="J60" s="27"/>
      <c r="K60" s="27"/>
      <c r="L60" s="27"/>
      <c r="M60" s="27"/>
      <c r="N60" s="27"/>
      <c r="O60" s="27"/>
      <c r="P60" s="27"/>
    </row>
    <row r="61" spans="1:16" x14ac:dyDescent="0.2">
      <c r="A61" s="60">
        <f t="shared" si="6"/>
        <v>47</v>
      </c>
      <c r="B61" s="59">
        <v>47</v>
      </c>
      <c r="C61" s="60">
        <f t="shared" si="5"/>
        <v>0</v>
      </c>
      <c r="D61" s="60">
        <f t="shared" si="1"/>
        <v>0</v>
      </c>
      <c r="E61" s="60">
        <f t="shared" si="2"/>
        <v>0</v>
      </c>
      <c r="F61" s="60">
        <f t="shared" si="3"/>
        <v>0</v>
      </c>
      <c r="G61" s="60">
        <f t="shared" si="4"/>
        <v>0</v>
      </c>
      <c r="H61" s="27"/>
      <c r="I61" s="27"/>
      <c r="J61" s="27"/>
      <c r="K61" s="27"/>
      <c r="L61" s="27"/>
      <c r="M61" s="27"/>
      <c r="N61" s="27"/>
      <c r="O61" s="27"/>
      <c r="P61" s="27"/>
    </row>
    <row r="62" spans="1:16" x14ac:dyDescent="0.2">
      <c r="A62" s="60">
        <f t="shared" si="6"/>
        <v>48</v>
      </c>
      <c r="B62" s="59">
        <v>48</v>
      </c>
      <c r="C62" s="60">
        <f t="shared" si="5"/>
        <v>0</v>
      </c>
      <c r="D62" s="60">
        <f t="shared" si="1"/>
        <v>0</v>
      </c>
      <c r="E62" s="60">
        <f t="shared" si="2"/>
        <v>0</v>
      </c>
      <c r="F62" s="60">
        <f t="shared" si="3"/>
        <v>0</v>
      </c>
      <c r="G62" s="60">
        <f t="shared" si="4"/>
        <v>0</v>
      </c>
      <c r="H62" s="27"/>
      <c r="I62" s="27"/>
      <c r="J62" s="27"/>
      <c r="K62" s="27"/>
      <c r="L62" s="27"/>
      <c r="M62" s="27"/>
      <c r="N62" s="27"/>
      <c r="O62" s="27"/>
      <c r="P62" s="27"/>
    </row>
    <row r="63" spans="1:16" x14ac:dyDescent="0.2">
      <c r="A63" s="60">
        <f t="shared" si="6"/>
        <v>49</v>
      </c>
      <c r="B63" s="59">
        <v>49</v>
      </c>
      <c r="C63" s="60">
        <f t="shared" si="5"/>
        <v>0</v>
      </c>
      <c r="D63" s="60">
        <f t="shared" si="1"/>
        <v>0</v>
      </c>
      <c r="E63" s="60">
        <f t="shared" si="2"/>
        <v>0</v>
      </c>
      <c r="F63" s="60">
        <f t="shared" si="3"/>
        <v>0</v>
      </c>
      <c r="G63" s="60">
        <f t="shared" si="4"/>
        <v>0</v>
      </c>
      <c r="H63" s="27"/>
      <c r="I63" s="27"/>
      <c r="J63" s="27"/>
      <c r="K63" s="27"/>
      <c r="L63" s="27"/>
      <c r="M63" s="27"/>
      <c r="N63" s="27"/>
      <c r="O63" s="27"/>
      <c r="P63" s="27"/>
    </row>
    <row r="64" spans="1:16" x14ac:dyDescent="0.2">
      <c r="A64" s="60">
        <f t="shared" si="6"/>
        <v>50</v>
      </c>
      <c r="B64" s="59">
        <v>50</v>
      </c>
      <c r="C64" s="60">
        <f t="shared" si="5"/>
        <v>0</v>
      </c>
      <c r="D64" s="60">
        <f t="shared" si="1"/>
        <v>0</v>
      </c>
      <c r="E64" s="60">
        <f t="shared" si="2"/>
        <v>0</v>
      </c>
      <c r="F64" s="60">
        <f t="shared" si="3"/>
        <v>0</v>
      </c>
      <c r="G64" s="60">
        <f t="shared" si="4"/>
        <v>0</v>
      </c>
      <c r="H64" s="27"/>
      <c r="I64" s="27"/>
      <c r="J64" s="27"/>
      <c r="K64" s="27"/>
      <c r="L64" s="27"/>
      <c r="M64" s="27"/>
      <c r="N64" s="27"/>
      <c r="O64" s="27"/>
      <c r="P64" s="27"/>
    </row>
    <row r="65" spans="1:16" x14ac:dyDescent="0.2">
      <c r="A65" s="60">
        <f t="shared" si="6"/>
        <v>51</v>
      </c>
      <c r="B65" s="59">
        <v>51</v>
      </c>
      <c r="C65" s="60">
        <f t="shared" si="5"/>
        <v>0</v>
      </c>
      <c r="D65" s="60">
        <f t="shared" si="1"/>
        <v>0</v>
      </c>
      <c r="E65" s="60">
        <f t="shared" si="2"/>
        <v>0</v>
      </c>
      <c r="F65" s="60">
        <f t="shared" si="3"/>
        <v>0</v>
      </c>
      <c r="G65" s="60">
        <f t="shared" si="4"/>
        <v>0</v>
      </c>
      <c r="H65" s="27"/>
      <c r="I65" s="27"/>
      <c r="J65" s="27"/>
      <c r="K65" s="27"/>
      <c r="L65" s="27"/>
      <c r="M65" s="27"/>
      <c r="N65" s="27"/>
      <c r="O65" s="27"/>
      <c r="P65" s="27"/>
    </row>
    <row r="66" spans="1:16" x14ac:dyDescent="0.2">
      <c r="A66" s="60">
        <f t="shared" si="6"/>
        <v>52</v>
      </c>
      <c r="B66" s="59">
        <v>52</v>
      </c>
      <c r="C66" s="60">
        <f t="shared" si="5"/>
        <v>0</v>
      </c>
      <c r="D66" s="60">
        <f t="shared" si="1"/>
        <v>0</v>
      </c>
      <c r="E66" s="60">
        <f t="shared" si="2"/>
        <v>0</v>
      </c>
      <c r="F66" s="60">
        <f t="shared" si="3"/>
        <v>0</v>
      </c>
      <c r="G66" s="60">
        <f t="shared" si="4"/>
        <v>0</v>
      </c>
      <c r="H66" s="27"/>
      <c r="I66" s="27"/>
      <c r="J66" s="27"/>
      <c r="K66" s="27"/>
      <c r="L66" s="27"/>
      <c r="M66" s="27"/>
      <c r="N66" s="27"/>
      <c r="O66" s="27"/>
      <c r="P66" s="27"/>
    </row>
    <row r="67" spans="1:16" x14ac:dyDescent="0.2">
      <c r="A67" s="60">
        <f t="shared" si="6"/>
        <v>53</v>
      </c>
      <c r="B67" s="59">
        <v>53</v>
      </c>
      <c r="C67" s="60">
        <f t="shared" si="5"/>
        <v>0</v>
      </c>
      <c r="D67" s="60">
        <f t="shared" si="1"/>
        <v>0</v>
      </c>
      <c r="E67" s="60">
        <f t="shared" si="2"/>
        <v>0</v>
      </c>
      <c r="F67" s="60">
        <f t="shared" si="3"/>
        <v>0</v>
      </c>
      <c r="G67" s="60">
        <f t="shared" si="4"/>
        <v>0</v>
      </c>
      <c r="H67" s="27"/>
      <c r="I67" s="27"/>
      <c r="J67" s="27"/>
      <c r="K67" s="27"/>
      <c r="L67" s="27"/>
      <c r="M67" s="27"/>
      <c r="N67" s="27"/>
      <c r="O67" s="27"/>
      <c r="P67" s="27"/>
    </row>
    <row r="68" spans="1:16" x14ac:dyDescent="0.2">
      <c r="A68" s="60">
        <f t="shared" si="6"/>
        <v>54</v>
      </c>
      <c r="B68" s="59">
        <v>54</v>
      </c>
      <c r="C68" s="60">
        <f t="shared" si="5"/>
        <v>0</v>
      </c>
      <c r="D68" s="60">
        <f t="shared" si="1"/>
        <v>0</v>
      </c>
      <c r="E68" s="60">
        <f t="shared" si="2"/>
        <v>0</v>
      </c>
      <c r="F68" s="60">
        <f t="shared" si="3"/>
        <v>0</v>
      </c>
      <c r="G68" s="60">
        <f t="shared" si="4"/>
        <v>0</v>
      </c>
      <c r="H68" s="27"/>
      <c r="I68" s="27"/>
      <c r="J68" s="27"/>
      <c r="K68" s="27"/>
      <c r="L68" s="27"/>
      <c r="M68" s="27"/>
      <c r="N68" s="27"/>
      <c r="O68" s="27"/>
      <c r="P68" s="27"/>
    </row>
    <row r="69" spans="1:16" x14ac:dyDescent="0.2">
      <c r="A69" s="60">
        <f t="shared" si="6"/>
        <v>55</v>
      </c>
      <c r="B69" s="59">
        <v>55</v>
      </c>
      <c r="C69" s="60">
        <f t="shared" si="5"/>
        <v>0</v>
      </c>
      <c r="D69" s="60">
        <f t="shared" si="1"/>
        <v>0</v>
      </c>
      <c r="E69" s="60">
        <f t="shared" si="2"/>
        <v>0</v>
      </c>
      <c r="F69" s="60">
        <f t="shared" si="3"/>
        <v>0</v>
      </c>
      <c r="G69" s="60">
        <f t="shared" si="4"/>
        <v>0</v>
      </c>
      <c r="H69" s="27"/>
      <c r="I69" s="27"/>
      <c r="J69" s="27"/>
      <c r="K69" s="27"/>
      <c r="L69" s="27"/>
      <c r="M69" s="27"/>
      <c r="N69" s="27"/>
      <c r="O69" s="27"/>
      <c r="P69" s="27"/>
    </row>
    <row r="70" spans="1:16" x14ac:dyDescent="0.2">
      <c r="A70" s="60">
        <f t="shared" si="6"/>
        <v>56</v>
      </c>
      <c r="B70" s="59">
        <v>56</v>
      </c>
      <c r="C70" s="60">
        <f t="shared" si="5"/>
        <v>0</v>
      </c>
      <c r="D70" s="60">
        <f t="shared" si="1"/>
        <v>0</v>
      </c>
      <c r="E70" s="60">
        <f t="shared" si="2"/>
        <v>0</v>
      </c>
      <c r="F70" s="60">
        <f t="shared" si="3"/>
        <v>0</v>
      </c>
      <c r="G70" s="60">
        <f t="shared" si="4"/>
        <v>0</v>
      </c>
      <c r="H70" s="27"/>
      <c r="I70" s="27"/>
      <c r="J70" s="27"/>
      <c r="K70" s="27"/>
      <c r="L70" s="27"/>
      <c r="M70" s="27"/>
      <c r="N70" s="27"/>
      <c r="O70" s="27"/>
      <c r="P70" s="27"/>
    </row>
    <row r="71" spans="1:16" x14ac:dyDescent="0.2">
      <c r="A71" s="60">
        <f t="shared" si="6"/>
        <v>57</v>
      </c>
      <c r="B71" s="59">
        <v>57</v>
      </c>
      <c r="C71" s="60">
        <f t="shared" si="5"/>
        <v>0</v>
      </c>
      <c r="D71" s="60">
        <f t="shared" si="1"/>
        <v>0</v>
      </c>
      <c r="E71" s="60">
        <f t="shared" si="2"/>
        <v>0</v>
      </c>
      <c r="F71" s="60">
        <f t="shared" si="3"/>
        <v>0</v>
      </c>
      <c r="G71" s="60">
        <f t="shared" si="4"/>
        <v>0</v>
      </c>
      <c r="H71" s="27"/>
      <c r="I71" s="27"/>
      <c r="J71" s="27"/>
      <c r="K71" s="27"/>
      <c r="L71" s="27"/>
      <c r="M71" s="27"/>
      <c r="N71" s="27"/>
      <c r="O71" s="27"/>
      <c r="P71" s="27"/>
    </row>
    <row r="72" spans="1:16" x14ac:dyDescent="0.2">
      <c r="A72" s="60">
        <f t="shared" si="6"/>
        <v>58</v>
      </c>
      <c r="B72" s="59">
        <v>58</v>
      </c>
      <c r="C72" s="60">
        <f t="shared" si="5"/>
        <v>0</v>
      </c>
      <c r="D72" s="60">
        <f t="shared" si="1"/>
        <v>0</v>
      </c>
      <c r="E72" s="60">
        <f t="shared" si="2"/>
        <v>0</v>
      </c>
      <c r="F72" s="60">
        <f t="shared" si="3"/>
        <v>0</v>
      </c>
      <c r="G72" s="60">
        <f t="shared" si="4"/>
        <v>0</v>
      </c>
      <c r="H72" s="27"/>
      <c r="I72" s="27"/>
      <c r="J72" s="27"/>
      <c r="K72" s="27"/>
      <c r="L72" s="27"/>
      <c r="M72" s="27"/>
      <c r="N72" s="27"/>
      <c r="O72" s="27"/>
      <c r="P72" s="27"/>
    </row>
    <row r="73" spans="1:16" x14ac:dyDescent="0.2">
      <c r="A73" s="60">
        <f t="shared" si="6"/>
        <v>59</v>
      </c>
      <c r="B73" s="59">
        <v>59</v>
      </c>
      <c r="C73" s="60">
        <f t="shared" si="5"/>
        <v>0</v>
      </c>
      <c r="D73" s="60">
        <f t="shared" si="1"/>
        <v>0</v>
      </c>
      <c r="E73" s="60">
        <f t="shared" si="2"/>
        <v>0</v>
      </c>
      <c r="F73" s="60">
        <f t="shared" si="3"/>
        <v>0</v>
      </c>
      <c r="G73" s="60">
        <f t="shared" si="4"/>
        <v>0</v>
      </c>
      <c r="H73" s="27"/>
      <c r="I73" s="27"/>
      <c r="J73" s="27"/>
      <c r="K73" s="27"/>
      <c r="L73" s="27"/>
      <c r="M73" s="27"/>
      <c r="N73" s="27"/>
      <c r="O73" s="27"/>
      <c r="P73" s="27"/>
    </row>
    <row r="74" spans="1:16" x14ac:dyDescent="0.2">
      <c r="A74" s="60">
        <f t="shared" si="6"/>
        <v>60</v>
      </c>
      <c r="B74" s="59">
        <f t="shared" ref="B74:B137" si="7">+B73+1</f>
        <v>60</v>
      </c>
      <c r="C74" s="60">
        <f t="shared" si="5"/>
        <v>0</v>
      </c>
      <c r="D74" s="60">
        <f t="shared" si="1"/>
        <v>0</v>
      </c>
      <c r="E74" s="60">
        <f t="shared" si="2"/>
        <v>0</v>
      </c>
      <c r="F74" s="60">
        <f t="shared" si="3"/>
        <v>0</v>
      </c>
      <c r="G74" s="60">
        <f t="shared" si="4"/>
        <v>0</v>
      </c>
      <c r="H74" s="27"/>
      <c r="I74" s="27"/>
      <c r="J74" s="27"/>
      <c r="K74" s="27"/>
      <c r="L74" s="27"/>
      <c r="M74" s="27"/>
      <c r="N74" s="27"/>
      <c r="O74" s="27"/>
      <c r="P74" s="27"/>
    </row>
    <row r="75" spans="1:16" x14ac:dyDescent="0.2">
      <c r="A75" s="60">
        <f t="shared" si="6"/>
        <v>61</v>
      </c>
      <c r="B75" s="59">
        <f t="shared" si="7"/>
        <v>61</v>
      </c>
      <c r="C75" s="60">
        <f t="shared" si="5"/>
        <v>0</v>
      </c>
      <c r="D75" s="60">
        <f t="shared" si="1"/>
        <v>0</v>
      </c>
      <c r="E75" s="60">
        <f t="shared" si="2"/>
        <v>0</v>
      </c>
      <c r="F75" s="60">
        <f t="shared" si="3"/>
        <v>0</v>
      </c>
      <c r="G75" s="60">
        <f t="shared" si="4"/>
        <v>0</v>
      </c>
      <c r="H75" s="27"/>
      <c r="I75" s="27"/>
      <c r="J75" s="27"/>
      <c r="K75" s="27"/>
      <c r="L75" s="27"/>
      <c r="M75" s="27"/>
      <c r="N75" s="27"/>
      <c r="O75" s="27"/>
      <c r="P75" s="27"/>
    </row>
    <row r="76" spans="1:16" x14ac:dyDescent="0.2">
      <c r="A76" s="60">
        <f t="shared" si="6"/>
        <v>62</v>
      </c>
      <c r="B76" s="59">
        <f t="shared" si="7"/>
        <v>62</v>
      </c>
      <c r="C76" s="60">
        <f t="shared" si="5"/>
        <v>0</v>
      </c>
      <c r="D76" s="60">
        <f t="shared" si="1"/>
        <v>0</v>
      </c>
      <c r="E76" s="60">
        <f t="shared" si="2"/>
        <v>0</v>
      </c>
      <c r="F76" s="60">
        <f t="shared" si="3"/>
        <v>0</v>
      </c>
      <c r="G76" s="60">
        <f t="shared" si="4"/>
        <v>0</v>
      </c>
      <c r="H76" s="27"/>
      <c r="I76" s="27"/>
      <c r="J76" s="27"/>
      <c r="K76" s="27"/>
      <c r="L76" s="27"/>
      <c r="M76" s="27"/>
      <c r="N76" s="27"/>
      <c r="O76" s="27"/>
      <c r="P76" s="27"/>
    </row>
    <row r="77" spans="1:16" x14ac:dyDescent="0.2">
      <c r="A77" s="60">
        <f t="shared" si="6"/>
        <v>63</v>
      </c>
      <c r="B77" s="59">
        <f t="shared" si="7"/>
        <v>63</v>
      </c>
      <c r="C77" s="60">
        <f t="shared" si="5"/>
        <v>0</v>
      </c>
      <c r="D77" s="60">
        <f t="shared" si="1"/>
        <v>0</v>
      </c>
      <c r="E77" s="60">
        <f t="shared" si="2"/>
        <v>0</v>
      </c>
      <c r="F77" s="60">
        <f t="shared" si="3"/>
        <v>0</v>
      </c>
      <c r="G77" s="60">
        <f t="shared" si="4"/>
        <v>0</v>
      </c>
      <c r="H77" s="27"/>
      <c r="I77" s="27"/>
      <c r="J77" s="27"/>
      <c r="K77" s="27"/>
      <c r="L77" s="27"/>
      <c r="M77" s="27"/>
      <c r="N77" s="27"/>
      <c r="O77" s="27"/>
      <c r="P77" s="27"/>
    </row>
    <row r="78" spans="1:16" x14ac:dyDescent="0.2">
      <c r="A78" s="60">
        <f t="shared" si="6"/>
        <v>64</v>
      </c>
      <c r="B78" s="59">
        <f t="shared" si="7"/>
        <v>64</v>
      </c>
      <c r="C78" s="60">
        <f t="shared" si="5"/>
        <v>0</v>
      </c>
      <c r="D78" s="60">
        <f t="shared" si="1"/>
        <v>0</v>
      </c>
      <c r="E78" s="60">
        <f t="shared" si="2"/>
        <v>0</v>
      </c>
      <c r="F78" s="60">
        <f t="shared" si="3"/>
        <v>0</v>
      </c>
      <c r="G78" s="60">
        <f t="shared" si="4"/>
        <v>0</v>
      </c>
      <c r="H78" s="27"/>
      <c r="I78" s="27"/>
      <c r="J78" s="27"/>
      <c r="K78" s="27"/>
      <c r="L78" s="27"/>
      <c r="M78" s="27"/>
      <c r="N78" s="27"/>
      <c r="O78" s="27"/>
      <c r="P78" s="27"/>
    </row>
    <row r="79" spans="1:16" x14ac:dyDescent="0.2">
      <c r="A79" s="60">
        <f t="shared" si="6"/>
        <v>65</v>
      </c>
      <c r="B79" s="59">
        <f t="shared" si="7"/>
        <v>65</v>
      </c>
      <c r="C79" s="60">
        <f t="shared" si="5"/>
        <v>0</v>
      </c>
      <c r="D79" s="60">
        <f t="shared" ref="D79:D142" si="8">IF(C79=0,0,IF(PV($G$6,$F$9-B79,-$F$10)&gt;0,PV($G$6,$F$9-B79,-$F$10),0))</f>
        <v>0</v>
      </c>
      <c r="E79" s="60">
        <f t="shared" ref="E79:E142" si="9">IF(C79=0,0,+$F$10)</f>
        <v>0</v>
      </c>
      <c r="F79" s="60">
        <f t="shared" ref="F79:F142" si="10">C79-D79</f>
        <v>0</v>
      </c>
      <c r="G79" s="60">
        <f t="shared" ref="G79:G142" si="11">E79-F79</f>
        <v>0</v>
      </c>
      <c r="H79" s="27"/>
      <c r="I79" s="27"/>
      <c r="J79" s="27"/>
      <c r="K79" s="27"/>
      <c r="L79" s="27"/>
      <c r="M79" s="27"/>
      <c r="N79" s="27"/>
      <c r="O79" s="27"/>
      <c r="P79" s="27"/>
    </row>
    <row r="80" spans="1:16" x14ac:dyDescent="0.2">
      <c r="A80" s="60">
        <f t="shared" si="6"/>
        <v>66</v>
      </c>
      <c r="B80" s="59">
        <f t="shared" si="7"/>
        <v>66</v>
      </c>
      <c r="C80" s="60">
        <f t="shared" ref="C80:C143" si="12">D79</f>
        <v>0</v>
      </c>
      <c r="D80" s="60">
        <f t="shared" si="8"/>
        <v>0</v>
      </c>
      <c r="E80" s="60">
        <f t="shared" si="9"/>
        <v>0</v>
      </c>
      <c r="F80" s="60">
        <f t="shared" si="10"/>
        <v>0</v>
      </c>
      <c r="G80" s="60">
        <f t="shared" si="11"/>
        <v>0</v>
      </c>
      <c r="H80" s="27"/>
      <c r="I80" s="27"/>
      <c r="J80" s="27"/>
      <c r="K80" s="27"/>
      <c r="L80" s="27"/>
      <c r="M80" s="27"/>
      <c r="N80" s="27"/>
      <c r="O80" s="27"/>
      <c r="P80" s="27"/>
    </row>
    <row r="81" spans="1:16" x14ac:dyDescent="0.2">
      <c r="A81" s="60">
        <f t="shared" si="6"/>
        <v>67</v>
      </c>
      <c r="B81" s="59">
        <f t="shared" si="7"/>
        <v>67</v>
      </c>
      <c r="C81" s="60">
        <f t="shared" si="12"/>
        <v>0</v>
      </c>
      <c r="D81" s="60">
        <f t="shared" si="8"/>
        <v>0</v>
      </c>
      <c r="E81" s="60">
        <f t="shared" si="9"/>
        <v>0</v>
      </c>
      <c r="F81" s="60">
        <f t="shared" si="10"/>
        <v>0</v>
      </c>
      <c r="G81" s="60">
        <f t="shared" si="11"/>
        <v>0</v>
      </c>
      <c r="H81" s="27"/>
      <c r="I81" s="27"/>
      <c r="J81" s="27"/>
      <c r="K81" s="27"/>
      <c r="L81" s="27"/>
      <c r="M81" s="27"/>
      <c r="N81" s="27"/>
      <c r="O81" s="27"/>
      <c r="P81" s="27"/>
    </row>
    <row r="82" spans="1:16" x14ac:dyDescent="0.2">
      <c r="A82" s="60">
        <f t="shared" si="6"/>
        <v>68</v>
      </c>
      <c r="B82" s="59">
        <f t="shared" si="7"/>
        <v>68</v>
      </c>
      <c r="C82" s="60">
        <f t="shared" si="12"/>
        <v>0</v>
      </c>
      <c r="D82" s="60">
        <f t="shared" si="8"/>
        <v>0</v>
      </c>
      <c r="E82" s="60">
        <f t="shared" si="9"/>
        <v>0</v>
      </c>
      <c r="F82" s="60">
        <f t="shared" si="10"/>
        <v>0</v>
      </c>
      <c r="G82" s="60">
        <f t="shared" si="11"/>
        <v>0</v>
      </c>
      <c r="H82" s="27"/>
      <c r="I82" s="27"/>
      <c r="J82" s="27"/>
      <c r="K82" s="27"/>
      <c r="L82" s="27"/>
      <c r="M82" s="27"/>
      <c r="N82" s="27"/>
      <c r="O82" s="27"/>
      <c r="P82" s="27"/>
    </row>
    <row r="83" spans="1:16" x14ac:dyDescent="0.2">
      <c r="A83" s="60">
        <f t="shared" si="6"/>
        <v>69</v>
      </c>
      <c r="B83" s="59">
        <f t="shared" si="7"/>
        <v>69</v>
      </c>
      <c r="C83" s="60">
        <f t="shared" si="12"/>
        <v>0</v>
      </c>
      <c r="D83" s="60">
        <f t="shared" si="8"/>
        <v>0</v>
      </c>
      <c r="E83" s="60">
        <f t="shared" si="9"/>
        <v>0</v>
      </c>
      <c r="F83" s="60">
        <f t="shared" si="10"/>
        <v>0</v>
      </c>
      <c r="G83" s="60">
        <f t="shared" si="11"/>
        <v>0</v>
      </c>
      <c r="H83" s="27"/>
      <c r="I83" s="27"/>
      <c r="J83" s="27"/>
      <c r="K83" s="27"/>
      <c r="L83" s="27"/>
      <c r="M83" s="27"/>
      <c r="N83" s="27"/>
      <c r="O83" s="27"/>
      <c r="P83" s="27"/>
    </row>
    <row r="84" spans="1:16" x14ac:dyDescent="0.2">
      <c r="A84" s="60">
        <f t="shared" si="6"/>
        <v>70</v>
      </c>
      <c r="B84" s="59">
        <f t="shared" si="7"/>
        <v>70</v>
      </c>
      <c r="C84" s="60">
        <f t="shared" si="12"/>
        <v>0</v>
      </c>
      <c r="D84" s="60">
        <f t="shared" si="8"/>
        <v>0</v>
      </c>
      <c r="E84" s="60">
        <f t="shared" si="9"/>
        <v>0</v>
      </c>
      <c r="F84" s="60">
        <f t="shared" si="10"/>
        <v>0</v>
      </c>
      <c r="G84" s="60">
        <f t="shared" si="11"/>
        <v>0</v>
      </c>
      <c r="H84" s="27"/>
      <c r="I84" s="27"/>
      <c r="J84" s="27"/>
      <c r="K84" s="27"/>
      <c r="L84" s="27"/>
      <c r="M84" s="27"/>
      <c r="N84" s="27"/>
      <c r="O84" s="27"/>
      <c r="P84" s="27"/>
    </row>
    <row r="85" spans="1:16" x14ac:dyDescent="0.2">
      <c r="A85" s="60">
        <f t="shared" si="6"/>
        <v>71</v>
      </c>
      <c r="B85" s="59">
        <f t="shared" si="7"/>
        <v>71</v>
      </c>
      <c r="C85" s="60">
        <f t="shared" si="12"/>
        <v>0</v>
      </c>
      <c r="D85" s="60">
        <f t="shared" si="8"/>
        <v>0</v>
      </c>
      <c r="E85" s="60">
        <f t="shared" si="9"/>
        <v>0</v>
      </c>
      <c r="F85" s="60">
        <f t="shared" si="10"/>
        <v>0</v>
      </c>
      <c r="G85" s="60">
        <f t="shared" si="11"/>
        <v>0</v>
      </c>
      <c r="H85" s="27"/>
      <c r="I85" s="27"/>
      <c r="J85" s="27"/>
      <c r="K85" s="27"/>
      <c r="L85" s="27"/>
      <c r="M85" s="27"/>
      <c r="N85" s="27"/>
      <c r="O85" s="27"/>
      <c r="P85" s="27"/>
    </row>
    <row r="86" spans="1:16" x14ac:dyDescent="0.2">
      <c r="A86" s="60">
        <f t="shared" si="6"/>
        <v>72</v>
      </c>
      <c r="B86" s="59">
        <f t="shared" si="7"/>
        <v>72</v>
      </c>
      <c r="C86" s="60">
        <f t="shared" si="12"/>
        <v>0</v>
      </c>
      <c r="D86" s="60">
        <f t="shared" si="8"/>
        <v>0</v>
      </c>
      <c r="E86" s="60">
        <f t="shared" si="9"/>
        <v>0</v>
      </c>
      <c r="F86" s="60">
        <f t="shared" si="10"/>
        <v>0</v>
      </c>
      <c r="G86" s="60">
        <f t="shared" si="11"/>
        <v>0</v>
      </c>
      <c r="H86" s="27"/>
      <c r="I86" s="27"/>
      <c r="J86" s="27"/>
      <c r="K86" s="27"/>
      <c r="L86" s="27"/>
      <c r="M86" s="27"/>
      <c r="N86" s="27"/>
      <c r="O86" s="27"/>
      <c r="P86" s="27"/>
    </row>
    <row r="87" spans="1:16" x14ac:dyDescent="0.2">
      <c r="A87" s="60">
        <f t="shared" si="6"/>
        <v>73</v>
      </c>
      <c r="B87" s="59">
        <f t="shared" si="7"/>
        <v>73</v>
      </c>
      <c r="C87" s="60">
        <f t="shared" si="12"/>
        <v>0</v>
      </c>
      <c r="D87" s="60">
        <f t="shared" si="8"/>
        <v>0</v>
      </c>
      <c r="E87" s="60">
        <f t="shared" si="9"/>
        <v>0</v>
      </c>
      <c r="F87" s="60">
        <f t="shared" si="10"/>
        <v>0</v>
      </c>
      <c r="G87" s="60">
        <f t="shared" si="11"/>
        <v>0</v>
      </c>
    </row>
    <row r="88" spans="1:16" x14ac:dyDescent="0.2">
      <c r="A88" s="60">
        <f t="shared" si="6"/>
        <v>74</v>
      </c>
      <c r="B88" s="59">
        <f t="shared" si="7"/>
        <v>74</v>
      </c>
      <c r="C88" s="60">
        <f t="shared" si="12"/>
        <v>0</v>
      </c>
      <c r="D88" s="60">
        <f t="shared" si="8"/>
        <v>0</v>
      </c>
      <c r="E88" s="60">
        <f t="shared" si="9"/>
        <v>0</v>
      </c>
      <c r="F88" s="60">
        <f t="shared" si="10"/>
        <v>0</v>
      </c>
      <c r="G88" s="60">
        <f t="shared" si="11"/>
        <v>0</v>
      </c>
    </row>
    <row r="89" spans="1:16" x14ac:dyDescent="0.2">
      <c r="A89" s="60">
        <f t="shared" si="6"/>
        <v>75</v>
      </c>
      <c r="B89" s="59">
        <f t="shared" si="7"/>
        <v>75</v>
      </c>
      <c r="C89" s="60">
        <f t="shared" si="12"/>
        <v>0</v>
      </c>
      <c r="D89" s="60">
        <f t="shared" si="8"/>
        <v>0</v>
      </c>
      <c r="E89" s="60">
        <f t="shared" si="9"/>
        <v>0</v>
      </c>
      <c r="F89" s="60">
        <f t="shared" si="10"/>
        <v>0</v>
      </c>
      <c r="G89" s="60">
        <f t="shared" si="11"/>
        <v>0</v>
      </c>
    </row>
    <row r="90" spans="1:16" x14ac:dyDescent="0.2">
      <c r="A90" s="60">
        <f t="shared" si="6"/>
        <v>76</v>
      </c>
      <c r="B90" s="59">
        <f t="shared" si="7"/>
        <v>76</v>
      </c>
      <c r="C90" s="60">
        <f t="shared" si="12"/>
        <v>0</v>
      </c>
      <c r="D90" s="60">
        <f t="shared" si="8"/>
        <v>0</v>
      </c>
      <c r="E90" s="60">
        <f t="shared" si="9"/>
        <v>0</v>
      </c>
      <c r="F90" s="60">
        <f t="shared" si="10"/>
        <v>0</v>
      </c>
      <c r="G90" s="60">
        <f t="shared" si="11"/>
        <v>0</v>
      </c>
    </row>
    <row r="91" spans="1:16" x14ac:dyDescent="0.2">
      <c r="A91" s="60">
        <f t="shared" ref="A91:A154" si="13">CEILING((B91/(12/$F$7)),1)</f>
        <v>77</v>
      </c>
      <c r="B91" s="59">
        <f t="shared" si="7"/>
        <v>77</v>
      </c>
      <c r="C91" s="60">
        <f t="shared" si="12"/>
        <v>0</v>
      </c>
      <c r="D91" s="60">
        <f t="shared" si="8"/>
        <v>0</v>
      </c>
      <c r="E91" s="60">
        <f t="shared" si="9"/>
        <v>0</v>
      </c>
      <c r="F91" s="60">
        <f t="shared" si="10"/>
        <v>0</v>
      </c>
      <c r="G91" s="60">
        <f t="shared" si="11"/>
        <v>0</v>
      </c>
    </row>
    <row r="92" spans="1:16" x14ac:dyDescent="0.2">
      <c r="A92" s="60">
        <f t="shared" si="13"/>
        <v>78</v>
      </c>
      <c r="B92" s="59">
        <f t="shared" si="7"/>
        <v>78</v>
      </c>
      <c r="C92" s="60">
        <f t="shared" si="12"/>
        <v>0</v>
      </c>
      <c r="D92" s="60">
        <f t="shared" si="8"/>
        <v>0</v>
      </c>
      <c r="E92" s="60">
        <f t="shared" si="9"/>
        <v>0</v>
      </c>
      <c r="F92" s="60">
        <f t="shared" si="10"/>
        <v>0</v>
      </c>
      <c r="G92" s="60">
        <f t="shared" si="11"/>
        <v>0</v>
      </c>
    </row>
    <row r="93" spans="1:16" x14ac:dyDescent="0.2">
      <c r="A93" s="60">
        <f t="shared" si="13"/>
        <v>79</v>
      </c>
      <c r="B93" s="59">
        <f t="shared" si="7"/>
        <v>79</v>
      </c>
      <c r="C93" s="60">
        <f t="shared" si="12"/>
        <v>0</v>
      </c>
      <c r="D93" s="60">
        <f t="shared" si="8"/>
        <v>0</v>
      </c>
      <c r="E93" s="60">
        <f t="shared" si="9"/>
        <v>0</v>
      </c>
      <c r="F93" s="60">
        <f t="shared" si="10"/>
        <v>0</v>
      </c>
      <c r="G93" s="60">
        <f t="shared" si="11"/>
        <v>0</v>
      </c>
    </row>
    <row r="94" spans="1:16" x14ac:dyDescent="0.2">
      <c r="A94" s="60">
        <f t="shared" si="13"/>
        <v>80</v>
      </c>
      <c r="B94" s="59">
        <f t="shared" si="7"/>
        <v>80</v>
      </c>
      <c r="C94" s="60">
        <f t="shared" si="12"/>
        <v>0</v>
      </c>
      <c r="D94" s="60">
        <f t="shared" si="8"/>
        <v>0</v>
      </c>
      <c r="E94" s="60">
        <f t="shared" si="9"/>
        <v>0</v>
      </c>
      <c r="F94" s="60">
        <f t="shared" si="10"/>
        <v>0</v>
      </c>
      <c r="G94" s="60">
        <f t="shared" si="11"/>
        <v>0</v>
      </c>
    </row>
    <row r="95" spans="1:16" x14ac:dyDescent="0.2">
      <c r="A95" s="60">
        <f t="shared" si="13"/>
        <v>81</v>
      </c>
      <c r="B95" s="59">
        <f t="shared" si="7"/>
        <v>81</v>
      </c>
      <c r="C95" s="60">
        <f t="shared" si="12"/>
        <v>0</v>
      </c>
      <c r="D95" s="60">
        <f t="shared" si="8"/>
        <v>0</v>
      </c>
      <c r="E95" s="60">
        <f t="shared" si="9"/>
        <v>0</v>
      </c>
      <c r="F95" s="60">
        <f t="shared" si="10"/>
        <v>0</v>
      </c>
      <c r="G95" s="60">
        <f t="shared" si="11"/>
        <v>0</v>
      </c>
    </row>
    <row r="96" spans="1:16" x14ac:dyDescent="0.2">
      <c r="A96" s="60">
        <f t="shared" si="13"/>
        <v>82</v>
      </c>
      <c r="B96" s="59">
        <f t="shared" si="7"/>
        <v>82</v>
      </c>
      <c r="C96" s="60">
        <f t="shared" si="12"/>
        <v>0</v>
      </c>
      <c r="D96" s="60">
        <f t="shared" si="8"/>
        <v>0</v>
      </c>
      <c r="E96" s="60">
        <f t="shared" si="9"/>
        <v>0</v>
      </c>
      <c r="F96" s="60">
        <f t="shared" si="10"/>
        <v>0</v>
      </c>
      <c r="G96" s="60">
        <f t="shared" si="11"/>
        <v>0</v>
      </c>
    </row>
    <row r="97" spans="1:7" x14ac:dyDescent="0.2">
      <c r="A97" s="60">
        <f t="shared" si="13"/>
        <v>83</v>
      </c>
      <c r="B97" s="59">
        <f t="shared" si="7"/>
        <v>83</v>
      </c>
      <c r="C97" s="60">
        <f t="shared" si="12"/>
        <v>0</v>
      </c>
      <c r="D97" s="60">
        <f t="shared" si="8"/>
        <v>0</v>
      </c>
      <c r="E97" s="60">
        <f t="shared" si="9"/>
        <v>0</v>
      </c>
      <c r="F97" s="60">
        <f t="shared" si="10"/>
        <v>0</v>
      </c>
      <c r="G97" s="60">
        <f t="shared" si="11"/>
        <v>0</v>
      </c>
    </row>
    <row r="98" spans="1:7" x14ac:dyDescent="0.2">
      <c r="A98" s="60">
        <f t="shared" si="13"/>
        <v>84</v>
      </c>
      <c r="B98" s="59">
        <f t="shared" si="7"/>
        <v>84</v>
      </c>
      <c r="C98" s="60">
        <f t="shared" si="12"/>
        <v>0</v>
      </c>
      <c r="D98" s="60">
        <f t="shared" si="8"/>
        <v>0</v>
      </c>
      <c r="E98" s="60">
        <f t="shared" si="9"/>
        <v>0</v>
      </c>
      <c r="F98" s="60">
        <f t="shared" si="10"/>
        <v>0</v>
      </c>
      <c r="G98" s="60">
        <f t="shared" si="11"/>
        <v>0</v>
      </c>
    </row>
    <row r="99" spans="1:7" x14ac:dyDescent="0.2">
      <c r="A99" s="60">
        <f t="shared" si="13"/>
        <v>85</v>
      </c>
      <c r="B99" s="59">
        <f t="shared" si="7"/>
        <v>85</v>
      </c>
      <c r="C99" s="60">
        <f t="shared" si="12"/>
        <v>0</v>
      </c>
      <c r="D99" s="60">
        <f t="shared" si="8"/>
        <v>0</v>
      </c>
      <c r="E99" s="60">
        <f t="shared" si="9"/>
        <v>0</v>
      </c>
      <c r="F99" s="60">
        <f t="shared" si="10"/>
        <v>0</v>
      </c>
      <c r="G99" s="60">
        <f t="shared" si="11"/>
        <v>0</v>
      </c>
    </row>
    <row r="100" spans="1:7" x14ac:dyDescent="0.2">
      <c r="A100" s="60">
        <f t="shared" si="13"/>
        <v>86</v>
      </c>
      <c r="B100" s="59">
        <f t="shared" si="7"/>
        <v>86</v>
      </c>
      <c r="C100" s="60">
        <f t="shared" si="12"/>
        <v>0</v>
      </c>
      <c r="D100" s="60">
        <f t="shared" si="8"/>
        <v>0</v>
      </c>
      <c r="E100" s="60">
        <f t="shared" si="9"/>
        <v>0</v>
      </c>
      <c r="F100" s="60">
        <f t="shared" si="10"/>
        <v>0</v>
      </c>
      <c r="G100" s="60">
        <f t="shared" si="11"/>
        <v>0</v>
      </c>
    </row>
    <row r="101" spans="1:7" x14ac:dyDescent="0.2">
      <c r="A101" s="60">
        <f t="shared" si="13"/>
        <v>87</v>
      </c>
      <c r="B101" s="59">
        <f t="shared" si="7"/>
        <v>87</v>
      </c>
      <c r="C101" s="60">
        <f t="shared" si="12"/>
        <v>0</v>
      </c>
      <c r="D101" s="60">
        <f t="shared" si="8"/>
        <v>0</v>
      </c>
      <c r="E101" s="60">
        <f t="shared" si="9"/>
        <v>0</v>
      </c>
      <c r="F101" s="60">
        <f t="shared" si="10"/>
        <v>0</v>
      </c>
      <c r="G101" s="60">
        <f t="shared" si="11"/>
        <v>0</v>
      </c>
    </row>
    <row r="102" spans="1:7" x14ac:dyDescent="0.2">
      <c r="A102" s="60">
        <f t="shared" si="13"/>
        <v>88</v>
      </c>
      <c r="B102" s="59">
        <f t="shared" si="7"/>
        <v>88</v>
      </c>
      <c r="C102" s="60">
        <f t="shared" si="12"/>
        <v>0</v>
      </c>
      <c r="D102" s="60">
        <f t="shared" si="8"/>
        <v>0</v>
      </c>
      <c r="E102" s="60">
        <f t="shared" si="9"/>
        <v>0</v>
      </c>
      <c r="F102" s="60">
        <f t="shared" si="10"/>
        <v>0</v>
      </c>
      <c r="G102" s="60">
        <f t="shared" si="11"/>
        <v>0</v>
      </c>
    </row>
    <row r="103" spans="1:7" x14ac:dyDescent="0.2">
      <c r="A103" s="60">
        <f t="shared" si="13"/>
        <v>89</v>
      </c>
      <c r="B103" s="59">
        <f t="shared" si="7"/>
        <v>89</v>
      </c>
      <c r="C103" s="60">
        <f t="shared" si="12"/>
        <v>0</v>
      </c>
      <c r="D103" s="60">
        <f t="shared" si="8"/>
        <v>0</v>
      </c>
      <c r="E103" s="60">
        <f t="shared" si="9"/>
        <v>0</v>
      </c>
      <c r="F103" s="60">
        <f t="shared" si="10"/>
        <v>0</v>
      </c>
      <c r="G103" s="60">
        <f t="shared" si="11"/>
        <v>0</v>
      </c>
    </row>
    <row r="104" spans="1:7" x14ac:dyDescent="0.2">
      <c r="A104" s="60">
        <f t="shared" si="13"/>
        <v>90</v>
      </c>
      <c r="B104" s="59">
        <f t="shared" si="7"/>
        <v>90</v>
      </c>
      <c r="C104" s="60">
        <f t="shared" si="12"/>
        <v>0</v>
      </c>
      <c r="D104" s="60">
        <f t="shared" si="8"/>
        <v>0</v>
      </c>
      <c r="E104" s="60">
        <f t="shared" si="9"/>
        <v>0</v>
      </c>
      <c r="F104" s="60">
        <f t="shared" si="10"/>
        <v>0</v>
      </c>
      <c r="G104" s="60">
        <f t="shared" si="11"/>
        <v>0</v>
      </c>
    </row>
    <row r="105" spans="1:7" x14ac:dyDescent="0.2">
      <c r="A105" s="60">
        <f t="shared" si="13"/>
        <v>91</v>
      </c>
      <c r="B105" s="59">
        <f t="shared" si="7"/>
        <v>91</v>
      </c>
      <c r="C105" s="60">
        <f t="shared" si="12"/>
        <v>0</v>
      </c>
      <c r="D105" s="60">
        <f t="shared" si="8"/>
        <v>0</v>
      </c>
      <c r="E105" s="60">
        <f t="shared" si="9"/>
        <v>0</v>
      </c>
      <c r="F105" s="60">
        <f t="shared" si="10"/>
        <v>0</v>
      </c>
      <c r="G105" s="60">
        <f t="shared" si="11"/>
        <v>0</v>
      </c>
    </row>
    <row r="106" spans="1:7" x14ac:dyDescent="0.2">
      <c r="A106" s="60">
        <f t="shared" si="13"/>
        <v>92</v>
      </c>
      <c r="B106" s="59">
        <f t="shared" si="7"/>
        <v>92</v>
      </c>
      <c r="C106" s="60">
        <f t="shared" si="12"/>
        <v>0</v>
      </c>
      <c r="D106" s="60">
        <f t="shared" si="8"/>
        <v>0</v>
      </c>
      <c r="E106" s="60">
        <f t="shared" si="9"/>
        <v>0</v>
      </c>
      <c r="F106" s="60">
        <f t="shared" si="10"/>
        <v>0</v>
      </c>
      <c r="G106" s="60">
        <f t="shared" si="11"/>
        <v>0</v>
      </c>
    </row>
    <row r="107" spans="1:7" x14ac:dyDescent="0.2">
      <c r="A107" s="60">
        <f t="shared" si="13"/>
        <v>93</v>
      </c>
      <c r="B107" s="59">
        <f t="shared" si="7"/>
        <v>93</v>
      </c>
      <c r="C107" s="60">
        <f t="shared" si="12"/>
        <v>0</v>
      </c>
      <c r="D107" s="60">
        <f t="shared" si="8"/>
        <v>0</v>
      </c>
      <c r="E107" s="60">
        <f t="shared" si="9"/>
        <v>0</v>
      </c>
      <c r="F107" s="60">
        <f t="shared" si="10"/>
        <v>0</v>
      </c>
      <c r="G107" s="60">
        <f t="shared" si="11"/>
        <v>0</v>
      </c>
    </row>
    <row r="108" spans="1:7" x14ac:dyDescent="0.2">
      <c r="A108" s="60">
        <f t="shared" si="13"/>
        <v>94</v>
      </c>
      <c r="B108" s="59">
        <f t="shared" si="7"/>
        <v>94</v>
      </c>
      <c r="C108" s="60">
        <f t="shared" si="12"/>
        <v>0</v>
      </c>
      <c r="D108" s="60">
        <f t="shared" si="8"/>
        <v>0</v>
      </c>
      <c r="E108" s="60">
        <f t="shared" si="9"/>
        <v>0</v>
      </c>
      <c r="F108" s="60">
        <f t="shared" si="10"/>
        <v>0</v>
      </c>
      <c r="G108" s="60">
        <f t="shared" si="11"/>
        <v>0</v>
      </c>
    </row>
    <row r="109" spans="1:7" x14ac:dyDescent="0.2">
      <c r="A109" s="60">
        <f t="shared" si="13"/>
        <v>95</v>
      </c>
      <c r="B109" s="59">
        <f t="shared" si="7"/>
        <v>95</v>
      </c>
      <c r="C109" s="60">
        <f t="shared" si="12"/>
        <v>0</v>
      </c>
      <c r="D109" s="60">
        <f t="shared" si="8"/>
        <v>0</v>
      </c>
      <c r="E109" s="60">
        <f t="shared" si="9"/>
        <v>0</v>
      </c>
      <c r="F109" s="60">
        <f t="shared" si="10"/>
        <v>0</v>
      </c>
      <c r="G109" s="60">
        <f t="shared" si="11"/>
        <v>0</v>
      </c>
    </row>
    <row r="110" spans="1:7" x14ac:dyDescent="0.2">
      <c r="A110" s="60">
        <f t="shared" si="13"/>
        <v>96</v>
      </c>
      <c r="B110" s="59">
        <f t="shared" si="7"/>
        <v>96</v>
      </c>
      <c r="C110" s="60">
        <f t="shared" si="12"/>
        <v>0</v>
      </c>
      <c r="D110" s="60">
        <f t="shared" si="8"/>
        <v>0</v>
      </c>
      <c r="E110" s="60">
        <f t="shared" si="9"/>
        <v>0</v>
      </c>
      <c r="F110" s="60">
        <f t="shared" si="10"/>
        <v>0</v>
      </c>
      <c r="G110" s="60">
        <f t="shared" si="11"/>
        <v>0</v>
      </c>
    </row>
    <row r="111" spans="1:7" x14ac:dyDescent="0.2">
      <c r="A111" s="60">
        <f t="shared" si="13"/>
        <v>97</v>
      </c>
      <c r="B111" s="59">
        <f t="shared" si="7"/>
        <v>97</v>
      </c>
      <c r="C111" s="60">
        <f t="shared" si="12"/>
        <v>0</v>
      </c>
      <c r="D111" s="60">
        <f t="shared" si="8"/>
        <v>0</v>
      </c>
      <c r="E111" s="60">
        <f t="shared" si="9"/>
        <v>0</v>
      </c>
      <c r="F111" s="60">
        <f t="shared" si="10"/>
        <v>0</v>
      </c>
      <c r="G111" s="60">
        <f t="shared" si="11"/>
        <v>0</v>
      </c>
    </row>
    <row r="112" spans="1:7" x14ac:dyDescent="0.2">
      <c r="A112" s="60">
        <f t="shared" si="13"/>
        <v>98</v>
      </c>
      <c r="B112" s="59">
        <f t="shared" si="7"/>
        <v>98</v>
      </c>
      <c r="C112" s="60">
        <f t="shared" si="12"/>
        <v>0</v>
      </c>
      <c r="D112" s="60">
        <f t="shared" si="8"/>
        <v>0</v>
      </c>
      <c r="E112" s="60">
        <f t="shared" si="9"/>
        <v>0</v>
      </c>
      <c r="F112" s="60">
        <f t="shared" si="10"/>
        <v>0</v>
      </c>
      <c r="G112" s="60">
        <f t="shared" si="11"/>
        <v>0</v>
      </c>
    </row>
    <row r="113" spans="1:10" x14ac:dyDescent="0.2">
      <c r="A113" s="60">
        <f t="shared" si="13"/>
        <v>99</v>
      </c>
      <c r="B113" s="59">
        <f t="shared" si="7"/>
        <v>99</v>
      </c>
      <c r="C113" s="60">
        <f t="shared" si="12"/>
        <v>0</v>
      </c>
      <c r="D113" s="60">
        <f t="shared" si="8"/>
        <v>0</v>
      </c>
      <c r="E113" s="60">
        <f t="shared" si="9"/>
        <v>0</v>
      </c>
      <c r="F113" s="60">
        <f t="shared" si="10"/>
        <v>0</v>
      </c>
      <c r="G113" s="60">
        <f t="shared" si="11"/>
        <v>0</v>
      </c>
    </row>
    <row r="114" spans="1:10" x14ac:dyDescent="0.2">
      <c r="A114" s="60">
        <f t="shared" si="13"/>
        <v>100</v>
      </c>
      <c r="B114" s="59">
        <f t="shared" si="7"/>
        <v>100</v>
      </c>
      <c r="C114" s="60">
        <f t="shared" si="12"/>
        <v>0</v>
      </c>
      <c r="D114" s="60">
        <f t="shared" si="8"/>
        <v>0</v>
      </c>
      <c r="E114" s="60">
        <f t="shared" si="9"/>
        <v>0</v>
      </c>
      <c r="F114" s="60">
        <f t="shared" si="10"/>
        <v>0</v>
      </c>
      <c r="G114" s="60">
        <f t="shared" si="11"/>
        <v>0</v>
      </c>
    </row>
    <row r="115" spans="1:10" x14ac:dyDescent="0.2">
      <c r="A115" s="60">
        <f t="shared" si="13"/>
        <v>101</v>
      </c>
      <c r="B115" s="59">
        <f t="shared" si="7"/>
        <v>101</v>
      </c>
      <c r="C115" s="60">
        <f t="shared" si="12"/>
        <v>0</v>
      </c>
      <c r="D115" s="60">
        <f t="shared" si="8"/>
        <v>0</v>
      </c>
      <c r="E115" s="60">
        <f t="shared" si="9"/>
        <v>0</v>
      </c>
      <c r="F115" s="60">
        <f t="shared" si="10"/>
        <v>0</v>
      </c>
      <c r="G115" s="60">
        <f t="shared" si="11"/>
        <v>0</v>
      </c>
    </row>
    <row r="116" spans="1:10" x14ac:dyDescent="0.2">
      <c r="A116" s="60">
        <f t="shared" si="13"/>
        <v>102</v>
      </c>
      <c r="B116" s="59">
        <f t="shared" si="7"/>
        <v>102</v>
      </c>
      <c r="C116" s="60">
        <f t="shared" si="12"/>
        <v>0</v>
      </c>
      <c r="D116" s="60">
        <f t="shared" si="8"/>
        <v>0</v>
      </c>
      <c r="E116" s="60">
        <f t="shared" si="9"/>
        <v>0</v>
      </c>
      <c r="F116" s="60">
        <f t="shared" si="10"/>
        <v>0</v>
      </c>
      <c r="G116" s="60">
        <f t="shared" si="11"/>
        <v>0</v>
      </c>
    </row>
    <row r="117" spans="1:10" x14ac:dyDescent="0.2">
      <c r="A117" s="60">
        <f t="shared" si="13"/>
        <v>103</v>
      </c>
      <c r="B117" s="59">
        <f t="shared" si="7"/>
        <v>103</v>
      </c>
      <c r="C117" s="60">
        <f t="shared" si="12"/>
        <v>0</v>
      </c>
      <c r="D117" s="60">
        <f t="shared" si="8"/>
        <v>0</v>
      </c>
      <c r="E117" s="60">
        <f t="shared" si="9"/>
        <v>0</v>
      </c>
      <c r="F117" s="60">
        <f t="shared" si="10"/>
        <v>0</v>
      </c>
      <c r="G117" s="60">
        <f t="shared" si="11"/>
        <v>0</v>
      </c>
    </row>
    <row r="118" spans="1:10" x14ac:dyDescent="0.2">
      <c r="A118" s="60">
        <f t="shared" si="13"/>
        <v>104</v>
      </c>
      <c r="B118" s="59">
        <f t="shared" si="7"/>
        <v>104</v>
      </c>
      <c r="C118" s="60">
        <f t="shared" si="12"/>
        <v>0</v>
      </c>
      <c r="D118" s="60">
        <f t="shared" si="8"/>
        <v>0</v>
      </c>
      <c r="E118" s="60">
        <f t="shared" si="9"/>
        <v>0</v>
      </c>
      <c r="F118" s="60">
        <f t="shared" si="10"/>
        <v>0</v>
      </c>
      <c r="G118" s="60">
        <f t="shared" si="11"/>
        <v>0</v>
      </c>
    </row>
    <row r="119" spans="1:10" x14ac:dyDescent="0.2">
      <c r="A119" s="60">
        <f t="shared" si="13"/>
        <v>105</v>
      </c>
      <c r="B119" s="59">
        <f t="shared" si="7"/>
        <v>105</v>
      </c>
      <c r="C119" s="60">
        <f t="shared" si="12"/>
        <v>0</v>
      </c>
      <c r="D119" s="60">
        <f t="shared" si="8"/>
        <v>0</v>
      </c>
      <c r="E119" s="60">
        <f t="shared" si="9"/>
        <v>0</v>
      </c>
      <c r="F119" s="60">
        <f t="shared" si="10"/>
        <v>0</v>
      </c>
      <c r="G119" s="60">
        <f t="shared" si="11"/>
        <v>0</v>
      </c>
      <c r="H119" s="60"/>
    </row>
    <row r="120" spans="1:10" x14ac:dyDescent="0.2">
      <c r="A120" s="60">
        <f t="shared" si="13"/>
        <v>106</v>
      </c>
      <c r="B120" s="59">
        <f t="shared" si="7"/>
        <v>106</v>
      </c>
      <c r="C120" s="60">
        <f t="shared" si="12"/>
        <v>0</v>
      </c>
      <c r="D120" s="60">
        <f t="shared" si="8"/>
        <v>0</v>
      </c>
      <c r="E120" s="60">
        <f t="shared" si="9"/>
        <v>0</v>
      </c>
      <c r="F120" s="60">
        <f t="shared" si="10"/>
        <v>0</v>
      </c>
      <c r="G120" s="60">
        <f t="shared" si="11"/>
        <v>0</v>
      </c>
    </row>
    <row r="121" spans="1:10" x14ac:dyDescent="0.2">
      <c r="A121" s="60">
        <f t="shared" si="13"/>
        <v>107</v>
      </c>
      <c r="B121" s="59">
        <f t="shared" si="7"/>
        <v>107</v>
      </c>
      <c r="C121" s="60">
        <f t="shared" si="12"/>
        <v>0</v>
      </c>
      <c r="D121" s="60">
        <f t="shared" si="8"/>
        <v>0</v>
      </c>
      <c r="E121" s="60">
        <f t="shared" si="9"/>
        <v>0</v>
      </c>
      <c r="F121" s="60">
        <f t="shared" si="10"/>
        <v>0</v>
      </c>
      <c r="G121" s="60">
        <f t="shared" si="11"/>
        <v>0</v>
      </c>
      <c r="H121" s="60"/>
    </row>
    <row r="122" spans="1:10" x14ac:dyDescent="0.2">
      <c r="A122" s="60">
        <f t="shared" si="13"/>
        <v>108</v>
      </c>
      <c r="B122" s="59">
        <f t="shared" si="7"/>
        <v>108</v>
      </c>
      <c r="C122" s="60">
        <f t="shared" si="12"/>
        <v>0</v>
      </c>
      <c r="D122" s="60">
        <f t="shared" si="8"/>
        <v>0</v>
      </c>
      <c r="E122" s="60">
        <f t="shared" si="9"/>
        <v>0</v>
      </c>
      <c r="F122" s="60">
        <f t="shared" si="10"/>
        <v>0</v>
      </c>
      <c r="G122" s="60">
        <f t="shared" si="11"/>
        <v>0</v>
      </c>
      <c r="H122" s="60">
        <f>SUM(E15:E122)</f>
        <v>80292.836478583107</v>
      </c>
      <c r="I122" s="60">
        <f>SUM(F15:F122)</f>
        <v>62000</v>
      </c>
      <c r="J122" s="60">
        <f>SUM(G15:G122)</f>
        <v>18292.836478583122</v>
      </c>
    </row>
    <row r="123" spans="1:10" x14ac:dyDescent="0.2">
      <c r="A123" s="60">
        <f t="shared" si="13"/>
        <v>109</v>
      </c>
      <c r="B123" s="59">
        <f t="shared" si="7"/>
        <v>109</v>
      </c>
      <c r="C123" s="60">
        <f t="shared" si="12"/>
        <v>0</v>
      </c>
      <c r="D123" s="60">
        <f t="shared" si="8"/>
        <v>0</v>
      </c>
      <c r="E123" s="60">
        <f t="shared" si="9"/>
        <v>0</v>
      </c>
      <c r="F123" s="60">
        <f t="shared" si="10"/>
        <v>0</v>
      </c>
      <c r="G123" s="60">
        <f t="shared" si="11"/>
        <v>0</v>
      </c>
    </row>
    <row r="124" spans="1:10" x14ac:dyDescent="0.2">
      <c r="A124" s="60">
        <f t="shared" si="13"/>
        <v>110</v>
      </c>
      <c r="B124" s="59">
        <f t="shared" si="7"/>
        <v>110</v>
      </c>
      <c r="C124" s="60">
        <f t="shared" si="12"/>
        <v>0</v>
      </c>
      <c r="D124" s="60">
        <f t="shared" si="8"/>
        <v>0</v>
      </c>
      <c r="E124" s="60">
        <f t="shared" si="9"/>
        <v>0</v>
      </c>
      <c r="F124" s="60">
        <f t="shared" si="10"/>
        <v>0</v>
      </c>
      <c r="G124" s="60">
        <f t="shared" si="11"/>
        <v>0</v>
      </c>
    </row>
    <row r="125" spans="1:10" x14ac:dyDescent="0.2">
      <c r="A125" s="60">
        <f t="shared" si="13"/>
        <v>111</v>
      </c>
      <c r="B125" s="59">
        <f t="shared" si="7"/>
        <v>111</v>
      </c>
      <c r="C125" s="60">
        <f t="shared" si="12"/>
        <v>0</v>
      </c>
      <c r="D125" s="60">
        <f t="shared" si="8"/>
        <v>0</v>
      </c>
      <c r="E125" s="60">
        <f t="shared" si="9"/>
        <v>0</v>
      </c>
      <c r="F125" s="60">
        <f t="shared" si="10"/>
        <v>0</v>
      </c>
      <c r="G125" s="60">
        <f t="shared" si="11"/>
        <v>0</v>
      </c>
    </row>
    <row r="126" spans="1:10" x14ac:dyDescent="0.2">
      <c r="A126" s="60">
        <f t="shared" si="13"/>
        <v>112</v>
      </c>
      <c r="B126" s="59">
        <f t="shared" si="7"/>
        <v>112</v>
      </c>
      <c r="C126" s="60">
        <f t="shared" si="12"/>
        <v>0</v>
      </c>
      <c r="D126" s="60">
        <f t="shared" si="8"/>
        <v>0</v>
      </c>
      <c r="E126" s="60">
        <f t="shared" si="9"/>
        <v>0</v>
      </c>
      <c r="F126" s="60">
        <f t="shared" si="10"/>
        <v>0</v>
      </c>
      <c r="G126" s="60">
        <f t="shared" si="11"/>
        <v>0</v>
      </c>
    </row>
    <row r="127" spans="1:10" x14ac:dyDescent="0.2">
      <c r="A127" s="60">
        <f t="shared" si="13"/>
        <v>113</v>
      </c>
      <c r="B127" s="59">
        <f t="shared" si="7"/>
        <v>113</v>
      </c>
      <c r="C127" s="60">
        <f t="shared" si="12"/>
        <v>0</v>
      </c>
      <c r="D127" s="60">
        <f t="shared" si="8"/>
        <v>0</v>
      </c>
      <c r="E127" s="60">
        <f t="shared" si="9"/>
        <v>0</v>
      </c>
      <c r="F127" s="60">
        <f t="shared" si="10"/>
        <v>0</v>
      </c>
      <c r="G127" s="60">
        <f t="shared" si="11"/>
        <v>0</v>
      </c>
    </row>
    <row r="128" spans="1:10" x14ac:dyDescent="0.2">
      <c r="A128" s="60">
        <f t="shared" si="13"/>
        <v>114</v>
      </c>
      <c r="B128" s="59">
        <f t="shared" si="7"/>
        <v>114</v>
      </c>
      <c r="C128" s="60">
        <f t="shared" si="12"/>
        <v>0</v>
      </c>
      <c r="D128" s="60">
        <f t="shared" si="8"/>
        <v>0</v>
      </c>
      <c r="E128" s="60">
        <f t="shared" si="9"/>
        <v>0</v>
      </c>
      <c r="F128" s="60">
        <f t="shared" si="10"/>
        <v>0</v>
      </c>
      <c r="G128" s="60">
        <f t="shared" si="11"/>
        <v>0</v>
      </c>
    </row>
    <row r="129" spans="1:7" x14ac:dyDescent="0.2">
      <c r="A129" s="60">
        <f t="shared" si="13"/>
        <v>115</v>
      </c>
      <c r="B129" s="59">
        <f t="shared" si="7"/>
        <v>115</v>
      </c>
      <c r="C129" s="60">
        <f t="shared" si="12"/>
        <v>0</v>
      </c>
      <c r="D129" s="60">
        <f t="shared" si="8"/>
        <v>0</v>
      </c>
      <c r="E129" s="60">
        <f t="shared" si="9"/>
        <v>0</v>
      </c>
      <c r="F129" s="60">
        <f t="shared" si="10"/>
        <v>0</v>
      </c>
      <c r="G129" s="60">
        <f t="shared" si="11"/>
        <v>0</v>
      </c>
    </row>
    <row r="130" spans="1:7" x14ac:dyDescent="0.2">
      <c r="A130" s="60">
        <f t="shared" si="13"/>
        <v>116</v>
      </c>
      <c r="B130" s="59">
        <f t="shared" si="7"/>
        <v>116</v>
      </c>
      <c r="C130" s="60">
        <f t="shared" si="12"/>
        <v>0</v>
      </c>
      <c r="D130" s="60">
        <f t="shared" si="8"/>
        <v>0</v>
      </c>
      <c r="E130" s="60">
        <f t="shared" si="9"/>
        <v>0</v>
      </c>
      <c r="F130" s="60">
        <f t="shared" si="10"/>
        <v>0</v>
      </c>
      <c r="G130" s="60">
        <f t="shared" si="11"/>
        <v>0</v>
      </c>
    </row>
    <row r="131" spans="1:7" x14ac:dyDescent="0.2">
      <c r="A131" s="60">
        <f t="shared" si="13"/>
        <v>117</v>
      </c>
      <c r="B131" s="59">
        <f t="shared" si="7"/>
        <v>117</v>
      </c>
      <c r="C131" s="60">
        <f t="shared" si="12"/>
        <v>0</v>
      </c>
      <c r="D131" s="60">
        <f t="shared" si="8"/>
        <v>0</v>
      </c>
      <c r="E131" s="60">
        <f t="shared" si="9"/>
        <v>0</v>
      </c>
      <c r="F131" s="60">
        <f t="shared" si="10"/>
        <v>0</v>
      </c>
      <c r="G131" s="60">
        <f t="shared" si="11"/>
        <v>0</v>
      </c>
    </row>
    <row r="132" spans="1:7" x14ac:dyDescent="0.2">
      <c r="A132" s="60">
        <f t="shared" si="13"/>
        <v>118</v>
      </c>
      <c r="B132" s="59">
        <f t="shared" si="7"/>
        <v>118</v>
      </c>
      <c r="C132" s="60">
        <f t="shared" si="12"/>
        <v>0</v>
      </c>
      <c r="D132" s="60">
        <f t="shared" si="8"/>
        <v>0</v>
      </c>
      <c r="E132" s="60">
        <f t="shared" si="9"/>
        <v>0</v>
      </c>
      <c r="F132" s="60">
        <f t="shared" si="10"/>
        <v>0</v>
      </c>
      <c r="G132" s="60">
        <f t="shared" si="11"/>
        <v>0</v>
      </c>
    </row>
    <row r="133" spans="1:7" x14ac:dyDescent="0.2">
      <c r="A133" s="60">
        <f t="shared" si="13"/>
        <v>119</v>
      </c>
      <c r="B133" s="59">
        <f t="shared" si="7"/>
        <v>119</v>
      </c>
      <c r="C133" s="60">
        <f t="shared" si="12"/>
        <v>0</v>
      </c>
      <c r="D133" s="60">
        <f t="shared" si="8"/>
        <v>0</v>
      </c>
      <c r="E133" s="60">
        <f t="shared" si="9"/>
        <v>0</v>
      </c>
      <c r="F133" s="60">
        <f t="shared" si="10"/>
        <v>0</v>
      </c>
      <c r="G133" s="60">
        <f t="shared" si="11"/>
        <v>0</v>
      </c>
    </row>
    <row r="134" spans="1:7" x14ac:dyDescent="0.2">
      <c r="A134" s="60">
        <f t="shared" si="13"/>
        <v>120</v>
      </c>
      <c r="B134" s="59">
        <f t="shared" si="7"/>
        <v>120</v>
      </c>
      <c r="C134" s="60">
        <f t="shared" si="12"/>
        <v>0</v>
      </c>
      <c r="D134" s="60">
        <f t="shared" si="8"/>
        <v>0</v>
      </c>
      <c r="E134" s="60">
        <f t="shared" si="9"/>
        <v>0</v>
      </c>
      <c r="F134" s="60">
        <f t="shared" si="10"/>
        <v>0</v>
      </c>
      <c r="G134" s="60">
        <f t="shared" si="11"/>
        <v>0</v>
      </c>
    </row>
    <row r="135" spans="1:7" x14ac:dyDescent="0.2">
      <c r="A135" s="60">
        <f t="shared" si="13"/>
        <v>121</v>
      </c>
      <c r="B135" s="59">
        <f t="shared" si="7"/>
        <v>121</v>
      </c>
      <c r="C135" s="60">
        <f t="shared" si="12"/>
        <v>0</v>
      </c>
      <c r="D135" s="60">
        <f t="shared" si="8"/>
        <v>0</v>
      </c>
      <c r="E135" s="60">
        <f t="shared" si="9"/>
        <v>0</v>
      </c>
      <c r="F135" s="60">
        <f t="shared" si="10"/>
        <v>0</v>
      </c>
      <c r="G135" s="60">
        <f t="shared" si="11"/>
        <v>0</v>
      </c>
    </row>
    <row r="136" spans="1:7" x14ac:dyDescent="0.2">
      <c r="A136" s="60">
        <f t="shared" si="13"/>
        <v>122</v>
      </c>
      <c r="B136" s="59">
        <f t="shared" si="7"/>
        <v>122</v>
      </c>
      <c r="C136" s="60">
        <f t="shared" si="12"/>
        <v>0</v>
      </c>
      <c r="D136" s="60">
        <f t="shared" si="8"/>
        <v>0</v>
      </c>
      <c r="E136" s="60">
        <f t="shared" si="9"/>
        <v>0</v>
      </c>
      <c r="F136" s="60">
        <f t="shared" si="10"/>
        <v>0</v>
      </c>
      <c r="G136" s="60">
        <f t="shared" si="11"/>
        <v>0</v>
      </c>
    </row>
    <row r="137" spans="1:7" x14ac:dyDescent="0.2">
      <c r="A137" s="60">
        <f t="shared" si="13"/>
        <v>123</v>
      </c>
      <c r="B137" s="59">
        <f t="shared" si="7"/>
        <v>123</v>
      </c>
      <c r="C137" s="60">
        <f t="shared" si="12"/>
        <v>0</v>
      </c>
      <c r="D137" s="60">
        <f t="shared" si="8"/>
        <v>0</v>
      </c>
      <c r="E137" s="60">
        <f t="shared" si="9"/>
        <v>0</v>
      </c>
      <c r="F137" s="60">
        <f t="shared" si="10"/>
        <v>0</v>
      </c>
      <c r="G137" s="60">
        <f t="shared" si="11"/>
        <v>0</v>
      </c>
    </row>
    <row r="138" spans="1:7" x14ac:dyDescent="0.2">
      <c r="A138" s="60">
        <f t="shared" si="13"/>
        <v>124</v>
      </c>
      <c r="B138" s="59">
        <f t="shared" ref="B138:B201" si="14">+B137+1</f>
        <v>124</v>
      </c>
      <c r="C138" s="60">
        <f t="shared" si="12"/>
        <v>0</v>
      </c>
      <c r="D138" s="60">
        <f t="shared" si="8"/>
        <v>0</v>
      </c>
      <c r="E138" s="60">
        <f t="shared" si="9"/>
        <v>0</v>
      </c>
      <c r="F138" s="60">
        <f t="shared" si="10"/>
        <v>0</v>
      </c>
      <c r="G138" s="60">
        <f t="shared" si="11"/>
        <v>0</v>
      </c>
    </row>
    <row r="139" spans="1:7" x14ac:dyDescent="0.2">
      <c r="A139" s="60">
        <f t="shared" si="13"/>
        <v>125</v>
      </c>
      <c r="B139" s="59">
        <f t="shared" si="14"/>
        <v>125</v>
      </c>
      <c r="C139" s="60">
        <f t="shared" si="12"/>
        <v>0</v>
      </c>
      <c r="D139" s="60">
        <f t="shared" si="8"/>
        <v>0</v>
      </c>
      <c r="E139" s="60">
        <f t="shared" si="9"/>
        <v>0</v>
      </c>
      <c r="F139" s="60">
        <f t="shared" si="10"/>
        <v>0</v>
      </c>
      <c r="G139" s="60">
        <f t="shared" si="11"/>
        <v>0</v>
      </c>
    </row>
    <row r="140" spans="1:7" x14ac:dyDescent="0.2">
      <c r="A140" s="60">
        <f t="shared" si="13"/>
        <v>126</v>
      </c>
      <c r="B140" s="59">
        <f t="shared" si="14"/>
        <v>126</v>
      </c>
      <c r="C140" s="60">
        <f t="shared" si="12"/>
        <v>0</v>
      </c>
      <c r="D140" s="60">
        <f t="shared" si="8"/>
        <v>0</v>
      </c>
      <c r="E140" s="60">
        <f t="shared" si="9"/>
        <v>0</v>
      </c>
      <c r="F140" s="60">
        <f t="shared" si="10"/>
        <v>0</v>
      </c>
      <c r="G140" s="60">
        <f t="shared" si="11"/>
        <v>0</v>
      </c>
    </row>
    <row r="141" spans="1:7" x14ac:dyDescent="0.2">
      <c r="A141" s="60">
        <f t="shared" si="13"/>
        <v>127</v>
      </c>
      <c r="B141" s="59">
        <f t="shared" si="14"/>
        <v>127</v>
      </c>
      <c r="C141" s="60">
        <f t="shared" si="12"/>
        <v>0</v>
      </c>
      <c r="D141" s="60">
        <f t="shared" si="8"/>
        <v>0</v>
      </c>
      <c r="E141" s="60">
        <f t="shared" si="9"/>
        <v>0</v>
      </c>
      <c r="F141" s="60">
        <f t="shared" si="10"/>
        <v>0</v>
      </c>
      <c r="G141" s="60">
        <f t="shared" si="11"/>
        <v>0</v>
      </c>
    </row>
    <row r="142" spans="1:7" x14ac:dyDescent="0.2">
      <c r="A142" s="60">
        <f t="shared" si="13"/>
        <v>128</v>
      </c>
      <c r="B142" s="59">
        <f t="shared" si="14"/>
        <v>128</v>
      </c>
      <c r="C142" s="60">
        <f t="shared" si="12"/>
        <v>0</v>
      </c>
      <c r="D142" s="60">
        <f t="shared" si="8"/>
        <v>0</v>
      </c>
      <c r="E142" s="60">
        <f t="shared" si="9"/>
        <v>0</v>
      </c>
      <c r="F142" s="60">
        <f t="shared" si="10"/>
        <v>0</v>
      </c>
      <c r="G142" s="60">
        <f t="shared" si="11"/>
        <v>0</v>
      </c>
    </row>
    <row r="143" spans="1:7" x14ac:dyDescent="0.2">
      <c r="A143" s="60">
        <f t="shared" si="13"/>
        <v>129</v>
      </c>
      <c r="B143" s="59">
        <f t="shared" si="14"/>
        <v>129</v>
      </c>
      <c r="C143" s="60">
        <f t="shared" si="12"/>
        <v>0</v>
      </c>
      <c r="D143" s="60">
        <f t="shared" ref="D143:D206" si="15">IF(C143=0,0,IF(PV($G$6,$F$9-B143,-$F$10)&gt;0,PV($G$6,$F$9-B143,-$F$10),0))</f>
        <v>0</v>
      </c>
      <c r="E143" s="60">
        <f t="shared" ref="E143:E206" si="16">IF(C143=0,0,+$F$10)</f>
        <v>0</v>
      </c>
      <c r="F143" s="60">
        <f t="shared" ref="F143:F206" si="17">C143-D143</f>
        <v>0</v>
      </c>
      <c r="G143" s="60">
        <f t="shared" ref="G143:G206" si="18">E143-F143</f>
        <v>0</v>
      </c>
    </row>
    <row r="144" spans="1:7" x14ac:dyDescent="0.2">
      <c r="A144" s="60">
        <f t="shared" si="13"/>
        <v>130</v>
      </c>
      <c r="B144" s="59">
        <f t="shared" si="14"/>
        <v>130</v>
      </c>
      <c r="C144" s="60">
        <f t="shared" ref="C144:C207" si="19">D143</f>
        <v>0</v>
      </c>
      <c r="D144" s="60">
        <f t="shared" si="15"/>
        <v>0</v>
      </c>
      <c r="E144" s="60">
        <f t="shared" si="16"/>
        <v>0</v>
      </c>
      <c r="F144" s="60">
        <f t="shared" si="17"/>
        <v>0</v>
      </c>
      <c r="G144" s="60">
        <f t="shared" si="18"/>
        <v>0</v>
      </c>
    </row>
    <row r="145" spans="1:7" x14ac:dyDescent="0.2">
      <c r="A145" s="60">
        <f t="shared" si="13"/>
        <v>131</v>
      </c>
      <c r="B145" s="59">
        <f t="shared" si="14"/>
        <v>131</v>
      </c>
      <c r="C145" s="60">
        <f t="shared" si="19"/>
        <v>0</v>
      </c>
      <c r="D145" s="60">
        <f t="shared" si="15"/>
        <v>0</v>
      </c>
      <c r="E145" s="60">
        <f t="shared" si="16"/>
        <v>0</v>
      </c>
      <c r="F145" s="60">
        <f t="shared" si="17"/>
        <v>0</v>
      </c>
      <c r="G145" s="60">
        <f t="shared" si="18"/>
        <v>0</v>
      </c>
    </row>
    <row r="146" spans="1:7" x14ac:dyDescent="0.2">
      <c r="A146" s="60">
        <f t="shared" si="13"/>
        <v>132</v>
      </c>
      <c r="B146" s="59">
        <f t="shared" si="14"/>
        <v>132</v>
      </c>
      <c r="C146" s="60">
        <f t="shared" si="19"/>
        <v>0</v>
      </c>
      <c r="D146" s="60">
        <f t="shared" si="15"/>
        <v>0</v>
      </c>
      <c r="E146" s="60">
        <f t="shared" si="16"/>
        <v>0</v>
      </c>
      <c r="F146" s="60">
        <f t="shared" si="17"/>
        <v>0</v>
      </c>
      <c r="G146" s="60">
        <f t="shared" si="18"/>
        <v>0</v>
      </c>
    </row>
    <row r="147" spans="1:7" x14ac:dyDescent="0.2">
      <c r="A147" s="60">
        <f t="shared" si="13"/>
        <v>133</v>
      </c>
      <c r="B147" s="59">
        <f t="shared" si="14"/>
        <v>133</v>
      </c>
      <c r="C147" s="60">
        <f t="shared" si="19"/>
        <v>0</v>
      </c>
      <c r="D147" s="60">
        <f t="shared" si="15"/>
        <v>0</v>
      </c>
      <c r="E147" s="60">
        <f t="shared" si="16"/>
        <v>0</v>
      </c>
      <c r="F147" s="60">
        <f t="shared" si="17"/>
        <v>0</v>
      </c>
      <c r="G147" s="60">
        <f t="shared" si="18"/>
        <v>0</v>
      </c>
    </row>
    <row r="148" spans="1:7" x14ac:dyDescent="0.2">
      <c r="A148" s="60">
        <f t="shared" si="13"/>
        <v>134</v>
      </c>
      <c r="B148" s="59">
        <f t="shared" si="14"/>
        <v>134</v>
      </c>
      <c r="C148" s="60">
        <f t="shared" si="19"/>
        <v>0</v>
      </c>
      <c r="D148" s="60">
        <f t="shared" si="15"/>
        <v>0</v>
      </c>
      <c r="E148" s="60">
        <f t="shared" si="16"/>
        <v>0</v>
      </c>
      <c r="F148" s="60">
        <f t="shared" si="17"/>
        <v>0</v>
      </c>
      <c r="G148" s="60">
        <f t="shared" si="18"/>
        <v>0</v>
      </c>
    </row>
    <row r="149" spans="1:7" x14ac:dyDescent="0.2">
      <c r="A149" s="60">
        <f t="shared" si="13"/>
        <v>135</v>
      </c>
      <c r="B149" s="59">
        <f t="shared" si="14"/>
        <v>135</v>
      </c>
      <c r="C149" s="60">
        <f t="shared" si="19"/>
        <v>0</v>
      </c>
      <c r="D149" s="60">
        <f t="shared" si="15"/>
        <v>0</v>
      </c>
      <c r="E149" s="60">
        <f t="shared" si="16"/>
        <v>0</v>
      </c>
      <c r="F149" s="60">
        <f t="shared" si="17"/>
        <v>0</v>
      </c>
      <c r="G149" s="60">
        <f t="shared" si="18"/>
        <v>0</v>
      </c>
    </row>
    <row r="150" spans="1:7" x14ac:dyDescent="0.2">
      <c r="A150" s="60">
        <f t="shared" si="13"/>
        <v>136</v>
      </c>
      <c r="B150" s="59">
        <f t="shared" si="14"/>
        <v>136</v>
      </c>
      <c r="C150" s="60">
        <f t="shared" si="19"/>
        <v>0</v>
      </c>
      <c r="D150" s="60">
        <f t="shared" si="15"/>
        <v>0</v>
      </c>
      <c r="E150" s="60">
        <f t="shared" si="16"/>
        <v>0</v>
      </c>
      <c r="F150" s="60">
        <f t="shared" si="17"/>
        <v>0</v>
      </c>
      <c r="G150" s="60">
        <f t="shared" si="18"/>
        <v>0</v>
      </c>
    </row>
    <row r="151" spans="1:7" x14ac:dyDescent="0.2">
      <c r="A151" s="60">
        <f t="shared" si="13"/>
        <v>137</v>
      </c>
      <c r="B151" s="59">
        <f t="shared" si="14"/>
        <v>137</v>
      </c>
      <c r="C151" s="60">
        <f t="shared" si="19"/>
        <v>0</v>
      </c>
      <c r="D151" s="60">
        <f t="shared" si="15"/>
        <v>0</v>
      </c>
      <c r="E151" s="60">
        <f t="shared" si="16"/>
        <v>0</v>
      </c>
      <c r="F151" s="60">
        <f t="shared" si="17"/>
        <v>0</v>
      </c>
      <c r="G151" s="60">
        <f t="shared" si="18"/>
        <v>0</v>
      </c>
    </row>
    <row r="152" spans="1:7" x14ac:dyDescent="0.2">
      <c r="A152" s="60">
        <f t="shared" si="13"/>
        <v>138</v>
      </c>
      <c r="B152" s="59">
        <f t="shared" si="14"/>
        <v>138</v>
      </c>
      <c r="C152" s="60">
        <f t="shared" si="19"/>
        <v>0</v>
      </c>
      <c r="D152" s="60">
        <f t="shared" si="15"/>
        <v>0</v>
      </c>
      <c r="E152" s="60">
        <f t="shared" si="16"/>
        <v>0</v>
      </c>
      <c r="F152" s="60">
        <f t="shared" si="17"/>
        <v>0</v>
      </c>
      <c r="G152" s="60">
        <f t="shared" si="18"/>
        <v>0</v>
      </c>
    </row>
    <row r="153" spans="1:7" x14ac:dyDescent="0.2">
      <c r="A153" s="60">
        <f t="shared" si="13"/>
        <v>139</v>
      </c>
      <c r="B153" s="59">
        <f t="shared" si="14"/>
        <v>139</v>
      </c>
      <c r="C153" s="60">
        <f t="shared" si="19"/>
        <v>0</v>
      </c>
      <c r="D153" s="60">
        <f t="shared" si="15"/>
        <v>0</v>
      </c>
      <c r="E153" s="60">
        <f t="shared" si="16"/>
        <v>0</v>
      </c>
      <c r="F153" s="60">
        <f t="shared" si="17"/>
        <v>0</v>
      </c>
      <c r="G153" s="60">
        <f t="shared" si="18"/>
        <v>0</v>
      </c>
    </row>
    <row r="154" spans="1:7" x14ac:dyDescent="0.2">
      <c r="A154" s="60">
        <f t="shared" si="13"/>
        <v>140</v>
      </c>
      <c r="B154" s="59">
        <f t="shared" si="14"/>
        <v>140</v>
      </c>
      <c r="C154" s="60">
        <f t="shared" si="19"/>
        <v>0</v>
      </c>
      <c r="D154" s="60">
        <f t="shared" si="15"/>
        <v>0</v>
      </c>
      <c r="E154" s="60">
        <f t="shared" si="16"/>
        <v>0</v>
      </c>
      <c r="F154" s="60">
        <f t="shared" si="17"/>
        <v>0</v>
      </c>
      <c r="G154" s="60">
        <f t="shared" si="18"/>
        <v>0</v>
      </c>
    </row>
    <row r="155" spans="1:7" x14ac:dyDescent="0.2">
      <c r="A155" s="60">
        <f t="shared" ref="A155:A218" si="20">CEILING((B155/(12/$F$7)),1)</f>
        <v>141</v>
      </c>
      <c r="B155" s="59">
        <f t="shared" si="14"/>
        <v>141</v>
      </c>
      <c r="C155" s="60">
        <f t="shared" si="19"/>
        <v>0</v>
      </c>
      <c r="D155" s="60">
        <f t="shared" si="15"/>
        <v>0</v>
      </c>
      <c r="E155" s="60">
        <f t="shared" si="16"/>
        <v>0</v>
      </c>
      <c r="F155" s="60">
        <f t="shared" si="17"/>
        <v>0</v>
      </c>
      <c r="G155" s="60">
        <f t="shared" si="18"/>
        <v>0</v>
      </c>
    </row>
    <row r="156" spans="1:7" x14ac:dyDescent="0.2">
      <c r="A156" s="60">
        <f t="shared" si="20"/>
        <v>142</v>
      </c>
      <c r="B156" s="59">
        <f t="shared" si="14"/>
        <v>142</v>
      </c>
      <c r="C156" s="60">
        <f t="shared" si="19"/>
        <v>0</v>
      </c>
      <c r="D156" s="60">
        <f t="shared" si="15"/>
        <v>0</v>
      </c>
      <c r="E156" s="60">
        <f t="shared" si="16"/>
        <v>0</v>
      </c>
      <c r="F156" s="60">
        <f t="shared" si="17"/>
        <v>0</v>
      </c>
      <c r="G156" s="60">
        <f t="shared" si="18"/>
        <v>0</v>
      </c>
    </row>
    <row r="157" spans="1:7" x14ac:dyDescent="0.2">
      <c r="A157" s="60">
        <f t="shared" si="20"/>
        <v>143</v>
      </c>
      <c r="B157" s="59">
        <f t="shared" si="14"/>
        <v>143</v>
      </c>
      <c r="C157" s="60">
        <f t="shared" si="19"/>
        <v>0</v>
      </c>
      <c r="D157" s="60">
        <f t="shared" si="15"/>
        <v>0</v>
      </c>
      <c r="E157" s="60">
        <f t="shared" si="16"/>
        <v>0</v>
      </c>
      <c r="F157" s="60">
        <f t="shared" si="17"/>
        <v>0</v>
      </c>
      <c r="G157" s="60">
        <f t="shared" si="18"/>
        <v>0</v>
      </c>
    </row>
    <row r="158" spans="1:7" x14ac:dyDescent="0.2">
      <c r="A158" s="60">
        <f t="shared" si="20"/>
        <v>144</v>
      </c>
      <c r="B158" s="59">
        <f t="shared" si="14"/>
        <v>144</v>
      </c>
      <c r="C158" s="60">
        <f t="shared" si="19"/>
        <v>0</v>
      </c>
      <c r="D158" s="60">
        <f t="shared" si="15"/>
        <v>0</v>
      </c>
      <c r="E158" s="60">
        <f t="shared" si="16"/>
        <v>0</v>
      </c>
      <c r="F158" s="60">
        <f t="shared" si="17"/>
        <v>0</v>
      </c>
      <c r="G158" s="60">
        <f t="shared" si="18"/>
        <v>0</v>
      </c>
    </row>
    <row r="159" spans="1:7" x14ac:dyDescent="0.2">
      <c r="A159" s="60">
        <f t="shared" si="20"/>
        <v>145</v>
      </c>
      <c r="B159" s="59">
        <f t="shared" si="14"/>
        <v>145</v>
      </c>
      <c r="C159" s="60">
        <f t="shared" si="19"/>
        <v>0</v>
      </c>
      <c r="D159" s="60">
        <f t="shared" si="15"/>
        <v>0</v>
      </c>
      <c r="E159" s="60">
        <f t="shared" si="16"/>
        <v>0</v>
      </c>
      <c r="F159" s="60">
        <f t="shared" si="17"/>
        <v>0</v>
      </c>
      <c r="G159" s="60">
        <f t="shared" si="18"/>
        <v>0</v>
      </c>
    </row>
    <row r="160" spans="1:7" x14ac:dyDescent="0.2">
      <c r="A160" s="60">
        <f t="shared" si="20"/>
        <v>146</v>
      </c>
      <c r="B160" s="59">
        <f t="shared" si="14"/>
        <v>146</v>
      </c>
      <c r="C160" s="60">
        <f t="shared" si="19"/>
        <v>0</v>
      </c>
      <c r="D160" s="60">
        <f t="shared" si="15"/>
        <v>0</v>
      </c>
      <c r="E160" s="60">
        <f t="shared" si="16"/>
        <v>0</v>
      </c>
      <c r="F160" s="60">
        <f t="shared" si="17"/>
        <v>0</v>
      </c>
      <c r="G160" s="60">
        <f t="shared" si="18"/>
        <v>0</v>
      </c>
    </row>
    <row r="161" spans="1:7" x14ac:dyDescent="0.2">
      <c r="A161" s="60">
        <f t="shared" si="20"/>
        <v>147</v>
      </c>
      <c r="B161" s="59">
        <f t="shared" si="14"/>
        <v>147</v>
      </c>
      <c r="C161" s="60">
        <f t="shared" si="19"/>
        <v>0</v>
      </c>
      <c r="D161" s="60">
        <f t="shared" si="15"/>
        <v>0</v>
      </c>
      <c r="E161" s="60">
        <f t="shared" si="16"/>
        <v>0</v>
      </c>
      <c r="F161" s="60">
        <f t="shared" si="17"/>
        <v>0</v>
      </c>
      <c r="G161" s="60">
        <f t="shared" si="18"/>
        <v>0</v>
      </c>
    </row>
    <row r="162" spans="1:7" x14ac:dyDescent="0.2">
      <c r="A162" s="60">
        <f t="shared" si="20"/>
        <v>148</v>
      </c>
      <c r="B162" s="59">
        <f t="shared" si="14"/>
        <v>148</v>
      </c>
      <c r="C162" s="60">
        <f t="shared" si="19"/>
        <v>0</v>
      </c>
      <c r="D162" s="60">
        <f t="shared" si="15"/>
        <v>0</v>
      </c>
      <c r="E162" s="60">
        <f t="shared" si="16"/>
        <v>0</v>
      </c>
      <c r="F162" s="60">
        <f t="shared" si="17"/>
        <v>0</v>
      </c>
      <c r="G162" s="60">
        <f t="shared" si="18"/>
        <v>0</v>
      </c>
    </row>
    <row r="163" spans="1:7" x14ac:dyDescent="0.2">
      <c r="A163" s="60">
        <f t="shared" si="20"/>
        <v>149</v>
      </c>
      <c r="B163" s="59">
        <f t="shared" si="14"/>
        <v>149</v>
      </c>
      <c r="C163" s="60">
        <f t="shared" si="19"/>
        <v>0</v>
      </c>
      <c r="D163" s="60">
        <f t="shared" si="15"/>
        <v>0</v>
      </c>
      <c r="E163" s="60">
        <f t="shared" si="16"/>
        <v>0</v>
      </c>
      <c r="F163" s="60">
        <f t="shared" si="17"/>
        <v>0</v>
      </c>
      <c r="G163" s="60">
        <f t="shared" si="18"/>
        <v>0</v>
      </c>
    </row>
    <row r="164" spans="1:7" x14ac:dyDescent="0.2">
      <c r="A164" s="60">
        <f t="shared" si="20"/>
        <v>150</v>
      </c>
      <c r="B164" s="59">
        <f t="shared" si="14"/>
        <v>150</v>
      </c>
      <c r="C164" s="60">
        <f t="shared" si="19"/>
        <v>0</v>
      </c>
      <c r="D164" s="60">
        <f t="shared" si="15"/>
        <v>0</v>
      </c>
      <c r="E164" s="60">
        <f t="shared" si="16"/>
        <v>0</v>
      </c>
      <c r="F164" s="60">
        <f t="shared" si="17"/>
        <v>0</v>
      </c>
      <c r="G164" s="60">
        <f t="shared" si="18"/>
        <v>0</v>
      </c>
    </row>
    <row r="165" spans="1:7" x14ac:dyDescent="0.2">
      <c r="A165" s="60">
        <f t="shared" si="20"/>
        <v>151</v>
      </c>
      <c r="B165" s="59">
        <f t="shared" si="14"/>
        <v>151</v>
      </c>
      <c r="C165" s="60">
        <f t="shared" si="19"/>
        <v>0</v>
      </c>
      <c r="D165" s="60">
        <f t="shared" si="15"/>
        <v>0</v>
      </c>
      <c r="E165" s="60">
        <f t="shared" si="16"/>
        <v>0</v>
      </c>
      <c r="F165" s="60">
        <f t="shared" si="17"/>
        <v>0</v>
      </c>
      <c r="G165" s="60">
        <f t="shared" si="18"/>
        <v>0</v>
      </c>
    </row>
    <row r="166" spans="1:7" x14ac:dyDescent="0.2">
      <c r="A166" s="60">
        <f t="shared" si="20"/>
        <v>152</v>
      </c>
      <c r="B166" s="59">
        <f t="shared" si="14"/>
        <v>152</v>
      </c>
      <c r="C166" s="60">
        <f t="shared" si="19"/>
        <v>0</v>
      </c>
      <c r="D166" s="60">
        <f t="shared" si="15"/>
        <v>0</v>
      </c>
      <c r="E166" s="60">
        <f t="shared" si="16"/>
        <v>0</v>
      </c>
      <c r="F166" s="60">
        <f t="shared" si="17"/>
        <v>0</v>
      </c>
      <c r="G166" s="60">
        <f t="shared" si="18"/>
        <v>0</v>
      </c>
    </row>
    <row r="167" spans="1:7" x14ac:dyDescent="0.2">
      <c r="A167" s="60">
        <f t="shared" si="20"/>
        <v>153</v>
      </c>
      <c r="B167" s="59">
        <f t="shared" si="14"/>
        <v>153</v>
      </c>
      <c r="C167" s="60">
        <f t="shared" si="19"/>
        <v>0</v>
      </c>
      <c r="D167" s="60">
        <f t="shared" si="15"/>
        <v>0</v>
      </c>
      <c r="E167" s="60">
        <f t="shared" si="16"/>
        <v>0</v>
      </c>
      <c r="F167" s="60">
        <f t="shared" si="17"/>
        <v>0</v>
      </c>
      <c r="G167" s="60">
        <f t="shared" si="18"/>
        <v>0</v>
      </c>
    </row>
    <row r="168" spans="1:7" x14ac:dyDescent="0.2">
      <c r="A168" s="60">
        <f t="shared" si="20"/>
        <v>154</v>
      </c>
      <c r="B168" s="59">
        <f t="shared" si="14"/>
        <v>154</v>
      </c>
      <c r="C168" s="60">
        <f t="shared" si="19"/>
        <v>0</v>
      </c>
      <c r="D168" s="60">
        <f t="shared" si="15"/>
        <v>0</v>
      </c>
      <c r="E168" s="60">
        <f t="shared" si="16"/>
        <v>0</v>
      </c>
      <c r="F168" s="60">
        <f t="shared" si="17"/>
        <v>0</v>
      </c>
      <c r="G168" s="60">
        <f t="shared" si="18"/>
        <v>0</v>
      </c>
    </row>
    <row r="169" spans="1:7" x14ac:dyDescent="0.2">
      <c r="A169" s="60">
        <f t="shared" si="20"/>
        <v>155</v>
      </c>
      <c r="B169" s="59">
        <f t="shared" si="14"/>
        <v>155</v>
      </c>
      <c r="C169" s="60">
        <f t="shared" si="19"/>
        <v>0</v>
      </c>
      <c r="D169" s="60">
        <f t="shared" si="15"/>
        <v>0</v>
      </c>
      <c r="E169" s="60">
        <f t="shared" si="16"/>
        <v>0</v>
      </c>
      <c r="F169" s="60">
        <f t="shared" si="17"/>
        <v>0</v>
      </c>
      <c r="G169" s="60">
        <f t="shared" si="18"/>
        <v>0</v>
      </c>
    </row>
    <row r="170" spans="1:7" x14ac:dyDescent="0.2">
      <c r="A170" s="60">
        <f t="shared" si="20"/>
        <v>156</v>
      </c>
      <c r="B170" s="59">
        <f t="shared" si="14"/>
        <v>156</v>
      </c>
      <c r="C170" s="60">
        <f t="shared" si="19"/>
        <v>0</v>
      </c>
      <c r="D170" s="60">
        <f t="shared" si="15"/>
        <v>0</v>
      </c>
      <c r="E170" s="60">
        <f t="shared" si="16"/>
        <v>0</v>
      </c>
      <c r="F170" s="60">
        <f t="shared" si="17"/>
        <v>0</v>
      </c>
      <c r="G170" s="60">
        <f t="shared" si="18"/>
        <v>0</v>
      </c>
    </row>
    <row r="171" spans="1:7" x14ac:dyDescent="0.2">
      <c r="A171" s="60">
        <f t="shared" si="20"/>
        <v>157</v>
      </c>
      <c r="B171" s="59">
        <f t="shared" si="14"/>
        <v>157</v>
      </c>
      <c r="C171" s="60">
        <f t="shared" si="19"/>
        <v>0</v>
      </c>
      <c r="D171" s="60">
        <f t="shared" si="15"/>
        <v>0</v>
      </c>
      <c r="E171" s="60">
        <f t="shared" si="16"/>
        <v>0</v>
      </c>
      <c r="F171" s="60">
        <f t="shared" si="17"/>
        <v>0</v>
      </c>
      <c r="G171" s="60">
        <f t="shared" si="18"/>
        <v>0</v>
      </c>
    </row>
    <row r="172" spans="1:7" x14ac:dyDescent="0.2">
      <c r="A172" s="60">
        <f t="shared" si="20"/>
        <v>158</v>
      </c>
      <c r="B172" s="59">
        <f t="shared" si="14"/>
        <v>158</v>
      </c>
      <c r="C172" s="60">
        <f t="shared" si="19"/>
        <v>0</v>
      </c>
      <c r="D172" s="60">
        <f t="shared" si="15"/>
        <v>0</v>
      </c>
      <c r="E172" s="60">
        <f t="shared" si="16"/>
        <v>0</v>
      </c>
      <c r="F172" s="60">
        <f t="shared" si="17"/>
        <v>0</v>
      </c>
      <c r="G172" s="60">
        <f t="shared" si="18"/>
        <v>0</v>
      </c>
    </row>
    <row r="173" spans="1:7" x14ac:dyDescent="0.2">
      <c r="A173" s="60">
        <f t="shared" si="20"/>
        <v>159</v>
      </c>
      <c r="B173" s="59">
        <f t="shared" si="14"/>
        <v>159</v>
      </c>
      <c r="C173" s="60">
        <f t="shared" si="19"/>
        <v>0</v>
      </c>
      <c r="D173" s="60">
        <f t="shared" si="15"/>
        <v>0</v>
      </c>
      <c r="E173" s="60">
        <f t="shared" si="16"/>
        <v>0</v>
      </c>
      <c r="F173" s="60">
        <f t="shared" si="17"/>
        <v>0</v>
      </c>
      <c r="G173" s="60">
        <f t="shared" si="18"/>
        <v>0</v>
      </c>
    </row>
    <row r="174" spans="1:7" x14ac:dyDescent="0.2">
      <c r="A174" s="60">
        <f t="shared" si="20"/>
        <v>160</v>
      </c>
      <c r="B174" s="59">
        <f t="shared" si="14"/>
        <v>160</v>
      </c>
      <c r="C174" s="60">
        <f t="shared" si="19"/>
        <v>0</v>
      </c>
      <c r="D174" s="60">
        <f t="shared" si="15"/>
        <v>0</v>
      </c>
      <c r="E174" s="60">
        <f t="shared" si="16"/>
        <v>0</v>
      </c>
      <c r="F174" s="60">
        <f t="shared" si="17"/>
        <v>0</v>
      </c>
      <c r="G174" s="60">
        <f t="shared" si="18"/>
        <v>0</v>
      </c>
    </row>
    <row r="175" spans="1:7" x14ac:dyDescent="0.2">
      <c r="A175" s="60">
        <f t="shared" si="20"/>
        <v>161</v>
      </c>
      <c r="B175" s="59">
        <f t="shared" si="14"/>
        <v>161</v>
      </c>
      <c r="C175" s="60">
        <f t="shared" si="19"/>
        <v>0</v>
      </c>
      <c r="D175" s="60">
        <f t="shared" si="15"/>
        <v>0</v>
      </c>
      <c r="E175" s="60">
        <f t="shared" si="16"/>
        <v>0</v>
      </c>
      <c r="F175" s="60">
        <f t="shared" si="17"/>
        <v>0</v>
      </c>
      <c r="G175" s="60">
        <f t="shared" si="18"/>
        <v>0</v>
      </c>
    </row>
    <row r="176" spans="1:7" x14ac:dyDescent="0.2">
      <c r="A176" s="60">
        <f t="shared" si="20"/>
        <v>162</v>
      </c>
      <c r="B176" s="59">
        <f t="shared" si="14"/>
        <v>162</v>
      </c>
      <c r="C176" s="60">
        <f t="shared" si="19"/>
        <v>0</v>
      </c>
      <c r="D176" s="60">
        <f t="shared" si="15"/>
        <v>0</v>
      </c>
      <c r="E176" s="60">
        <f t="shared" si="16"/>
        <v>0</v>
      </c>
      <c r="F176" s="60">
        <f t="shared" si="17"/>
        <v>0</v>
      </c>
      <c r="G176" s="60">
        <f t="shared" si="18"/>
        <v>0</v>
      </c>
    </row>
    <row r="177" spans="1:7" x14ac:dyDescent="0.2">
      <c r="A177" s="60">
        <f t="shared" si="20"/>
        <v>163</v>
      </c>
      <c r="B177" s="59">
        <f t="shared" si="14"/>
        <v>163</v>
      </c>
      <c r="C177" s="60">
        <f t="shared" si="19"/>
        <v>0</v>
      </c>
      <c r="D177" s="60">
        <f t="shared" si="15"/>
        <v>0</v>
      </c>
      <c r="E177" s="60">
        <f t="shared" si="16"/>
        <v>0</v>
      </c>
      <c r="F177" s="60">
        <f t="shared" si="17"/>
        <v>0</v>
      </c>
      <c r="G177" s="60">
        <f t="shared" si="18"/>
        <v>0</v>
      </c>
    </row>
    <row r="178" spans="1:7" x14ac:dyDescent="0.2">
      <c r="A178" s="60">
        <f t="shared" si="20"/>
        <v>164</v>
      </c>
      <c r="B178" s="59">
        <f t="shared" si="14"/>
        <v>164</v>
      </c>
      <c r="C178" s="60">
        <f t="shared" si="19"/>
        <v>0</v>
      </c>
      <c r="D178" s="60">
        <f t="shared" si="15"/>
        <v>0</v>
      </c>
      <c r="E178" s="60">
        <f t="shared" si="16"/>
        <v>0</v>
      </c>
      <c r="F178" s="60">
        <f t="shared" si="17"/>
        <v>0</v>
      </c>
      <c r="G178" s="60">
        <f t="shared" si="18"/>
        <v>0</v>
      </c>
    </row>
    <row r="179" spans="1:7" x14ac:dyDescent="0.2">
      <c r="A179" s="60">
        <f t="shared" si="20"/>
        <v>165</v>
      </c>
      <c r="B179" s="59">
        <f t="shared" si="14"/>
        <v>165</v>
      </c>
      <c r="C179" s="60">
        <f t="shared" si="19"/>
        <v>0</v>
      </c>
      <c r="D179" s="60">
        <f t="shared" si="15"/>
        <v>0</v>
      </c>
      <c r="E179" s="60">
        <f t="shared" si="16"/>
        <v>0</v>
      </c>
      <c r="F179" s="60">
        <f t="shared" si="17"/>
        <v>0</v>
      </c>
      <c r="G179" s="60">
        <f t="shared" si="18"/>
        <v>0</v>
      </c>
    </row>
    <row r="180" spans="1:7" x14ac:dyDescent="0.2">
      <c r="A180" s="60">
        <f t="shared" si="20"/>
        <v>166</v>
      </c>
      <c r="B180" s="59">
        <f t="shared" si="14"/>
        <v>166</v>
      </c>
      <c r="C180" s="60">
        <f t="shared" si="19"/>
        <v>0</v>
      </c>
      <c r="D180" s="60">
        <f t="shared" si="15"/>
        <v>0</v>
      </c>
      <c r="E180" s="60">
        <f t="shared" si="16"/>
        <v>0</v>
      </c>
      <c r="F180" s="60">
        <f t="shared" si="17"/>
        <v>0</v>
      </c>
      <c r="G180" s="60">
        <f t="shared" si="18"/>
        <v>0</v>
      </c>
    </row>
    <row r="181" spans="1:7" x14ac:dyDescent="0.2">
      <c r="A181" s="60">
        <f t="shared" si="20"/>
        <v>167</v>
      </c>
      <c r="B181" s="59">
        <f t="shared" si="14"/>
        <v>167</v>
      </c>
      <c r="C181" s="60">
        <f t="shared" si="19"/>
        <v>0</v>
      </c>
      <c r="D181" s="60">
        <f t="shared" si="15"/>
        <v>0</v>
      </c>
      <c r="E181" s="60">
        <f t="shared" si="16"/>
        <v>0</v>
      </c>
      <c r="F181" s="60">
        <f t="shared" si="17"/>
        <v>0</v>
      </c>
      <c r="G181" s="60">
        <f t="shared" si="18"/>
        <v>0</v>
      </c>
    </row>
    <row r="182" spans="1:7" x14ac:dyDescent="0.2">
      <c r="A182" s="60">
        <f t="shared" si="20"/>
        <v>168</v>
      </c>
      <c r="B182" s="59">
        <f t="shared" si="14"/>
        <v>168</v>
      </c>
      <c r="C182" s="60">
        <f t="shared" si="19"/>
        <v>0</v>
      </c>
      <c r="D182" s="60">
        <f t="shared" si="15"/>
        <v>0</v>
      </c>
      <c r="E182" s="60">
        <f t="shared" si="16"/>
        <v>0</v>
      </c>
      <c r="F182" s="60">
        <f t="shared" si="17"/>
        <v>0</v>
      </c>
      <c r="G182" s="60">
        <f t="shared" si="18"/>
        <v>0</v>
      </c>
    </row>
    <row r="183" spans="1:7" x14ac:dyDescent="0.2">
      <c r="A183" s="60">
        <f t="shared" si="20"/>
        <v>169</v>
      </c>
      <c r="B183" s="59">
        <f t="shared" si="14"/>
        <v>169</v>
      </c>
      <c r="C183" s="60">
        <f t="shared" si="19"/>
        <v>0</v>
      </c>
      <c r="D183" s="60">
        <f t="shared" si="15"/>
        <v>0</v>
      </c>
      <c r="E183" s="60">
        <f t="shared" si="16"/>
        <v>0</v>
      </c>
      <c r="F183" s="60">
        <f t="shared" si="17"/>
        <v>0</v>
      </c>
      <c r="G183" s="60">
        <f t="shared" si="18"/>
        <v>0</v>
      </c>
    </row>
    <row r="184" spans="1:7" x14ac:dyDescent="0.2">
      <c r="A184" s="60">
        <f t="shared" si="20"/>
        <v>170</v>
      </c>
      <c r="B184" s="59">
        <f t="shared" si="14"/>
        <v>170</v>
      </c>
      <c r="C184" s="60">
        <f t="shared" si="19"/>
        <v>0</v>
      </c>
      <c r="D184" s="60">
        <f t="shared" si="15"/>
        <v>0</v>
      </c>
      <c r="E184" s="60">
        <f t="shared" si="16"/>
        <v>0</v>
      </c>
      <c r="F184" s="60">
        <f t="shared" si="17"/>
        <v>0</v>
      </c>
      <c r="G184" s="60">
        <f t="shared" si="18"/>
        <v>0</v>
      </c>
    </row>
    <row r="185" spans="1:7" x14ac:dyDescent="0.2">
      <c r="A185" s="60">
        <f t="shared" si="20"/>
        <v>171</v>
      </c>
      <c r="B185" s="59">
        <f t="shared" si="14"/>
        <v>171</v>
      </c>
      <c r="C185" s="60">
        <f t="shared" si="19"/>
        <v>0</v>
      </c>
      <c r="D185" s="60">
        <f t="shared" si="15"/>
        <v>0</v>
      </c>
      <c r="E185" s="60">
        <f t="shared" si="16"/>
        <v>0</v>
      </c>
      <c r="F185" s="60">
        <f t="shared" si="17"/>
        <v>0</v>
      </c>
      <c r="G185" s="60">
        <f t="shared" si="18"/>
        <v>0</v>
      </c>
    </row>
    <row r="186" spans="1:7" x14ac:dyDescent="0.2">
      <c r="A186" s="60">
        <f t="shared" si="20"/>
        <v>172</v>
      </c>
      <c r="B186" s="59">
        <f t="shared" si="14"/>
        <v>172</v>
      </c>
      <c r="C186" s="60">
        <f t="shared" si="19"/>
        <v>0</v>
      </c>
      <c r="D186" s="60">
        <f t="shared" si="15"/>
        <v>0</v>
      </c>
      <c r="E186" s="60">
        <f t="shared" si="16"/>
        <v>0</v>
      </c>
      <c r="F186" s="60">
        <f t="shared" si="17"/>
        <v>0</v>
      </c>
      <c r="G186" s="60">
        <f t="shared" si="18"/>
        <v>0</v>
      </c>
    </row>
    <row r="187" spans="1:7" x14ac:dyDescent="0.2">
      <c r="A187" s="60">
        <f t="shared" si="20"/>
        <v>173</v>
      </c>
      <c r="B187" s="59">
        <f t="shared" si="14"/>
        <v>173</v>
      </c>
      <c r="C187" s="60">
        <f t="shared" si="19"/>
        <v>0</v>
      </c>
      <c r="D187" s="60">
        <f t="shared" si="15"/>
        <v>0</v>
      </c>
      <c r="E187" s="60">
        <f t="shared" si="16"/>
        <v>0</v>
      </c>
      <c r="F187" s="60">
        <f t="shared" si="17"/>
        <v>0</v>
      </c>
      <c r="G187" s="60">
        <f t="shared" si="18"/>
        <v>0</v>
      </c>
    </row>
    <row r="188" spans="1:7" x14ac:dyDescent="0.2">
      <c r="A188" s="60">
        <f t="shared" si="20"/>
        <v>174</v>
      </c>
      <c r="B188" s="59">
        <f t="shared" si="14"/>
        <v>174</v>
      </c>
      <c r="C188" s="60">
        <f t="shared" si="19"/>
        <v>0</v>
      </c>
      <c r="D188" s="60">
        <f t="shared" si="15"/>
        <v>0</v>
      </c>
      <c r="E188" s="60">
        <f t="shared" si="16"/>
        <v>0</v>
      </c>
      <c r="F188" s="60">
        <f t="shared" si="17"/>
        <v>0</v>
      </c>
      <c r="G188" s="60">
        <f t="shared" si="18"/>
        <v>0</v>
      </c>
    </row>
    <row r="189" spans="1:7" x14ac:dyDescent="0.2">
      <c r="A189" s="60">
        <f t="shared" si="20"/>
        <v>175</v>
      </c>
      <c r="B189" s="59">
        <f t="shared" si="14"/>
        <v>175</v>
      </c>
      <c r="C189" s="60">
        <f t="shared" si="19"/>
        <v>0</v>
      </c>
      <c r="D189" s="60">
        <f t="shared" si="15"/>
        <v>0</v>
      </c>
      <c r="E189" s="60">
        <f t="shared" si="16"/>
        <v>0</v>
      </c>
      <c r="F189" s="60">
        <f t="shared" si="17"/>
        <v>0</v>
      </c>
      <c r="G189" s="60">
        <f t="shared" si="18"/>
        <v>0</v>
      </c>
    </row>
    <row r="190" spans="1:7" x14ac:dyDescent="0.2">
      <c r="A190" s="60">
        <f t="shared" si="20"/>
        <v>176</v>
      </c>
      <c r="B190" s="59">
        <f t="shared" si="14"/>
        <v>176</v>
      </c>
      <c r="C190" s="60">
        <f t="shared" si="19"/>
        <v>0</v>
      </c>
      <c r="D190" s="60">
        <f t="shared" si="15"/>
        <v>0</v>
      </c>
      <c r="E190" s="60">
        <f t="shared" si="16"/>
        <v>0</v>
      </c>
      <c r="F190" s="60">
        <f t="shared" si="17"/>
        <v>0</v>
      </c>
      <c r="G190" s="60">
        <f t="shared" si="18"/>
        <v>0</v>
      </c>
    </row>
    <row r="191" spans="1:7" x14ac:dyDescent="0.2">
      <c r="A191" s="60">
        <f t="shared" si="20"/>
        <v>177</v>
      </c>
      <c r="B191" s="59">
        <f t="shared" si="14"/>
        <v>177</v>
      </c>
      <c r="C191" s="60">
        <f t="shared" si="19"/>
        <v>0</v>
      </c>
      <c r="D191" s="60">
        <f t="shared" si="15"/>
        <v>0</v>
      </c>
      <c r="E191" s="60">
        <f t="shared" si="16"/>
        <v>0</v>
      </c>
      <c r="F191" s="60">
        <f t="shared" si="17"/>
        <v>0</v>
      </c>
      <c r="G191" s="60">
        <f t="shared" si="18"/>
        <v>0</v>
      </c>
    </row>
    <row r="192" spans="1:7" x14ac:dyDescent="0.2">
      <c r="A192" s="60">
        <f t="shared" si="20"/>
        <v>178</v>
      </c>
      <c r="B192" s="59">
        <f t="shared" si="14"/>
        <v>178</v>
      </c>
      <c r="C192" s="60">
        <f t="shared" si="19"/>
        <v>0</v>
      </c>
      <c r="D192" s="60">
        <f t="shared" si="15"/>
        <v>0</v>
      </c>
      <c r="E192" s="60">
        <f t="shared" si="16"/>
        <v>0</v>
      </c>
      <c r="F192" s="60">
        <f t="shared" si="17"/>
        <v>0</v>
      </c>
      <c r="G192" s="60">
        <f t="shared" si="18"/>
        <v>0</v>
      </c>
    </row>
    <row r="193" spans="1:7" x14ac:dyDescent="0.2">
      <c r="A193" s="60">
        <f t="shared" si="20"/>
        <v>179</v>
      </c>
      <c r="B193" s="59">
        <f t="shared" si="14"/>
        <v>179</v>
      </c>
      <c r="C193" s="60">
        <f t="shared" si="19"/>
        <v>0</v>
      </c>
      <c r="D193" s="60">
        <f t="shared" si="15"/>
        <v>0</v>
      </c>
      <c r="E193" s="60">
        <f t="shared" si="16"/>
        <v>0</v>
      </c>
      <c r="F193" s="60">
        <f t="shared" si="17"/>
        <v>0</v>
      </c>
      <c r="G193" s="60">
        <f t="shared" si="18"/>
        <v>0</v>
      </c>
    </row>
    <row r="194" spans="1:7" x14ac:dyDescent="0.2">
      <c r="A194" s="60">
        <f t="shared" si="20"/>
        <v>180</v>
      </c>
      <c r="B194" s="59">
        <f t="shared" si="14"/>
        <v>180</v>
      </c>
      <c r="C194" s="60">
        <f t="shared" si="19"/>
        <v>0</v>
      </c>
      <c r="D194" s="60">
        <f t="shared" si="15"/>
        <v>0</v>
      </c>
      <c r="E194" s="60">
        <f t="shared" si="16"/>
        <v>0</v>
      </c>
      <c r="F194" s="60">
        <f t="shared" si="17"/>
        <v>0</v>
      </c>
      <c r="G194" s="60">
        <f t="shared" si="18"/>
        <v>0</v>
      </c>
    </row>
    <row r="195" spans="1:7" x14ac:dyDescent="0.2">
      <c r="A195" s="60">
        <f t="shared" si="20"/>
        <v>181</v>
      </c>
      <c r="B195" s="59">
        <f t="shared" si="14"/>
        <v>181</v>
      </c>
      <c r="C195" s="60">
        <f t="shared" si="19"/>
        <v>0</v>
      </c>
      <c r="D195" s="60">
        <f t="shared" si="15"/>
        <v>0</v>
      </c>
      <c r="E195" s="60">
        <f t="shared" si="16"/>
        <v>0</v>
      </c>
      <c r="F195" s="60">
        <f t="shared" si="17"/>
        <v>0</v>
      </c>
      <c r="G195" s="60">
        <f t="shared" si="18"/>
        <v>0</v>
      </c>
    </row>
    <row r="196" spans="1:7" x14ac:dyDescent="0.2">
      <c r="A196" s="60">
        <f t="shared" si="20"/>
        <v>182</v>
      </c>
      <c r="B196" s="59">
        <f t="shared" si="14"/>
        <v>182</v>
      </c>
      <c r="C196" s="60">
        <f t="shared" si="19"/>
        <v>0</v>
      </c>
      <c r="D196" s="60">
        <f t="shared" si="15"/>
        <v>0</v>
      </c>
      <c r="E196" s="60">
        <f t="shared" si="16"/>
        <v>0</v>
      </c>
      <c r="F196" s="60">
        <f t="shared" si="17"/>
        <v>0</v>
      </c>
      <c r="G196" s="60">
        <f t="shared" si="18"/>
        <v>0</v>
      </c>
    </row>
    <row r="197" spans="1:7" x14ac:dyDescent="0.2">
      <c r="A197" s="60">
        <f t="shared" si="20"/>
        <v>183</v>
      </c>
      <c r="B197" s="59">
        <f t="shared" si="14"/>
        <v>183</v>
      </c>
      <c r="C197" s="60">
        <f t="shared" si="19"/>
        <v>0</v>
      </c>
      <c r="D197" s="60">
        <f t="shared" si="15"/>
        <v>0</v>
      </c>
      <c r="E197" s="60">
        <f t="shared" si="16"/>
        <v>0</v>
      </c>
      <c r="F197" s="60">
        <f t="shared" si="17"/>
        <v>0</v>
      </c>
      <c r="G197" s="60">
        <f t="shared" si="18"/>
        <v>0</v>
      </c>
    </row>
    <row r="198" spans="1:7" x14ac:dyDescent="0.2">
      <c r="A198" s="60">
        <f t="shared" si="20"/>
        <v>184</v>
      </c>
      <c r="B198" s="59">
        <f t="shared" si="14"/>
        <v>184</v>
      </c>
      <c r="C198" s="60">
        <f t="shared" si="19"/>
        <v>0</v>
      </c>
      <c r="D198" s="60">
        <f t="shared" si="15"/>
        <v>0</v>
      </c>
      <c r="E198" s="60">
        <f t="shared" si="16"/>
        <v>0</v>
      </c>
      <c r="F198" s="60">
        <f t="shared" si="17"/>
        <v>0</v>
      </c>
      <c r="G198" s="60">
        <f t="shared" si="18"/>
        <v>0</v>
      </c>
    </row>
    <row r="199" spans="1:7" x14ac:dyDescent="0.2">
      <c r="A199" s="60">
        <f t="shared" si="20"/>
        <v>185</v>
      </c>
      <c r="B199" s="59">
        <f t="shared" si="14"/>
        <v>185</v>
      </c>
      <c r="C199" s="60">
        <f t="shared" si="19"/>
        <v>0</v>
      </c>
      <c r="D199" s="60">
        <f t="shared" si="15"/>
        <v>0</v>
      </c>
      <c r="E199" s="60">
        <f t="shared" si="16"/>
        <v>0</v>
      </c>
      <c r="F199" s="60">
        <f t="shared" si="17"/>
        <v>0</v>
      </c>
      <c r="G199" s="60">
        <f t="shared" si="18"/>
        <v>0</v>
      </c>
    </row>
    <row r="200" spans="1:7" x14ac:dyDescent="0.2">
      <c r="A200" s="60">
        <f t="shared" si="20"/>
        <v>186</v>
      </c>
      <c r="B200" s="59">
        <f t="shared" si="14"/>
        <v>186</v>
      </c>
      <c r="C200" s="60">
        <f t="shared" si="19"/>
        <v>0</v>
      </c>
      <c r="D200" s="60">
        <f t="shared" si="15"/>
        <v>0</v>
      </c>
      <c r="E200" s="60">
        <f t="shared" si="16"/>
        <v>0</v>
      </c>
      <c r="F200" s="60">
        <f t="shared" si="17"/>
        <v>0</v>
      </c>
      <c r="G200" s="60">
        <f t="shared" si="18"/>
        <v>0</v>
      </c>
    </row>
    <row r="201" spans="1:7" x14ac:dyDescent="0.2">
      <c r="A201" s="60">
        <f t="shared" si="20"/>
        <v>187</v>
      </c>
      <c r="B201" s="59">
        <f t="shared" si="14"/>
        <v>187</v>
      </c>
      <c r="C201" s="60">
        <f t="shared" si="19"/>
        <v>0</v>
      </c>
      <c r="D201" s="60">
        <f t="shared" si="15"/>
        <v>0</v>
      </c>
      <c r="E201" s="60">
        <f t="shared" si="16"/>
        <v>0</v>
      </c>
      <c r="F201" s="60">
        <f t="shared" si="17"/>
        <v>0</v>
      </c>
      <c r="G201" s="60">
        <f t="shared" si="18"/>
        <v>0</v>
      </c>
    </row>
    <row r="202" spans="1:7" x14ac:dyDescent="0.2">
      <c r="A202" s="60">
        <f t="shared" si="20"/>
        <v>188</v>
      </c>
      <c r="B202" s="59">
        <f t="shared" ref="B202:B265" si="21">+B201+1</f>
        <v>188</v>
      </c>
      <c r="C202" s="60">
        <f t="shared" si="19"/>
        <v>0</v>
      </c>
      <c r="D202" s="60">
        <f t="shared" si="15"/>
        <v>0</v>
      </c>
      <c r="E202" s="60">
        <f t="shared" si="16"/>
        <v>0</v>
      </c>
      <c r="F202" s="60">
        <f t="shared" si="17"/>
        <v>0</v>
      </c>
      <c r="G202" s="60">
        <f t="shared" si="18"/>
        <v>0</v>
      </c>
    </row>
    <row r="203" spans="1:7" x14ac:dyDescent="0.2">
      <c r="A203" s="60">
        <f t="shared" si="20"/>
        <v>189</v>
      </c>
      <c r="B203" s="59">
        <f t="shared" si="21"/>
        <v>189</v>
      </c>
      <c r="C203" s="60">
        <f t="shared" si="19"/>
        <v>0</v>
      </c>
      <c r="D203" s="60">
        <f t="shared" si="15"/>
        <v>0</v>
      </c>
      <c r="E203" s="60">
        <f t="shared" si="16"/>
        <v>0</v>
      </c>
      <c r="F203" s="60">
        <f t="shared" si="17"/>
        <v>0</v>
      </c>
      <c r="G203" s="60">
        <f t="shared" si="18"/>
        <v>0</v>
      </c>
    </row>
    <row r="204" spans="1:7" x14ac:dyDescent="0.2">
      <c r="A204" s="60">
        <f t="shared" si="20"/>
        <v>190</v>
      </c>
      <c r="B204" s="59">
        <f t="shared" si="21"/>
        <v>190</v>
      </c>
      <c r="C204" s="60">
        <f t="shared" si="19"/>
        <v>0</v>
      </c>
      <c r="D204" s="60">
        <f t="shared" si="15"/>
        <v>0</v>
      </c>
      <c r="E204" s="60">
        <f t="shared" si="16"/>
        <v>0</v>
      </c>
      <c r="F204" s="60">
        <f t="shared" si="17"/>
        <v>0</v>
      </c>
      <c r="G204" s="60">
        <f t="shared" si="18"/>
        <v>0</v>
      </c>
    </row>
    <row r="205" spans="1:7" x14ac:dyDescent="0.2">
      <c r="A205" s="60">
        <f t="shared" si="20"/>
        <v>191</v>
      </c>
      <c r="B205" s="59">
        <f t="shared" si="21"/>
        <v>191</v>
      </c>
      <c r="C205" s="60">
        <f t="shared" si="19"/>
        <v>0</v>
      </c>
      <c r="D205" s="60">
        <f t="shared" si="15"/>
        <v>0</v>
      </c>
      <c r="E205" s="60">
        <f t="shared" si="16"/>
        <v>0</v>
      </c>
      <c r="F205" s="60">
        <f t="shared" si="17"/>
        <v>0</v>
      </c>
      <c r="G205" s="60">
        <f t="shared" si="18"/>
        <v>0</v>
      </c>
    </row>
    <row r="206" spans="1:7" x14ac:dyDescent="0.2">
      <c r="A206" s="60">
        <f t="shared" si="20"/>
        <v>192</v>
      </c>
      <c r="B206" s="59">
        <f t="shared" si="21"/>
        <v>192</v>
      </c>
      <c r="C206" s="60">
        <f t="shared" si="19"/>
        <v>0</v>
      </c>
      <c r="D206" s="60">
        <f t="shared" si="15"/>
        <v>0</v>
      </c>
      <c r="E206" s="60">
        <f t="shared" si="16"/>
        <v>0</v>
      </c>
      <c r="F206" s="60">
        <f t="shared" si="17"/>
        <v>0</v>
      </c>
      <c r="G206" s="60">
        <f t="shared" si="18"/>
        <v>0</v>
      </c>
    </row>
    <row r="207" spans="1:7" x14ac:dyDescent="0.2">
      <c r="A207" s="60">
        <f t="shared" si="20"/>
        <v>193</v>
      </c>
      <c r="B207" s="59">
        <f t="shared" si="21"/>
        <v>193</v>
      </c>
      <c r="C207" s="60">
        <f t="shared" si="19"/>
        <v>0</v>
      </c>
      <c r="D207" s="60">
        <f t="shared" ref="D207:D270" si="22">IF(C207=0,0,IF(PV($G$6,$F$9-B207,-$F$10)&gt;0,PV($G$6,$F$9-B207,-$F$10),0))</f>
        <v>0</v>
      </c>
      <c r="E207" s="60">
        <f t="shared" ref="E207:E270" si="23">IF(C207=0,0,+$F$10)</f>
        <v>0</v>
      </c>
      <c r="F207" s="60">
        <f t="shared" ref="F207:F270" si="24">C207-D207</f>
        <v>0</v>
      </c>
      <c r="G207" s="60">
        <f t="shared" ref="G207:G270" si="25">E207-F207</f>
        <v>0</v>
      </c>
    </row>
    <row r="208" spans="1:7" x14ac:dyDescent="0.2">
      <c r="A208" s="60">
        <f t="shared" si="20"/>
        <v>194</v>
      </c>
      <c r="B208" s="59">
        <f t="shared" si="21"/>
        <v>194</v>
      </c>
      <c r="C208" s="60">
        <f t="shared" ref="C208:C271" si="26">D207</f>
        <v>0</v>
      </c>
      <c r="D208" s="60">
        <f t="shared" si="22"/>
        <v>0</v>
      </c>
      <c r="E208" s="60">
        <f t="shared" si="23"/>
        <v>0</v>
      </c>
      <c r="F208" s="60">
        <f t="shared" si="24"/>
        <v>0</v>
      </c>
      <c r="G208" s="60">
        <f t="shared" si="25"/>
        <v>0</v>
      </c>
    </row>
    <row r="209" spans="1:7" x14ac:dyDescent="0.2">
      <c r="A209" s="60">
        <f t="shared" si="20"/>
        <v>195</v>
      </c>
      <c r="B209" s="59">
        <f t="shared" si="21"/>
        <v>195</v>
      </c>
      <c r="C209" s="60">
        <f t="shared" si="26"/>
        <v>0</v>
      </c>
      <c r="D209" s="60">
        <f t="shared" si="22"/>
        <v>0</v>
      </c>
      <c r="E209" s="60">
        <f t="shared" si="23"/>
        <v>0</v>
      </c>
      <c r="F209" s="60">
        <f t="shared" si="24"/>
        <v>0</v>
      </c>
      <c r="G209" s="60">
        <f t="shared" si="25"/>
        <v>0</v>
      </c>
    </row>
    <row r="210" spans="1:7" x14ac:dyDescent="0.2">
      <c r="A210" s="60">
        <f t="shared" si="20"/>
        <v>196</v>
      </c>
      <c r="B210" s="59">
        <f t="shared" si="21"/>
        <v>196</v>
      </c>
      <c r="C210" s="60">
        <f t="shared" si="26"/>
        <v>0</v>
      </c>
      <c r="D210" s="60">
        <f t="shared" si="22"/>
        <v>0</v>
      </c>
      <c r="E210" s="60">
        <f t="shared" si="23"/>
        <v>0</v>
      </c>
      <c r="F210" s="60">
        <f t="shared" si="24"/>
        <v>0</v>
      </c>
      <c r="G210" s="60">
        <f t="shared" si="25"/>
        <v>0</v>
      </c>
    </row>
    <row r="211" spans="1:7" x14ac:dyDescent="0.2">
      <c r="A211" s="60">
        <f t="shared" si="20"/>
        <v>197</v>
      </c>
      <c r="B211" s="59">
        <f t="shared" si="21"/>
        <v>197</v>
      </c>
      <c r="C211" s="60">
        <f t="shared" si="26"/>
        <v>0</v>
      </c>
      <c r="D211" s="60">
        <f t="shared" si="22"/>
        <v>0</v>
      </c>
      <c r="E211" s="60">
        <f t="shared" si="23"/>
        <v>0</v>
      </c>
      <c r="F211" s="60">
        <f t="shared" si="24"/>
        <v>0</v>
      </c>
      <c r="G211" s="60">
        <f t="shared" si="25"/>
        <v>0</v>
      </c>
    </row>
    <row r="212" spans="1:7" x14ac:dyDescent="0.2">
      <c r="A212" s="60">
        <f t="shared" si="20"/>
        <v>198</v>
      </c>
      <c r="B212" s="59">
        <f t="shared" si="21"/>
        <v>198</v>
      </c>
      <c r="C212" s="60">
        <f t="shared" si="26"/>
        <v>0</v>
      </c>
      <c r="D212" s="60">
        <f t="shared" si="22"/>
        <v>0</v>
      </c>
      <c r="E212" s="60">
        <f t="shared" si="23"/>
        <v>0</v>
      </c>
      <c r="F212" s="60">
        <f t="shared" si="24"/>
        <v>0</v>
      </c>
      <c r="G212" s="60">
        <f t="shared" si="25"/>
        <v>0</v>
      </c>
    </row>
    <row r="213" spans="1:7" x14ac:dyDescent="0.2">
      <c r="A213" s="60">
        <f t="shared" si="20"/>
        <v>199</v>
      </c>
      <c r="B213" s="59">
        <f t="shared" si="21"/>
        <v>199</v>
      </c>
      <c r="C213" s="60">
        <f t="shared" si="26"/>
        <v>0</v>
      </c>
      <c r="D213" s="60">
        <f t="shared" si="22"/>
        <v>0</v>
      </c>
      <c r="E213" s="60">
        <f t="shared" si="23"/>
        <v>0</v>
      </c>
      <c r="F213" s="60">
        <f t="shared" si="24"/>
        <v>0</v>
      </c>
      <c r="G213" s="60">
        <f t="shared" si="25"/>
        <v>0</v>
      </c>
    </row>
    <row r="214" spans="1:7" x14ac:dyDescent="0.2">
      <c r="A214" s="60">
        <f t="shared" si="20"/>
        <v>200</v>
      </c>
      <c r="B214" s="59">
        <f t="shared" si="21"/>
        <v>200</v>
      </c>
      <c r="C214" s="60">
        <f t="shared" si="26"/>
        <v>0</v>
      </c>
      <c r="D214" s="60">
        <f t="shared" si="22"/>
        <v>0</v>
      </c>
      <c r="E214" s="60">
        <f t="shared" si="23"/>
        <v>0</v>
      </c>
      <c r="F214" s="60">
        <f t="shared" si="24"/>
        <v>0</v>
      </c>
      <c r="G214" s="60">
        <f t="shared" si="25"/>
        <v>0</v>
      </c>
    </row>
    <row r="215" spans="1:7" x14ac:dyDescent="0.2">
      <c r="A215" s="60">
        <f t="shared" si="20"/>
        <v>201</v>
      </c>
      <c r="B215" s="59">
        <f t="shared" si="21"/>
        <v>201</v>
      </c>
      <c r="C215" s="60">
        <f t="shared" si="26"/>
        <v>0</v>
      </c>
      <c r="D215" s="60">
        <f t="shared" si="22"/>
        <v>0</v>
      </c>
      <c r="E215" s="60">
        <f t="shared" si="23"/>
        <v>0</v>
      </c>
      <c r="F215" s="60">
        <f t="shared" si="24"/>
        <v>0</v>
      </c>
      <c r="G215" s="60">
        <f t="shared" si="25"/>
        <v>0</v>
      </c>
    </row>
    <row r="216" spans="1:7" x14ac:dyDescent="0.2">
      <c r="A216" s="60">
        <f t="shared" si="20"/>
        <v>202</v>
      </c>
      <c r="B216" s="59">
        <f t="shared" si="21"/>
        <v>202</v>
      </c>
      <c r="C216" s="60">
        <f t="shared" si="26"/>
        <v>0</v>
      </c>
      <c r="D216" s="60">
        <f t="shared" si="22"/>
        <v>0</v>
      </c>
      <c r="E216" s="60">
        <f t="shared" si="23"/>
        <v>0</v>
      </c>
      <c r="F216" s="60">
        <f t="shared" si="24"/>
        <v>0</v>
      </c>
      <c r="G216" s="60">
        <f t="shared" si="25"/>
        <v>0</v>
      </c>
    </row>
    <row r="217" spans="1:7" x14ac:dyDescent="0.2">
      <c r="A217" s="60">
        <f t="shared" si="20"/>
        <v>203</v>
      </c>
      <c r="B217" s="59">
        <f t="shared" si="21"/>
        <v>203</v>
      </c>
      <c r="C217" s="60">
        <f t="shared" si="26"/>
        <v>0</v>
      </c>
      <c r="D217" s="60">
        <f t="shared" si="22"/>
        <v>0</v>
      </c>
      <c r="E217" s="60">
        <f t="shared" si="23"/>
        <v>0</v>
      </c>
      <c r="F217" s="60">
        <f t="shared" si="24"/>
        <v>0</v>
      </c>
      <c r="G217" s="60">
        <f t="shared" si="25"/>
        <v>0</v>
      </c>
    </row>
    <row r="218" spans="1:7" x14ac:dyDescent="0.2">
      <c r="A218" s="60">
        <f t="shared" si="20"/>
        <v>204</v>
      </c>
      <c r="B218" s="59">
        <f t="shared" si="21"/>
        <v>204</v>
      </c>
      <c r="C218" s="60">
        <f t="shared" si="26"/>
        <v>0</v>
      </c>
      <c r="D218" s="60">
        <f t="shared" si="22"/>
        <v>0</v>
      </c>
      <c r="E218" s="60">
        <f t="shared" si="23"/>
        <v>0</v>
      </c>
      <c r="F218" s="60">
        <f t="shared" si="24"/>
        <v>0</v>
      </c>
      <c r="G218" s="60">
        <f t="shared" si="25"/>
        <v>0</v>
      </c>
    </row>
    <row r="219" spans="1:7" x14ac:dyDescent="0.2">
      <c r="A219" s="60">
        <f t="shared" ref="A219:A282" si="27">CEILING((B219/(12/$F$7)),1)</f>
        <v>205</v>
      </c>
      <c r="B219" s="59">
        <f t="shared" si="21"/>
        <v>205</v>
      </c>
      <c r="C219" s="60">
        <f t="shared" si="26"/>
        <v>0</v>
      </c>
      <c r="D219" s="60">
        <f t="shared" si="22"/>
        <v>0</v>
      </c>
      <c r="E219" s="60">
        <f t="shared" si="23"/>
        <v>0</v>
      </c>
      <c r="F219" s="60">
        <f t="shared" si="24"/>
        <v>0</v>
      </c>
      <c r="G219" s="60">
        <f t="shared" si="25"/>
        <v>0</v>
      </c>
    </row>
    <row r="220" spans="1:7" x14ac:dyDescent="0.2">
      <c r="A220" s="60">
        <f t="shared" si="27"/>
        <v>206</v>
      </c>
      <c r="B220" s="59">
        <f t="shared" si="21"/>
        <v>206</v>
      </c>
      <c r="C220" s="60">
        <f t="shared" si="26"/>
        <v>0</v>
      </c>
      <c r="D220" s="60">
        <f t="shared" si="22"/>
        <v>0</v>
      </c>
      <c r="E220" s="60">
        <f t="shared" si="23"/>
        <v>0</v>
      </c>
      <c r="F220" s="60">
        <f t="shared" si="24"/>
        <v>0</v>
      </c>
      <c r="G220" s="60">
        <f t="shared" si="25"/>
        <v>0</v>
      </c>
    </row>
    <row r="221" spans="1:7" x14ac:dyDescent="0.2">
      <c r="A221" s="60">
        <f t="shared" si="27"/>
        <v>207</v>
      </c>
      <c r="B221" s="59">
        <f t="shared" si="21"/>
        <v>207</v>
      </c>
      <c r="C221" s="60">
        <f t="shared" si="26"/>
        <v>0</v>
      </c>
      <c r="D221" s="60">
        <f t="shared" si="22"/>
        <v>0</v>
      </c>
      <c r="E221" s="60">
        <f t="shared" si="23"/>
        <v>0</v>
      </c>
      <c r="F221" s="60">
        <f t="shared" si="24"/>
        <v>0</v>
      </c>
      <c r="G221" s="60">
        <f t="shared" si="25"/>
        <v>0</v>
      </c>
    </row>
    <row r="222" spans="1:7" x14ac:dyDescent="0.2">
      <c r="A222" s="60">
        <f t="shared" si="27"/>
        <v>208</v>
      </c>
      <c r="B222" s="59">
        <f t="shared" si="21"/>
        <v>208</v>
      </c>
      <c r="C222" s="60">
        <f t="shared" si="26"/>
        <v>0</v>
      </c>
      <c r="D222" s="60">
        <f t="shared" si="22"/>
        <v>0</v>
      </c>
      <c r="E222" s="60">
        <f t="shared" si="23"/>
        <v>0</v>
      </c>
      <c r="F222" s="60">
        <f t="shared" si="24"/>
        <v>0</v>
      </c>
      <c r="G222" s="60">
        <f t="shared" si="25"/>
        <v>0</v>
      </c>
    </row>
    <row r="223" spans="1:7" x14ac:dyDescent="0.2">
      <c r="A223" s="60">
        <f t="shared" si="27"/>
        <v>209</v>
      </c>
      <c r="B223" s="59">
        <f t="shared" si="21"/>
        <v>209</v>
      </c>
      <c r="C223" s="60">
        <f t="shared" si="26"/>
        <v>0</v>
      </c>
      <c r="D223" s="60">
        <f t="shared" si="22"/>
        <v>0</v>
      </c>
      <c r="E223" s="60">
        <f t="shared" si="23"/>
        <v>0</v>
      </c>
      <c r="F223" s="60">
        <f t="shared" si="24"/>
        <v>0</v>
      </c>
      <c r="G223" s="60">
        <f t="shared" si="25"/>
        <v>0</v>
      </c>
    </row>
    <row r="224" spans="1:7" x14ac:dyDescent="0.2">
      <c r="A224" s="60">
        <f t="shared" si="27"/>
        <v>210</v>
      </c>
      <c r="B224" s="59">
        <f t="shared" si="21"/>
        <v>210</v>
      </c>
      <c r="C224" s="60">
        <f t="shared" si="26"/>
        <v>0</v>
      </c>
      <c r="D224" s="60">
        <f t="shared" si="22"/>
        <v>0</v>
      </c>
      <c r="E224" s="60">
        <f t="shared" si="23"/>
        <v>0</v>
      </c>
      <c r="F224" s="60">
        <f t="shared" si="24"/>
        <v>0</v>
      </c>
      <c r="G224" s="60">
        <f t="shared" si="25"/>
        <v>0</v>
      </c>
    </row>
    <row r="225" spans="1:7" x14ac:dyDescent="0.2">
      <c r="A225" s="60">
        <f t="shared" si="27"/>
        <v>211</v>
      </c>
      <c r="B225" s="59">
        <f t="shared" si="21"/>
        <v>211</v>
      </c>
      <c r="C225" s="60">
        <f t="shared" si="26"/>
        <v>0</v>
      </c>
      <c r="D225" s="60">
        <f t="shared" si="22"/>
        <v>0</v>
      </c>
      <c r="E225" s="60">
        <f t="shared" si="23"/>
        <v>0</v>
      </c>
      <c r="F225" s="60">
        <f t="shared" si="24"/>
        <v>0</v>
      </c>
      <c r="G225" s="60">
        <f t="shared" si="25"/>
        <v>0</v>
      </c>
    </row>
    <row r="226" spans="1:7" x14ac:dyDescent="0.2">
      <c r="A226" s="60">
        <f t="shared" si="27"/>
        <v>212</v>
      </c>
      <c r="B226" s="59">
        <f t="shared" si="21"/>
        <v>212</v>
      </c>
      <c r="C226" s="60">
        <f t="shared" si="26"/>
        <v>0</v>
      </c>
      <c r="D226" s="60">
        <f t="shared" si="22"/>
        <v>0</v>
      </c>
      <c r="E226" s="60">
        <f t="shared" si="23"/>
        <v>0</v>
      </c>
      <c r="F226" s="60">
        <f t="shared" si="24"/>
        <v>0</v>
      </c>
      <c r="G226" s="60">
        <f t="shared" si="25"/>
        <v>0</v>
      </c>
    </row>
    <row r="227" spans="1:7" x14ac:dyDescent="0.2">
      <c r="A227" s="60">
        <f t="shared" si="27"/>
        <v>213</v>
      </c>
      <c r="B227" s="59">
        <f t="shared" si="21"/>
        <v>213</v>
      </c>
      <c r="C227" s="60">
        <f t="shared" si="26"/>
        <v>0</v>
      </c>
      <c r="D227" s="60">
        <f t="shared" si="22"/>
        <v>0</v>
      </c>
      <c r="E227" s="60">
        <f t="shared" si="23"/>
        <v>0</v>
      </c>
      <c r="F227" s="60">
        <f t="shared" si="24"/>
        <v>0</v>
      </c>
      <c r="G227" s="60">
        <f t="shared" si="25"/>
        <v>0</v>
      </c>
    </row>
    <row r="228" spans="1:7" x14ac:dyDescent="0.2">
      <c r="A228" s="60">
        <f t="shared" si="27"/>
        <v>214</v>
      </c>
      <c r="B228" s="59">
        <f t="shared" si="21"/>
        <v>214</v>
      </c>
      <c r="C228" s="60">
        <f t="shared" si="26"/>
        <v>0</v>
      </c>
      <c r="D228" s="60">
        <f t="shared" si="22"/>
        <v>0</v>
      </c>
      <c r="E228" s="60">
        <f t="shared" si="23"/>
        <v>0</v>
      </c>
      <c r="F228" s="60">
        <f t="shared" si="24"/>
        <v>0</v>
      </c>
      <c r="G228" s="60">
        <f t="shared" si="25"/>
        <v>0</v>
      </c>
    </row>
    <row r="229" spans="1:7" x14ac:dyDescent="0.2">
      <c r="A229" s="60">
        <f t="shared" si="27"/>
        <v>215</v>
      </c>
      <c r="B229" s="59">
        <f t="shared" si="21"/>
        <v>215</v>
      </c>
      <c r="C229" s="60">
        <f t="shared" si="26"/>
        <v>0</v>
      </c>
      <c r="D229" s="60">
        <f t="shared" si="22"/>
        <v>0</v>
      </c>
      <c r="E229" s="60">
        <f t="shared" si="23"/>
        <v>0</v>
      </c>
      <c r="F229" s="60">
        <f t="shared" si="24"/>
        <v>0</v>
      </c>
      <c r="G229" s="60">
        <f t="shared" si="25"/>
        <v>0</v>
      </c>
    </row>
    <row r="230" spans="1:7" x14ac:dyDescent="0.2">
      <c r="A230" s="60">
        <f t="shared" si="27"/>
        <v>216</v>
      </c>
      <c r="B230" s="59">
        <f t="shared" si="21"/>
        <v>216</v>
      </c>
      <c r="C230" s="60">
        <f t="shared" si="26"/>
        <v>0</v>
      </c>
      <c r="D230" s="60">
        <f t="shared" si="22"/>
        <v>0</v>
      </c>
      <c r="E230" s="60">
        <f t="shared" si="23"/>
        <v>0</v>
      </c>
      <c r="F230" s="60">
        <f t="shared" si="24"/>
        <v>0</v>
      </c>
      <c r="G230" s="60">
        <f t="shared" si="25"/>
        <v>0</v>
      </c>
    </row>
    <row r="231" spans="1:7" x14ac:dyDescent="0.2">
      <c r="A231" s="60">
        <f t="shared" si="27"/>
        <v>217</v>
      </c>
      <c r="B231" s="59">
        <f t="shared" si="21"/>
        <v>217</v>
      </c>
      <c r="C231" s="60">
        <f t="shared" si="26"/>
        <v>0</v>
      </c>
      <c r="D231" s="60">
        <f t="shared" si="22"/>
        <v>0</v>
      </c>
      <c r="E231" s="60">
        <f t="shared" si="23"/>
        <v>0</v>
      </c>
      <c r="F231" s="60">
        <f t="shared" si="24"/>
        <v>0</v>
      </c>
      <c r="G231" s="60">
        <f t="shared" si="25"/>
        <v>0</v>
      </c>
    </row>
    <row r="232" spans="1:7" x14ac:dyDescent="0.2">
      <c r="A232" s="60">
        <f t="shared" si="27"/>
        <v>218</v>
      </c>
      <c r="B232" s="59">
        <f t="shared" si="21"/>
        <v>218</v>
      </c>
      <c r="C232" s="60">
        <f t="shared" si="26"/>
        <v>0</v>
      </c>
      <c r="D232" s="60">
        <f t="shared" si="22"/>
        <v>0</v>
      </c>
      <c r="E232" s="60">
        <f t="shared" si="23"/>
        <v>0</v>
      </c>
      <c r="F232" s="60">
        <f t="shared" si="24"/>
        <v>0</v>
      </c>
      <c r="G232" s="60">
        <f t="shared" si="25"/>
        <v>0</v>
      </c>
    </row>
    <row r="233" spans="1:7" x14ac:dyDescent="0.2">
      <c r="A233" s="60">
        <f t="shared" si="27"/>
        <v>219</v>
      </c>
      <c r="B233" s="59">
        <f t="shared" si="21"/>
        <v>219</v>
      </c>
      <c r="C233" s="60">
        <f t="shared" si="26"/>
        <v>0</v>
      </c>
      <c r="D233" s="60">
        <f t="shared" si="22"/>
        <v>0</v>
      </c>
      <c r="E233" s="60">
        <f t="shared" si="23"/>
        <v>0</v>
      </c>
      <c r="F233" s="60">
        <f t="shared" si="24"/>
        <v>0</v>
      </c>
      <c r="G233" s="60">
        <f t="shared" si="25"/>
        <v>0</v>
      </c>
    </row>
    <row r="234" spans="1:7" x14ac:dyDescent="0.2">
      <c r="A234" s="60">
        <f t="shared" si="27"/>
        <v>220</v>
      </c>
      <c r="B234" s="59">
        <f t="shared" si="21"/>
        <v>220</v>
      </c>
      <c r="C234" s="60">
        <f t="shared" si="26"/>
        <v>0</v>
      </c>
      <c r="D234" s="60">
        <f t="shared" si="22"/>
        <v>0</v>
      </c>
      <c r="E234" s="60">
        <f t="shared" si="23"/>
        <v>0</v>
      </c>
      <c r="F234" s="60">
        <f t="shared" si="24"/>
        <v>0</v>
      </c>
      <c r="G234" s="60">
        <f t="shared" si="25"/>
        <v>0</v>
      </c>
    </row>
    <row r="235" spans="1:7" x14ac:dyDescent="0.2">
      <c r="A235" s="60">
        <f t="shared" si="27"/>
        <v>221</v>
      </c>
      <c r="B235" s="59">
        <f t="shared" si="21"/>
        <v>221</v>
      </c>
      <c r="C235" s="60">
        <f t="shared" si="26"/>
        <v>0</v>
      </c>
      <c r="D235" s="60">
        <f t="shared" si="22"/>
        <v>0</v>
      </c>
      <c r="E235" s="60">
        <f t="shared" si="23"/>
        <v>0</v>
      </c>
      <c r="F235" s="60">
        <f t="shared" si="24"/>
        <v>0</v>
      </c>
      <c r="G235" s="60">
        <f t="shared" si="25"/>
        <v>0</v>
      </c>
    </row>
    <row r="236" spans="1:7" x14ac:dyDescent="0.2">
      <c r="A236" s="60">
        <f t="shared" si="27"/>
        <v>222</v>
      </c>
      <c r="B236" s="59">
        <f t="shared" si="21"/>
        <v>222</v>
      </c>
      <c r="C236" s="60">
        <f t="shared" si="26"/>
        <v>0</v>
      </c>
      <c r="D236" s="60">
        <f t="shared" si="22"/>
        <v>0</v>
      </c>
      <c r="E236" s="60">
        <f t="shared" si="23"/>
        <v>0</v>
      </c>
      <c r="F236" s="60">
        <f t="shared" si="24"/>
        <v>0</v>
      </c>
      <c r="G236" s="60">
        <f t="shared" si="25"/>
        <v>0</v>
      </c>
    </row>
    <row r="237" spans="1:7" x14ac:dyDescent="0.2">
      <c r="A237" s="60">
        <f t="shared" si="27"/>
        <v>223</v>
      </c>
      <c r="B237" s="59">
        <f t="shared" si="21"/>
        <v>223</v>
      </c>
      <c r="C237" s="60">
        <f t="shared" si="26"/>
        <v>0</v>
      </c>
      <c r="D237" s="60">
        <f t="shared" si="22"/>
        <v>0</v>
      </c>
      <c r="E237" s="60">
        <f t="shared" si="23"/>
        <v>0</v>
      </c>
      <c r="F237" s="60">
        <f t="shared" si="24"/>
        <v>0</v>
      </c>
      <c r="G237" s="60">
        <f t="shared" si="25"/>
        <v>0</v>
      </c>
    </row>
    <row r="238" spans="1:7" x14ac:dyDescent="0.2">
      <c r="A238" s="60">
        <f t="shared" si="27"/>
        <v>224</v>
      </c>
      <c r="B238" s="59">
        <f t="shared" si="21"/>
        <v>224</v>
      </c>
      <c r="C238" s="60">
        <f t="shared" si="26"/>
        <v>0</v>
      </c>
      <c r="D238" s="60">
        <f t="shared" si="22"/>
        <v>0</v>
      </c>
      <c r="E238" s="60">
        <f t="shared" si="23"/>
        <v>0</v>
      </c>
      <c r="F238" s="60">
        <f t="shared" si="24"/>
        <v>0</v>
      </c>
      <c r="G238" s="60">
        <f t="shared" si="25"/>
        <v>0</v>
      </c>
    </row>
    <row r="239" spans="1:7" x14ac:dyDescent="0.2">
      <c r="A239" s="60">
        <f t="shared" si="27"/>
        <v>225</v>
      </c>
      <c r="B239" s="59">
        <f t="shared" si="21"/>
        <v>225</v>
      </c>
      <c r="C239" s="60">
        <f t="shared" si="26"/>
        <v>0</v>
      </c>
      <c r="D239" s="60">
        <f t="shared" si="22"/>
        <v>0</v>
      </c>
      <c r="E239" s="60">
        <f t="shared" si="23"/>
        <v>0</v>
      </c>
      <c r="F239" s="60">
        <f t="shared" si="24"/>
        <v>0</v>
      </c>
      <c r="G239" s="60">
        <f t="shared" si="25"/>
        <v>0</v>
      </c>
    </row>
    <row r="240" spans="1:7" x14ac:dyDescent="0.2">
      <c r="A240" s="60">
        <f t="shared" si="27"/>
        <v>226</v>
      </c>
      <c r="B240" s="59">
        <f t="shared" si="21"/>
        <v>226</v>
      </c>
      <c r="C240" s="60">
        <f t="shared" si="26"/>
        <v>0</v>
      </c>
      <c r="D240" s="60">
        <f t="shared" si="22"/>
        <v>0</v>
      </c>
      <c r="E240" s="60">
        <f t="shared" si="23"/>
        <v>0</v>
      </c>
      <c r="F240" s="60">
        <f t="shared" si="24"/>
        <v>0</v>
      </c>
      <c r="G240" s="60">
        <f t="shared" si="25"/>
        <v>0</v>
      </c>
    </row>
    <row r="241" spans="1:7" x14ac:dyDescent="0.2">
      <c r="A241" s="60">
        <f t="shared" si="27"/>
        <v>227</v>
      </c>
      <c r="B241" s="59">
        <f t="shared" si="21"/>
        <v>227</v>
      </c>
      <c r="C241" s="60">
        <f t="shared" si="26"/>
        <v>0</v>
      </c>
      <c r="D241" s="60">
        <f t="shared" si="22"/>
        <v>0</v>
      </c>
      <c r="E241" s="60">
        <f t="shared" si="23"/>
        <v>0</v>
      </c>
      <c r="F241" s="60">
        <f t="shared" si="24"/>
        <v>0</v>
      </c>
      <c r="G241" s="60">
        <f t="shared" si="25"/>
        <v>0</v>
      </c>
    </row>
    <row r="242" spans="1:7" x14ac:dyDescent="0.2">
      <c r="A242" s="60">
        <f t="shared" si="27"/>
        <v>228</v>
      </c>
      <c r="B242" s="59">
        <f t="shared" si="21"/>
        <v>228</v>
      </c>
      <c r="C242" s="60">
        <f t="shared" si="26"/>
        <v>0</v>
      </c>
      <c r="D242" s="60">
        <f t="shared" si="22"/>
        <v>0</v>
      </c>
      <c r="E242" s="60">
        <f t="shared" si="23"/>
        <v>0</v>
      </c>
      <c r="F242" s="60">
        <f t="shared" si="24"/>
        <v>0</v>
      </c>
      <c r="G242" s="60">
        <f t="shared" si="25"/>
        <v>0</v>
      </c>
    </row>
    <row r="243" spans="1:7" x14ac:dyDescent="0.2">
      <c r="A243" s="60">
        <f t="shared" si="27"/>
        <v>229</v>
      </c>
      <c r="B243" s="59">
        <f t="shared" si="21"/>
        <v>229</v>
      </c>
      <c r="C243" s="60">
        <f t="shared" si="26"/>
        <v>0</v>
      </c>
      <c r="D243" s="60">
        <f t="shared" si="22"/>
        <v>0</v>
      </c>
      <c r="E243" s="60">
        <f t="shared" si="23"/>
        <v>0</v>
      </c>
      <c r="F243" s="60">
        <f t="shared" si="24"/>
        <v>0</v>
      </c>
      <c r="G243" s="60">
        <f t="shared" si="25"/>
        <v>0</v>
      </c>
    </row>
    <row r="244" spans="1:7" x14ac:dyDescent="0.2">
      <c r="A244" s="60">
        <f t="shared" si="27"/>
        <v>230</v>
      </c>
      <c r="B244" s="59">
        <f t="shared" si="21"/>
        <v>230</v>
      </c>
      <c r="C244" s="60">
        <f t="shared" si="26"/>
        <v>0</v>
      </c>
      <c r="D244" s="60">
        <f t="shared" si="22"/>
        <v>0</v>
      </c>
      <c r="E244" s="60">
        <f t="shared" si="23"/>
        <v>0</v>
      </c>
      <c r="F244" s="60">
        <f t="shared" si="24"/>
        <v>0</v>
      </c>
      <c r="G244" s="60">
        <f t="shared" si="25"/>
        <v>0</v>
      </c>
    </row>
    <row r="245" spans="1:7" x14ac:dyDescent="0.2">
      <c r="A245" s="60">
        <f t="shared" si="27"/>
        <v>231</v>
      </c>
      <c r="B245" s="59">
        <f t="shared" si="21"/>
        <v>231</v>
      </c>
      <c r="C245" s="60">
        <f t="shared" si="26"/>
        <v>0</v>
      </c>
      <c r="D245" s="60">
        <f t="shared" si="22"/>
        <v>0</v>
      </c>
      <c r="E245" s="60">
        <f t="shared" si="23"/>
        <v>0</v>
      </c>
      <c r="F245" s="60">
        <f t="shared" si="24"/>
        <v>0</v>
      </c>
      <c r="G245" s="60">
        <f t="shared" si="25"/>
        <v>0</v>
      </c>
    </row>
    <row r="246" spans="1:7" x14ac:dyDescent="0.2">
      <c r="A246" s="60">
        <f t="shared" si="27"/>
        <v>232</v>
      </c>
      <c r="B246" s="59">
        <f t="shared" si="21"/>
        <v>232</v>
      </c>
      <c r="C246" s="60">
        <f t="shared" si="26"/>
        <v>0</v>
      </c>
      <c r="D246" s="60">
        <f t="shared" si="22"/>
        <v>0</v>
      </c>
      <c r="E246" s="60">
        <f t="shared" si="23"/>
        <v>0</v>
      </c>
      <c r="F246" s="60">
        <f t="shared" si="24"/>
        <v>0</v>
      </c>
      <c r="G246" s="60">
        <f t="shared" si="25"/>
        <v>0</v>
      </c>
    </row>
    <row r="247" spans="1:7" x14ac:dyDescent="0.2">
      <c r="A247" s="60">
        <f t="shared" si="27"/>
        <v>233</v>
      </c>
      <c r="B247" s="59">
        <f t="shared" si="21"/>
        <v>233</v>
      </c>
      <c r="C247" s="60">
        <f t="shared" si="26"/>
        <v>0</v>
      </c>
      <c r="D247" s="60">
        <f t="shared" si="22"/>
        <v>0</v>
      </c>
      <c r="E247" s="60">
        <f t="shared" si="23"/>
        <v>0</v>
      </c>
      <c r="F247" s="60">
        <f t="shared" si="24"/>
        <v>0</v>
      </c>
      <c r="G247" s="60">
        <f t="shared" si="25"/>
        <v>0</v>
      </c>
    </row>
    <row r="248" spans="1:7" x14ac:dyDescent="0.2">
      <c r="A248" s="60">
        <f t="shared" si="27"/>
        <v>234</v>
      </c>
      <c r="B248" s="59">
        <f t="shared" si="21"/>
        <v>234</v>
      </c>
      <c r="C248" s="60">
        <f t="shared" si="26"/>
        <v>0</v>
      </c>
      <c r="D248" s="60">
        <f t="shared" si="22"/>
        <v>0</v>
      </c>
      <c r="E248" s="60">
        <f t="shared" si="23"/>
        <v>0</v>
      </c>
      <c r="F248" s="60">
        <f t="shared" si="24"/>
        <v>0</v>
      </c>
      <c r="G248" s="60">
        <f t="shared" si="25"/>
        <v>0</v>
      </c>
    </row>
    <row r="249" spans="1:7" x14ac:dyDescent="0.2">
      <c r="A249" s="60">
        <f t="shared" si="27"/>
        <v>235</v>
      </c>
      <c r="B249" s="59">
        <f t="shared" si="21"/>
        <v>235</v>
      </c>
      <c r="C249" s="60">
        <f t="shared" si="26"/>
        <v>0</v>
      </c>
      <c r="D249" s="60">
        <f t="shared" si="22"/>
        <v>0</v>
      </c>
      <c r="E249" s="60">
        <f t="shared" si="23"/>
        <v>0</v>
      </c>
      <c r="F249" s="60">
        <f t="shared" si="24"/>
        <v>0</v>
      </c>
      <c r="G249" s="60">
        <f t="shared" si="25"/>
        <v>0</v>
      </c>
    </row>
    <row r="250" spans="1:7" x14ac:dyDescent="0.2">
      <c r="A250" s="60">
        <f t="shared" si="27"/>
        <v>236</v>
      </c>
      <c r="B250" s="59">
        <f t="shared" si="21"/>
        <v>236</v>
      </c>
      <c r="C250" s="60">
        <f t="shared" si="26"/>
        <v>0</v>
      </c>
      <c r="D250" s="60">
        <f t="shared" si="22"/>
        <v>0</v>
      </c>
      <c r="E250" s="60">
        <f t="shared" si="23"/>
        <v>0</v>
      </c>
      <c r="F250" s="60">
        <f t="shared" si="24"/>
        <v>0</v>
      </c>
      <c r="G250" s="60">
        <f t="shared" si="25"/>
        <v>0</v>
      </c>
    </row>
    <row r="251" spans="1:7" x14ac:dyDescent="0.2">
      <c r="A251" s="60">
        <f t="shared" si="27"/>
        <v>237</v>
      </c>
      <c r="B251" s="59">
        <f t="shared" si="21"/>
        <v>237</v>
      </c>
      <c r="C251" s="60">
        <f t="shared" si="26"/>
        <v>0</v>
      </c>
      <c r="D251" s="60">
        <f t="shared" si="22"/>
        <v>0</v>
      </c>
      <c r="E251" s="60">
        <f t="shared" si="23"/>
        <v>0</v>
      </c>
      <c r="F251" s="60">
        <f t="shared" si="24"/>
        <v>0</v>
      </c>
      <c r="G251" s="60">
        <f t="shared" si="25"/>
        <v>0</v>
      </c>
    </row>
    <row r="252" spans="1:7" x14ac:dyDescent="0.2">
      <c r="A252" s="60">
        <f t="shared" si="27"/>
        <v>238</v>
      </c>
      <c r="B252" s="59">
        <f t="shared" si="21"/>
        <v>238</v>
      </c>
      <c r="C252" s="60">
        <f t="shared" si="26"/>
        <v>0</v>
      </c>
      <c r="D252" s="60">
        <f t="shared" si="22"/>
        <v>0</v>
      </c>
      <c r="E252" s="60">
        <f t="shared" si="23"/>
        <v>0</v>
      </c>
      <c r="F252" s="60">
        <f t="shared" si="24"/>
        <v>0</v>
      </c>
      <c r="G252" s="60">
        <f t="shared" si="25"/>
        <v>0</v>
      </c>
    </row>
    <row r="253" spans="1:7" x14ac:dyDescent="0.2">
      <c r="A253" s="60">
        <f t="shared" si="27"/>
        <v>239</v>
      </c>
      <c r="B253" s="59">
        <f t="shared" si="21"/>
        <v>239</v>
      </c>
      <c r="C253" s="60">
        <f t="shared" si="26"/>
        <v>0</v>
      </c>
      <c r="D253" s="60">
        <f t="shared" si="22"/>
        <v>0</v>
      </c>
      <c r="E253" s="60">
        <f t="shared" si="23"/>
        <v>0</v>
      </c>
      <c r="F253" s="60">
        <f t="shared" si="24"/>
        <v>0</v>
      </c>
      <c r="G253" s="60">
        <f t="shared" si="25"/>
        <v>0</v>
      </c>
    </row>
    <row r="254" spans="1:7" x14ac:dyDescent="0.2">
      <c r="A254" s="60">
        <f t="shared" si="27"/>
        <v>240</v>
      </c>
      <c r="B254" s="59">
        <f t="shared" si="21"/>
        <v>240</v>
      </c>
      <c r="C254" s="60">
        <f t="shared" si="26"/>
        <v>0</v>
      </c>
      <c r="D254" s="60">
        <f t="shared" si="22"/>
        <v>0</v>
      </c>
      <c r="E254" s="60">
        <f t="shared" si="23"/>
        <v>0</v>
      </c>
      <c r="F254" s="60">
        <f t="shared" si="24"/>
        <v>0</v>
      </c>
      <c r="G254" s="60">
        <f t="shared" si="25"/>
        <v>0</v>
      </c>
    </row>
    <row r="255" spans="1:7" x14ac:dyDescent="0.2">
      <c r="A255" s="60">
        <f t="shared" si="27"/>
        <v>241</v>
      </c>
      <c r="B255" s="59">
        <f t="shared" si="21"/>
        <v>241</v>
      </c>
      <c r="C255" s="60">
        <f t="shared" si="26"/>
        <v>0</v>
      </c>
      <c r="D255" s="60">
        <f t="shared" si="22"/>
        <v>0</v>
      </c>
      <c r="E255" s="60">
        <f t="shared" si="23"/>
        <v>0</v>
      </c>
      <c r="F255" s="60">
        <f t="shared" si="24"/>
        <v>0</v>
      </c>
      <c r="G255" s="60">
        <f t="shared" si="25"/>
        <v>0</v>
      </c>
    </row>
    <row r="256" spans="1:7" x14ac:dyDescent="0.2">
      <c r="A256" s="60">
        <f t="shared" si="27"/>
        <v>242</v>
      </c>
      <c r="B256" s="59">
        <f t="shared" si="21"/>
        <v>242</v>
      </c>
      <c r="C256" s="60">
        <f t="shared" si="26"/>
        <v>0</v>
      </c>
      <c r="D256" s="60">
        <f t="shared" si="22"/>
        <v>0</v>
      </c>
      <c r="E256" s="60">
        <f t="shared" si="23"/>
        <v>0</v>
      </c>
      <c r="F256" s="60">
        <f t="shared" si="24"/>
        <v>0</v>
      </c>
      <c r="G256" s="60">
        <f t="shared" si="25"/>
        <v>0</v>
      </c>
    </row>
    <row r="257" spans="1:7" x14ac:dyDescent="0.2">
      <c r="A257" s="60">
        <f t="shared" si="27"/>
        <v>243</v>
      </c>
      <c r="B257" s="59">
        <f t="shared" si="21"/>
        <v>243</v>
      </c>
      <c r="C257" s="60">
        <f t="shared" si="26"/>
        <v>0</v>
      </c>
      <c r="D257" s="60">
        <f t="shared" si="22"/>
        <v>0</v>
      </c>
      <c r="E257" s="60">
        <f t="shared" si="23"/>
        <v>0</v>
      </c>
      <c r="F257" s="60">
        <f t="shared" si="24"/>
        <v>0</v>
      </c>
      <c r="G257" s="60">
        <f t="shared" si="25"/>
        <v>0</v>
      </c>
    </row>
    <row r="258" spans="1:7" x14ac:dyDescent="0.2">
      <c r="A258" s="60">
        <f t="shared" si="27"/>
        <v>244</v>
      </c>
      <c r="B258" s="59">
        <f t="shared" si="21"/>
        <v>244</v>
      </c>
      <c r="C258" s="60">
        <f t="shared" si="26"/>
        <v>0</v>
      </c>
      <c r="D258" s="60">
        <f t="shared" si="22"/>
        <v>0</v>
      </c>
      <c r="E258" s="60">
        <f t="shared" si="23"/>
        <v>0</v>
      </c>
      <c r="F258" s="60">
        <f t="shared" si="24"/>
        <v>0</v>
      </c>
      <c r="G258" s="60">
        <f t="shared" si="25"/>
        <v>0</v>
      </c>
    </row>
    <row r="259" spans="1:7" x14ac:dyDescent="0.2">
      <c r="A259" s="60">
        <f t="shared" si="27"/>
        <v>245</v>
      </c>
      <c r="B259" s="59">
        <f t="shared" si="21"/>
        <v>245</v>
      </c>
      <c r="C259" s="60">
        <f t="shared" si="26"/>
        <v>0</v>
      </c>
      <c r="D259" s="60">
        <f t="shared" si="22"/>
        <v>0</v>
      </c>
      <c r="E259" s="60">
        <f t="shared" si="23"/>
        <v>0</v>
      </c>
      <c r="F259" s="60">
        <f t="shared" si="24"/>
        <v>0</v>
      </c>
      <c r="G259" s="60">
        <f t="shared" si="25"/>
        <v>0</v>
      </c>
    </row>
    <row r="260" spans="1:7" x14ac:dyDescent="0.2">
      <c r="A260" s="60">
        <f t="shared" si="27"/>
        <v>246</v>
      </c>
      <c r="B260" s="59">
        <f t="shared" si="21"/>
        <v>246</v>
      </c>
      <c r="C260" s="60">
        <f t="shared" si="26"/>
        <v>0</v>
      </c>
      <c r="D260" s="60">
        <f t="shared" si="22"/>
        <v>0</v>
      </c>
      <c r="E260" s="60">
        <f t="shared" si="23"/>
        <v>0</v>
      </c>
      <c r="F260" s="60">
        <f t="shared" si="24"/>
        <v>0</v>
      </c>
      <c r="G260" s="60">
        <f t="shared" si="25"/>
        <v>0</v>
      </c>
    </row>
    <row r="261" spans="1:7" x14ac:dyDescent="0.2">
      <c r="A261" s="60">
        <f t="shared" si="27"/>
        <v>247</v>
      </c>
      <c r="B261" s="59">
        <f t="shared" si="21"/>
        <v>247</v>
      </c>
      <c r="C261" s="60">
        <f t="shared" si="26"/>
        <v>0</v>
      </c>
      <c r="D261" s="60">
        <f t="shared" si="22"/>
        <v>0</v>
      </c>
      <c r="E261" s="60">
        <f t="shared" si="23"/>
        <v>0</v>
      </c>
      <c r="F261" s="60">
        <f t="shared" si="24"/>
        <v>0</v>
      </c>
      <c r="G261" s="60">
        <f t="shared" si="25"/>
        <v>0</v>
      </c>
    </row>
    <row r="262" spans="1:7" x14ac:dyDescent="0.2">
      <c r="A262" s="60">
        <f t="shared" si="27"/>
        <v>248</v>
      </c>
      <c r="B262" s="59">
        <f t="shared" si="21"/>
        <v>248</v>
      </c>
      <c r="C262" s="60">
        <f t="shared" si="26"/>
        <v>0</v>
      </c>
      <c r="D262" s="60">
        <f t="shared" si="22"/>
        <v>0</v>
      </c>
      <c r="E262" s="60">
        <f t="shared" si="23"/>
        <v>0</v>
      </c>
      <c r="F262" s="60">
        <f t="shared" si="24"/>
        <v>0</v>
      </c>
      <c r="G262" s="60">
        <f t="shared" si="25"/>
        <v>0</v>
      </c>
    </row>
    <row r="263" spans="1:7" x14ac:dyDescent="0.2">
      <c r="A263" s="60">
        <f t="shared" si="27"/>
        <v>249</v>
      </c>
      <c r="B263" s="59">
        <f t="shared" si="21"/>
        <v>249</v>
      </c>
      <c r="C263" s="60">
        <f t="shared" si="26"/>
        <v>0</v>
      </c>
      <c r="D263" s="60">
        <f t="shared" si="22"/>
        <v>0</v>
      </c>
      <c r="E263" s="60">
        <f t="shared" si="23"/>
        <v>0</v>
      </c>
      <c r="F263" s="60">
        <f t="shared" si="24"/>
        <v>0</v>
      </c>
      <c r="G263" s="60">
        <f t="shared" si="25"/>
        <v>0</v>
      </c>
    </row>
    <row r="264" spans="1:7" x14ac:dyDescent="0.2">
      <c r="A264" s="60">
        <f t="shared" si="27"/>
        <v>250</v>
      </c>
      <c r="B264" s="59">
        <f t="shared" si="21"/>
        <v>250</v>
      </c>
      <c r="C264" s="60">
        <f t="shared" si="26"/>
        <v>0</v>
      </c>
      <c r="D264" s="60">
        <f t="shared" si="22"/>
        <v>0</v>
      </c>
      <c r="E264" s="60">
        <f t="shared" si="23"/>
        <v>0</v>
      </c>
      <c r="F264" s="60">
        <f t="shared" si="24"/>
        <v>0</v>
      </c>
      <c r="G264" s="60">
        <f t="shared" si="25"/>
        <v>0</v>
      </c>
    </row>
    <row r="265" spans="1:7" x14ac:dyDescent="0.2">
      <c r="A265" s="60">
        <f t="shared" si="27"/>
        <v>251</v>
      </c>
      <c r="B265" s="59">
        <f t="shared" si="21"/>
        <v>251</v>
      </c>
      <c r="C265" s="60">
        <f t="shared" si="26"/>
        <v>0</v>
      </c>
      <c r="D265" s="60">
        <f t="shared" si="22"/>
        <v>0</v>
      </c>
      <c r="E265" s="60">
        <f t="shared" si="23"/>
        <v>0</v>
      </c>
      <c r="F265" s="60">
        <f t="shared" si="24"/>
        <v>0</v>
      </c>
      <c r="G265" s="60">
        <f t="shared" si="25"/>
        <v>0</v>
      </c>
    </row>
    <row r="266" spans="1:7" x14ac:dyDescent="0.2">
      <c r="A266" s="60">
        <f t="shared" si="27"/>
        <v>252</v>
      </c>
      <c r="B266" s="59">
        <f t="shared" ref="B266:B329" si="28">+B265+1</f>
        <v>252</v>
      </c>
      <c r="C266" s="60">
        <f t="shared" si="26"/>
        <v>0</v>
      </c>
      <c r="D266" s="60">
        <f t="shared" si="22"/>
        <v>0</v>
      </c>
      <c r="E266" s="60">
        <f t="shared" si="23"/>
        <v>0</v>
      </c>
      <c r="F266" s="60">
        <f t="shared" si="24"/>
        <v>0</v>
      </c>
      <c r="G266" s="60">
        <f t="shared" si="25"/>
        <v>0</v>
      </c>
    </row>
    <row r="267" spans="1:7" x14ac:dyDescent="0.2">
      <c r="A267" s="60">
        <f t="shared" si="27"/>
        <v>253</v>
      </c>
      <c r="B267" s="59">
        <f t="shared" si="28"/>
        <v>253</v>
      </c>
      <c r="C267" s="60">
        <f t="shared" si="26"/>
        <v>0</v>
      </c>
      <c r="D267" s="60">
        <f t="shared" si="22"/>
        <v>0</v>
      </c>
      <c r="E267" s="60">
        <f t="shared" si="23"/>
        <v>0</v>
      </c>
      <c r="F267" s="60">
        <f t="shared" si="24"/>
        <v>0</v>
      </c>
      <c r="G267" s="60">
        <f t="shared" si="25"/>
        <v>0</v>
      </c>
    </row>
    <row r="268" spans="1:7" x14ac:dyDescent="0.2">
      <c r="A268" s="60">
        <f t="shared" si="27"/>
        <v>254</v>
      </c>
      <c r="B268" s="59">
        <f t="shared" si="28"/>
        <v>254</v>
      </c>
      <c r="C268" s="60">
        <f t="shared" si="26"/>
        <v>0</v>
      </c>
      <c r="D268" s="60">
        <f t="shared" si="22"/>
        <v>0</v>
      </c>
      <c r="E268" s="60">
        <f t="shared" si="23"/>
        <v>0</v>
      </c>
      <c r="F268" s="60">
        <f t="shared" si="24"/>
        <v>0</v>
      </c>
      <c r="G268" s="60">
        <f t="shared" si="25"/>
        <v>0</v>
      </c>
    </row>
    <row r="269" spans="1:7" x14ac:dyDescent="0.2">
      <c r="A269" s="60">
        <f t="shared" si="27"/>
        <v>255</v>
      </c>
      <c r="B269" s="59">
        <f t="shared" si="28"/>
        <v>255</v>
      </c>
      <c r="C269" s="60">
        <f t="shared" si="26"/>
        <v>0</v>
      </c>
      <c r="D269" s="60">
        <f t="shared" si="22"/>
        <v>0</v>
      </c>
      <c r="E269" s="60">
        <f t="shared" si="23"/>
        <v>0</v>
      </c>
      <c r="F269" s="60">
        <f t="shared" si="24"/>
        <v>0</v>
      </c>
      <c r="G269" s="60">
        <f t="shared" si="25"/>
        <v>0</v>
      </c>
    </row>
    <row r="270" spans="1:7" x14ac:dyDescent="0.2">
      <c r="A270" s="60">
        <f t="shared" si="27"/>
        <v>256</v>
      </c>
      <c r="B270" s="59">
        <f t="shared" si="28"/>
        <v>256</v>
      </c>
      <c r="C270" s="60">
        <f t="shared" si="26"/>
        <v>0</v>
      </c>
      <c r="D270" s="60">
        <f t="shared" si="22"/>
        <v>0</v>
      </c>
      <c r="E270" s="60">
        <f t="shared" si="23"/>
        <v>0</v>
      </c>
      <c r="F270" s="60">
        <f t="shared" si="24"/>
        <v>0</v>
      </c>
      <c r="G270" s="60">
        <f t="shared" si="25"/>
        <v>0</v>
      </c>
    </row>
    <row r="271" spans="1:7" x14ac:dyDescent="0.2">
      <c r="A271" s="60">
        <f t="shared" si="27"/>
        <v>257</v>
      </c>
      <c r="B271" s="59">
        <f t="shared" si="28"/>
        <v>257</v>
      </c>
      <c r="C271" s="60">
        <f t="shared" si="26"/>
        <v>0</v>
      </c>
      <c r="D271" s="60">
        <f t="shared" ref="D271:D334" si="29">IF(C271=0,0,IF(PV($G$6,$F$9-B271,-$F$10)&gt;0,PV($G$6,$F$9-B271,-$F$10),0))</f>
        <v>0</v>
      </c>
      <c r="E271" s="60">
        <f t="shared" ref="E271:E334" si="30">IF(C271=0,0,+$F$10)</f>
        <v>0</v>
      </c>
      <c r="F271" s="60">
        <f t="shared" ref="F271:F334" si="31">C271-D271</f>
        <v>0</v>
      </c>
      <c r="G271" s="60">
        <f t="shared" ref="G271:G334" si="32">E271-F271</f>
        <v>0</v>
      </c>
    </row>
    <row r="272" spans="1:7" x14ac:dyDescent="0.2">
      <c r="A272" s="60">
        <f t="shared" si="27"/>
        <v>258</v>
      </c>
      <c r="B272" s="59">
        <f t="shared" si="28"/>
        <v>258</v>
      </c>
      <c r="C272" s="60">
        <f t="shared" ref="C272:C335" si="33">D271</f>
        <v>0</v>
      </c>
      <c r="D272" s="60">
        <f t="shared" si="29"/>
        <v>0</v>
      </c>
      <c r="E272" s="60">
        <f t="shared" si="30"/>
        <v>0</v>
      </c>
      <c r="F272" s="60">
        <f t="shared" si="31"/>
        <v>0</v>
      </c>
      <c r="G272" s="60">
        <f t="shared" si="32"/>
        <v>0</v>
      </c>
    </row>
    <row r="273" spans="1:7" x14ac:dyDescent="0.2">
      <c r="A273" s="60">
        <f t="shared" si="27"/>
        <v>259</v>
      </c>
      <c r="B273" s="59">
        <f t="shared" si="28"/>
        <v>259</v>
      </c>
      <c r="C273" s="60">
        <f t="shared" si="33"/>
        <v>0</v>
      </c>
      <c r="D273" s="60">
        <f t="shared" si="29"/>
        <v>0</v>
      </c>
      <c r="E273" s="60">
        <f t="shared" si="30"/>
        <v>0</v>
      </c>
      <c r="F273" s="60">
        <f t="shared" si="31"/>
        <v>0</v>
      </c>
      <c r="G273" s="60">
        <f t="shared" si="32"/>
        <v>0</v>
      </c>
    </row>
    <row r="274" spans="1:7" x14ac:dyDescent="0.2">
      <c r="A274" s="60">
        <f t="shared" si="27"/>
        <v>260</v>
      </c>
      <c r="B274" s="59">
        <f t="shared" si="28"/>
        <v>260</v>
      </c>
      <c r="C274" s="60">
        <f t="shared" si="33"/>
        <v>0</v>
      </c>
      <c r="D274" s="60">
        <f t="shared" si="29"/>
        <v>0</v>
      </c>
      <c r="E274" s="60">
        <f t="shared" si="30"/>
        <v>0</v>
      </c>
      <c r="F274" s="60">
        <f t="shared" si="31"/>
        <v>0</v>
      </c>
      <c r="G274" s="60">
        <f t="shared" si="32"/>
        <v>0</v>
      </c>
    </row>
    <row r="275" spans="1:7" x14ac:dyDescent="0.2">
      <c r="A275" s="60">
        <f t="shared" si="27"/>
        <v>261</v>
      </c>
      <c r="B275" s="59">
        <f t="shared" si="28"/>
        <v>261</v>
      </c>
      <c r="C275" s="60">
        <f t="shared" si="33"/>
        <v>0</v>
      </c>
      <c r="D275" s="60">
        <f t="shared" si="29"/>
        <v>0</v>
      </c>
      <c r="E275" s="60">
        <f t="shared" si="30"/>
        <v>0</v>
      </c>
      <c r="F275" s="60">
        <f t="shared" si="31"/>
        <v>0</v>
      </c>
      <c r="G275" s="60">
        <f t="shared" si="32"/>
        <v>0</v>
      </c>
    </row>
    <row r="276" spans="1:7" x14ac:dyDescent="0.2">
      <c r="A276" s="60">
        <f t="shared" si="27"/>
        <v>262</v>
      </c>
      <c r="B276" s="59">
        <f t="shared" si="28"/>
        <v>262</v>
      </c>
      <c r="C276" s="60">
        <f t="shared" si="33"/>
        <v>0</v>
      </c>
      <c r="D276" s="60">
        <f t="shared" si="29"/>
        <v>0</v>
      </c>
      <c r="E276" s="60">
        <f t="shared" si="30"/>
        <v>0</v>
      </c>
      <c r="F276" s="60">
        <f t="shared" si="31"/>
        <v>0</v>
      </c>
      <c r="G276" s="60">
        <f t="shared" si="32"/>
        <v>0</v>
      </c>
    </row>
    <row r="277" spans="1:7" x14ac:dyDescent="0.2">
      <c r="A277" s="60">
        <f t="shared" si="27"/>
        <v>263</v>
      </c>
      <c r="B277" s="59">
        <f t="shared" si="28"/>
        <v>263</v>
      </c>
      <c r="C277" s="60">
        <f t="shared" si="33"/>
        <v>0</v>
      </c>
      <c r="D277" s="60">
        <f t="shared" si="29"/>
        <v>0</v>
      </c>
      <c r="E277" s="60">
        <f t="shared" si="30"/>
        <v>0</v>
      </c>
      <c r="F277" s="60">
        <f t="shared" si="31"/>
        <v>0</v>
      </c>
      <c r="G277" s="60">
        <f t="shared" si="32"/>
        <v>0</v>
      </c>
    </row>
    <row r="278" spans="1:7" x14ac:dyDescent="0.2">
      <c r="A278" s="60">
        <f t="shared" si="27"/>
        <v>264</v>
      </c>
      <c r="B278" s="59">
        <f t="shared" si="28"/>
        <v>264</v>
      </c>
      <c r="C278" s="60">
        <f t="shared" si="33"/>
        <v>0</v>
      </c>
      <c r="D278" s="60">
        <f t="shared" si="29"/>
        <v>0</v>
      </c>
      <c r="E278" s="60">
        <f t="shared" si="30"/>
        <v>0</v>
      </c>
      <c r="F278" s="60">
        <f t="shared" si="31"/>
        <v>0</v>
      </c>
      <c r="G278" s="60">
        <f t="shared" si="32"/>
        <v>0</v>
      </c>
    </row>
    <row r="279" spans="1:7" x14ac:dyDescent="0.2">
      <c r="A279" s="60">
        <f t="shared" si="27"/>
        <v>265</v>
      </c>
      <c r="B279" s="59">
        <f t="shared" si="28"/>
        <v>265</v>
      </c>
      <c r="C279" s="60">
        <f t="shared" si="33"/>
        <v>0</v>
      </c>
      <c r="D279" s="60">
        <f t="shared" si="29"/>
        <v>0</v>
      </c>
      <c r="E279" s="60">
        <f t="shared" si="30"/>
        <v>0</v>
      </c>
      <c r="F279" s="60">
        <f t="shared" si="31"/>
        <v>0</v>
      </c>
      <c r="G279" s="60">
        <f t="shared" si="32"/>
        <v>0</v>
      </c>
    </row>
    <row r="280" spans="1:7" x14ac:dyDescent="0.2">
      <c r="A280" s="60">
        <f t="shared" si="27"/>
        <v>266</v>
      </c>
      <c r="B280" s="59">
        <f t="shared" si="28"/>
        <v>266</v>
      </c>
      <c r="C280" s="60">
        <f t="shared" si="33"/>
        <v>0</v>
      </c>
      <c r="D280" s="60">
        <f t="shared" si="29"/>
        <v>0</v>
      </c>
      <c r="E280" s="60">
        <f t="shared" si="30"/>
        <v>0</v>
      </c>
      <c r="F280" s="60">
        <f t="shared" si="31"/>
        <v>0</v>
      </c>
      <c r="G280" s="60">
        <f t="shared" si="32"/>
        <v>0</v>
      </c>
    </row>
    <row r="281" spans="1:7" x14ac:dyDescent="0.2">
      <c r="A281" s="60">
        <f t="shared" si="27"/>
        <v>267</v>
      </c>
      <c r="B281" s="59">
        <f t="shared" si="28"/>
        <v>267</v>
      </c>
      <c r="C281" s="60">
        <f t="shared" si="33"/>
        <v>0</v>
      </c>
      <c r="D281" s="60">
        <f t="shared" si="29"/>
        <v>0</v>
      </c>
      <c r="E281" s="60">
        <f t="shared" si="30"/>
        <v>0</v>
      </c>
      <c r="F281" s="60">
        <f t="shared" si="31"/>
        <v>0</v>
      </c>
      <c r="G281" s="60">
        <f t="shared" si="32"/>
        <v>0</v>
      </c>
    </row>
    <row r="282" spans="1:7" x14ac:dyDescent="0.2">
      <c r="A282" s="60">
        <f t="shared" si="27"/>
        <v>268</v>
      </c>
      <c r="B282" s="59">
        <f t="shared" si="28"/>
        <v>268</v>
      </c>
      <c r="C282" s="60">
        <f t="shared" si="33"/>
        <v>0</v>
      </c>
      <c r="D282" s="60">
        <f t="shared" si="29"/>
        <v>0</v>
      </c>
      <c r="E282" s="60">
        <f t="shared" si="30"/>
        <v>0</v>
      </c>
      <c r="F282" s="60">
        <f t="shared" si="31"/>
        <v>0</v>
      </c>
      <c r="G282" s="60">
        <f t="shared" si="32"/>
        <v>0</v>
      </c>
    </row>
    <row r="283" spans="1:7" x14ac:dyDescent="0.2">
      <c r="A283" s="60">
        <f t="shared" ref="A283:A346" si="34">CEILING((B283/(12/$F$7)),1)</f>
        <v>269</v>
      </c>
      <c r="B283" s="59">
        <f t="shared" si="28"/>
        <v>269</v>
      </c>
      <c r="C283" s="60">
        <f t="shared" si="33"/>
        <v>0</v>
      </c>
      <c r="D283" s="60">
        <f t="shared" si="29"/>
        <v>0</v>
      </c>
      <c r="E283" s="60">
        <f t="shared" si="30"/>
        <v>0</v>
      </c>
      <c r="F283" s="60">
        <f t="shared" si="31"/>
        <v>0</v>
      </c>
      <c r="G283" s="60">
        <f t="shared" si="32"/>
        <v>0</v>
      </c>
    </row>
    <row r="284" spans="1:7" x14ac:dyDescent="0.2">
      <c r="A284" s="60">
        <f t="shared" si="34"/>
        <v>270</v>
      </c>
      <c r="B284" s="59">
        <f t="shared" si="28"/>
        <v>270</v>
      </c>
      <c r="C284" s="60">
        <f t="shared" si="33"/>
        <v>0</v>
      </c>
      <c r="D284" s="60">
        <f t="shared" si="29"/>
        <v>0</v>
      </c>
      <c r="E284" s="60">
        <f t="shared" si="30"/>
        <v>0</v>
      </c>
      <c r="F284" s="60">
        <f t="shared" si="31"/>
        <v>0</v>
      </c>
      <c r="G284" s="60">
        <f t="shared" si="32"/>
        <v>0</v>
      </c>
    </row>
    <row r="285" spans="1:7" x14ac:dyDescent="0.2">
      <c r="A285" s="60">
        <f t="shared" si="34"/>
        <v>271</v>
      </c>
      <c r="B285" s="59">
        <f t="shared" si="28"/>
        <v>271</v>
      </c>
      <c r="C285" s="60">
        <f t="shared" si="33"/>
        <v>0</v>
      </c>
      <c r="D285" s="60">
        <f t="shared" si="29"/>
        <v>0</v>
      </c>
      <c r="E285" s="60">
        <f t="shared" si="30"/>
        <v>0</v>
      </c>
      <c r="F285" s="60">
        <f t="shared" si="31"/>
        <v>0</v>
      </c>
      <c r="G285" s="60">
        <f t="shared" si="32"/>
        <v>0</v>
      </c>
    </row>
    <row r="286" spans="1:7" x14ac:dyDescent="0.2">
      <c r="A286" s="60">
        <f t="shared" si="34"/>
        <v>272</v>
      </c>
      <c r="B286" s="59">
        <f t="shared" si="28"/>
        <v>272</v>
      </c>
      <c r="C286" s="60">
        <f t="shared" si="33"/>
        <v>0</v>
      </c>
      <c r="D286" s="60">
        <f t="shared" si="29"/>
        <v>0</v>
      </c>
      <c r="E286" s="60">
        <f t="shared" si="30"/>
        <v>0</v>
      </c>
      <c r="F286" s="60">
        <f t="shared" si="31"/>
        <v>0</v>
      </c>
      <c r="G286" s="60">
        <f t="shared" si="32"/>
        <v>0</v>
      </c>
    </row>
    <row r="287" spans="1:7" x14ac:dyDescent="0.2">
      <c r="A287" s="60">
        <f t="shared" si="34"/>
        <v>273</v>
      </c>
      <c r="B287" s="59">
        <f t="shared" si="28"/>
        <v>273</v>
      </c>
      <c r="C287" s="60">
        <f t="shared" si="33"/>
        <v>0</v>
      </c>
      <c r="D287" s="60">
        <f t="shared" si="29"/>
        <v>0</v>
      </c>
      <c r="E287" s="60">
        <f t="shared" si="30"/>
        <v>0</v>
      </c>
      <c r="F287" s="60">
        <f t="shared" si="31"/>
        <v>0</v>
      </c>
      <c r="G287" s="60">
        <f t="shared" si="32"/>
        <v>0</v>
      </c>
    </row>
    <row r="288" spans="1:7" x14ac:dyDescent="0.2">
      <c r="A288" s="60">
        <f t="shared" si="34"/>
        <v>274</v>
      </c>
      <c r="B288" s="59">
        <f t="shared" si="28"/>
        <v>274</v>
      </c>
      <c r="C288" s="60">
        <f t="shared" si="33"/>
        <v>0</v>
      </c>
      <c r="D288" s="60">
        <f t="shared" si="29"/>
        <v>0</v>
      </c>
      <c r="E288" s="60">
        <f t="shared" si="30"/>
        <v>0</v>
      </c>
      <c r="F288" s="60">
        <f t="shared" si="31"/>
        <v>0</v>
      </c>
      <c r="G288" s="60">
        <f t="shared" si="32"/>
        <v>0</v>
      </c>
    </row>
    <row r="289" spans="1:7" x14ac:dyDescent="0.2">
      <c r="A289" s="60">
        <f t="shared" si="34"/>
        <v>275</v>
      </c>
      <c r="B289" s="59">
        <f t="shared" si="28"/>
        <v>275</v>
      </c>
      <c r="C289" s="60">
        <f t="shared" si="33"/>
        <v>0</v>
      </c>
      <c r="D289" s="60">
        <f t="shared" si="29"/>
        <v>0</v>
      </c>
      <c r="E289" s="60">
        <f t="shared" si="30"/>
        <v>0</v>
      </c>
      <c r="F289" s="60">
        <f t="shared" si="31"/>
        <v>0</v>
      </c>
      <c r="G289" s="60">
        <f t="shared" si="32"/>
        <v>0</v>
      </c>
    </row>
    <row r="290" spans="1:7" x14ac:dyDescent="0.2">
      <c r="A290" s="60">
        <f t="shared" si="34"/>
        <v>276</v>
      </c>
      <c r="B290" s="59">
        <f t="shared" si="28"/>
        <v>276</v>
      </c>
      <c r="C290" s="60">
        <f t="shared" si="33"/>
        <v>0</v>
      </c>
      <c r="D290" s="60">
        <f t="shared" si="29"/>
        <v>0</v>
      </c>
      <c r="E290" s="60">
        <f t="shared" si="30"/>
        <v>0</v>
      </c>
      <c r="F290" s="60">
        <f t="shared" si="31"/>
        <v>0</v>
      </c>
      <c r="G290" s="60">
        <f t="shared" si="32"/>
        <v>0</v>
      </c>
    </row>
    <row r="291" spans="1:7" x14ac:dyDescent="0.2">
      <c r="A291" s="60">
        <f t="shared" si="34"/>
        <v>277</v>
      </c>
      <c r="B291" s="59">
        <f t="shared" si="28"/>
        <v>277</v>
      </c>
      <c r="C291" s="60">
        <f t="shared" si="33"/>
        <v>0</v>
      </c>
      <c r="D291" s="60">
        <f t="shared" si="29"/>
        <v>0</v>
      </c>
      <c r="E291" s="60">
        <f t="shared" si="30"/>
        <v>0</v>
      </c>
      <c r="F291" s="60">
        <f t="shared" si="31"/>
        <v>0</v>
      </c>
      <c r="G291" s="60">
        <f t="shared" si="32"/>
        <v>0</v>
      </c>
    </row>
    <row r="292" spans="1:7" x14ac:dyDescent="0.2">
      <c r="A292" s="60">
        <f t="shared" si="34"/>
        <v>278</v>
      </c>
      <c r="B292" s="59">
        <f t="shared" si="28"/>
        <v>278</v>
      </c>
      <c r="C292" s="60">
        <f t="shared" si="33"/>
        <v>0</v>
      </c>
      <c r="D292" s="60">
        <f t="shared" si="29"/>
        <v>0</v>
      </c>
      <c r="E292" s="60">
        <f t="shared" si="30"/>
        <v>0</v>
      </c>
      <c r="F292" s="60">
        <f t="shared" si="31"/>
        <v>0</v>
      </c>
      <c r="G292" s="60">
        <f t="shared" si="32"/>
        <v>0</v>
      </c>
    </row>
    <row r="293" spans="1:7" x14ac:dyDescent="0.2">
      <c r="A293" s="60">
        <f t="shared" si="34"/>
        <v>279</v>
      </c>
      <c r="B293" s="59">
        <f t="shared" si="28"/>
        <v>279</v>
      </c>
      <c r="C293" s="60">
        <f t="shared" si="33"/>
        <v>0</v>
      </c>
      <c r="D293" s="60">
        <f t="shared" si="29"/>
        <v>0</v>
      </c>
      <c r="E293" s="60">
        <f t="shared" si="30"/>
        <v>0</v>
      </c>
      <c r="F293" s="60">
        <f t="shared" si="31"/>
        <v>0</v>
      </c>
      <c r="G293" s="60">
        <f t="shared" si="32"/>
        <v>0</v>
      </c>
    </row>
    <row r="294" spans="1:7" x14ac:dyDescent="0.2">
      <c r="A294" s="60">
        <f t="shared" si="34"/>
        <v>280</v>
      </c>
      <c r="B294" s="59">
        <f t="shared" si="28"/>
        <v>280</v>
      </c>
      <c r="C294" s="60">
        <f t="shared" si="33"/>
        <v>0</v>
      </c>
      <c r="D294" s="60">
        <f t="shared" si="29"/>
        <v>0</v>
      </c>
      <c r="E294" s="60">
        <f t="shared" si="30"/>
        <v>0</v>
      </c>
      <c r="F294" s="60">
        <f t="shared" si="31"/>
        <v>0</v>
      </c>
      <c r="G294" s="60">
        <f t="shared" si="32"/>
        <v>0</v>
      </c>
    </row>
    <row r="295" spans="1:7" x14ac:dyDescent="0.2">
      <c r="A295" s="60">
        <f t="shared" si="34"/>
        <v>281</v>
      </c>
      <c r="B295" s="59">
        <f t="shared" si="28"/>
        <v>281</v>
      </c>
      <c r="C295" s="60">
        <f t="shared" si="33"/>
        <v>0</v>
      </c>
      <c r="D295" s="60">
        <f t="shared" si="29"/>
        <v>0</v>
      </c>
      <c r="E295" s="60">
        <f t="shared" si="30"/>
        <v>0</v>
      </c>
      <c r="F295" s="60">
        <f t="shared" si="31"/>
        <v>0</v>
      </c>
      <c r="G295" s="60">
        <f t="shared" si="32"/>
        <v>0</v>
      </c>
    </row>
    <row r="296" spans="1:7" x14ac:dyDescent="0.2">
      <c r="A296" s="60">
        <f t="shared" si="34"/>
        <v>282</v>
      </c>
      <c r="B296" s="59">
        <f t="shared" si="28"/>
        <v>282</v>
      </c>
      <c r="C296" s="60">
        <f t="shared" si="33"/>
        <v>0</v>
      </c>
      <c r="D296" s="60">
        <f t="shared" si="29"/>
        <v>0</v>
      </c>
      <c r="E296" s="60">
        <f t="shared" si="30"/>
        <v>0</v>
      </c>
      <c r="F296" s="60">
        <f t="shared" si="31"/>
        <v>0</v>
      </c>
      <c r="G296" s="60">
        <f t="shared" si="32"/>
        <v>0</v>
      </c>
    </row>
    <row r="297" spans="1:7" x14ac:dyDescent="0.2">
      <c r="A297" s="60">
        <f t="shared" si="34"/>
        <v>283</v>
      </c>
      <c r="B297" s="59">
        <f t="shared" si="28"/>
        <v>283</v>
      </c>
      <c r="C297" s="60">
        <f t="shared" si="33"/>
        <v>0</v>
      </c>
      <c r="D297" s="60">
        <f t="shared" si="29"/>
        <v>0</v>
      </c>
      <c r="E297" s="60">
        <f t="shared" si="30"/>
        <v>0</v>
      </c>
      <c r="F297" s="60">
        <f t="shared" si="31"/>
        <v>0</v>
      </c>
      <c r="G297" s="60">
        <f t="shared" si="32"/>
        <v>0</v>
      </c>
    </row>
    <row r="298" spans="1:7" x14ac:dyDescent="0.2">
      <c r="A298" s="60">
        <f t="shared" si="34"/>
        <v>284</v>
      </c>
      <c r="B298" s="59">
        <f t="shared" si="28"/>
        <v>284</v>
      </c>
      <c r="C298" s="60">
        <f t="shared" si="33"/>
        <v>0</v>
      </c>
      <c r="D298" s="60">
        <f t="shared" si="29"/>
        <v>0</v>
      </c>
      <c r="E298" s="60">
        <f t="shared" si="30"/>
        <v>0</v>
      </c>
      <c r="F298" s="60">
        <f t="shared" si="31"/>
        <v>0</v>
      </c>
      <c r="G298" s="60">
        <f t="shared" si="32"/>
        <v>0</v>
      </c>
    </row>
    <row r="299" spans="1:7" x14ac:dyDescent="0.2">
      <c r="A299" s="60">
        <f t="shared" si="34"/>
        <v>285</v>
      </c>
      <c r="B299" s="59">
        <f t="shared" si="28"/>
        <v>285</v>
      </c>
      <c r="C299" s="60">
        <f t="shared" si="33"/>
        <v>0</v>
      </c>
      <c r="D299" s="60">
        <f t="shared" si="29"/>
        <v>0</v>
      </c>
      <c r="E299" s="60">
        <f t="shared" si="30"/>
        <v>0</v>
      </c>
      <c r="F299" s="60">
        <f t="shared" si="31"/>
        <v>0</v>
      </c>
      <c r="G299" s="60">
        <f t="shared" si="32"/>
        <v>0</v>
      </c>
    </row>
    <row r="300" spans="1:7" x14ac:dyDescent="0.2">
      <c r="A300" s="60">
        <f t="shared" si="34"/>
        <v>286</v>
      </c>
      <c r="B300" s="59">
        <f t="shared" si="28"/>
        <v>286</v>
      </c>
      <c r="C300" s="60">
        <f t="shared" si="33"/>
        <v>0</v>
      </c>
      <c r="D300" s="60">
        <f t="shared" si="29"/>
        <v>0</v>
      </c>
      <c r="E300" s="60">
        <f t="shared" si="30"/>
        <v>0</v>
      </c>
      <c r="F300" s="60">
        <f t="shared" si="31"/>
        <v>0</v>
      </c>
      <c r="G300" s="60">
        <f t="shared" si="32"/>
        <v>0</v>
      </c>
    </row>
    <row r="301" spans="1:7" x14ac:dyDescent="0.2">
      <c r="A301" s="60">
        <f t="shared" si="34"/>
        <v>287</v>
      </c>
      <c r="B301" s="59">
        <f t="shared" si="28"/>
        <v>287</v>
      </c>
      <c r="C301" s="60">
        <f t="shared" si="33"/>
        <v>0</v>
      </c>
      <c r="D301" s="60">
        <f t="shared" si="29"/>
        <v>0</v>
      </c>
      <c r="E301" s="60">
        <f t="shared" si="30"/>
        <v>0</v>
      </c>
      <c r="F301" s="60">
        <f t="shared" si="31"/>
        <v>0</v>
      </c>
      <c r="G301" s="60">
        <f t="shared" si="32"/>
        <v>0</v>
      </c>
    </row>
    <row r="302" spans="1:7" x14ac:dyDescent="0.2">
      <c r="A302" s="60">
        <f t="shared" si="34"/>
        <v>288</v>
      </c>
      <c r="B302" s="59">
        <f t="shared" si="28"/>
        <v>288</v>
      </c>
      <c r="C302" s="60">
        <f t="shared" si="33"/>
        <v>0</v>
      </c>
      <c r="D302" s="60">
        <f t="shared" si="29"/>
        <v>0</v>
      </c>
      <c r="E302" s="60">
        <f t="shared" si="30"/>
        <v>0</v>
      </c>
      <c r="F302" s="60">
        <f t="shared" si="31"/>
        <v>0</v>
      </c>
      <c r="G302" s="60">
        <f t="shared" si="32"/>
        <v>0</v>
      </c>
    </row>
    <row r="303" spans="1:7" x14ac:dyDescent="0.2">
      <c r="A303" s="60">
        <f t="shared" si="34"/>
        <v>289</v>
      </c>
      <c r="B303" s="59">
        <f t="shared" si="28"/>
        <v>289</v>
      </c>
      <c r="C303" s="60">
        <f t="shared" si="33"/>
        <v>0</v>
      </c>
      <c r="D303" s="60">
        <f t="shared" si="29"/>
        <v>0</v>
      </c>
      <c r="E303" s="60">
        <f t="shared" si="30"/>
        <v>0</v>
      </c>
      <c r="F303" s="60">
        <f t="shared" si="31"/>
        <v>0</v>
      </c>
      <c r="G303" s="60">
        <f t="shared" si="32"/>
        <v>0</v>
      </c>
    </row>
    <row r="304" spans="1:7" x14ac:dyDescent="0.2">
      <c r="A304" s="60">
        <f t="shared" si="34"/>
        <v>290</v>
      </c>
      <c r="B304" s="59">
        <f t="shared" si="28"/>
        <v>290</v>
      </c>
      <c r="C304" s="60">
        <f t="shared" si="33"/>
        <v>0</v>
      </c>
      <c r="D304" s="60">
        <f t="shared" si="29"/>
        <v>0</v>
      </c>
      <c r="E304" s="60">
        <f t="shared" si="30"/>
        <v>0</v>
      </c>
      <c r="F304" s="60">
        <f t="shared" si="31"/>
        <v>0</v>
      </c>
      <c r="G304" s="60">
        <f t="shared" si="32"/>
        <v>0</v>
      </c>
    </row>
    <row r="305" spans="1:7" x14ac:dyDescent="0.2">
      <c r="A305" s="60">
        <f t="shared" si="34"/>
        <v>291</v>
      </c>
      <c r="B305" s="59">
        <f t="shared" si="28"/>
        <v>291</v>
      </c>
      <c r="C305" s="60">
        <f t="shared" si="33"/>
        <v>0</v>
      </c>
      <c r="D305" s="60">
        <f t="shared" si="29"/>
        <v>0</v>
      </c>
      <c r="E305" s="60">
        <f t="shared" si="30"/>
        <v>0</v>
      </c>
      <c r="F305" s="60">
        <f t="shared" si="31"/>
        <v>0</v>
      </c>
      <c r="G305" s="60">
        <f t="shared" si="32"/>
        <v>0</v>
      </c>
    </row>
    <row r="306" spans="1:7" x14ac:dyDescent="0.2">
      <c r="A306" s="60">
        <f t="shared" si="34"/>
        <v>292</v>
      </c>
      <c r="B306" s="59">
        <f t="shared" si="28"/>
        <v>292</v>
      </c>
      <c r="C306" s="60">
        <f t="shared" si="33"/>
        <v>0</v>
      </c>
      <c r="D306" s="60">
        <f t="shared" si="29"/>
        <v>0</v>
      </c>
      <c r="E306" s="60">
        <f t="shared" si="30"/>
        <v>0</v>
      </c>
      <c r="F306" s="60">
        <f t="shared" si="31"/>
        <v>0</v>
      </c>
      <c r="G306" s="60">
        <f t="shared" si="32"/>
        <v>0</v>
      </c>
    </row>
    <row r="307" spans="1:7" x14ac:dyDescent="0.2">
      <c r="A307" s="60">
        <f t="shared" si="34"/>
        <v>293</v>
      </c>
      <c r="B307" s="59">
        <f t="shared" si="28"/>
        <v>293</v>
      </c>
      <c r="C307" s="60">
        <f t="shared" si="33"/>
        <v>0</v>
      </c>
      <c r="D307" s="60">
        <f t="shared" si="29"/>
        <v>0</v>
      </c>
      <c r="E307" s="60">
        <f t="shared" si="30"/>
        <v>0</v>
      </c>
      <c r="F307" s="60">
        <f t="shared" si="31"/>
        <v>0</v>
      </c>
      <c r="G307" s="60">
        <f t="shared" si="32"/>
        <v>0</v>
      </c>
    </row>
    <row r="308" spans="1:7" x14ac:dyDescent="0.2">
      <c r="A308" s="60">
        <f t="shared" si="34"/>
        <v>294</v>
      </c>
      <c r="B308" s="59">
        <f t="shared" si="28"/>
        <v>294</v>
      </c>
      <c r="C308" s="60">
        <f t="shared" si="33"/>
        <v>0</v>
      </c>
      <c r="D308" s="60">
        <f t="shared" si="29"/>
        <v>0</v>
      </c>
      <c r="E308" s="60">
        <f t="shared" si="30"/>
        <v>0</v>
      </c>
      <c r="F308" s="60">
        <f t="shared" si="31"/>
        <v>0</v>
      </c>
      <c r="G308" s="60">
        <f t="shared" si="32"/>
        <v>0</v>
      </c>
    </row>
    <row r="309" spans="1:7" x14ac:dyDescent="0.2">
      <c r="A309" s="60">
        <f t="shared" si="34"/>
        <v>295</v>
      </c>
      <c r="B309" s="59">
        <f t="shared" si="28"/>
        <v>295</v>
      </c>
      <c r="C309" s="60">
        <f t="shared" si="33"/>
        <v>0</v>
      </c>
      <c r="D309" s="60">
        <f t="shared" si="29"/>
        <v>0</v>
      </c>
      <c r="E309" s="60">
        <f t="shared" si="30"/>
        <v>0</v>
      </c>
      <c r="F309" s="60">
        <f t="shared" si="31"/>
        <v>0</v>
      </c>
      <c r="G309" s="60">
        <f t="shared" si="32"/>
        <v>0</v>
      </c>
    </row>
    <row r="310" spans="1:7" x14ac:dyDescent="0.2">
      <c r="A310" s="60">
        <f t="shared" si="34"/>
        <v>296</v>
      </c>
      <c r="B310" s="59">
        <f t="shared" si="28"/>
        <v>296</v>
      </c>
      <c r="C310" s="60">
        <f t="shared" si="33"/>
        <v>0</v>
      </c>
      <c r="D310" s="60">
        <f t="shared" si="29"/>
        <v>0</v>
      </c>
      <c r="E310" s="60">
        <f t="shared" si="30"/>
        <v>0</v>
      </c>
      <c r="F310" s="60">
        <f t="shared" si="31"/>
        <v>0</v>
      </c>
      <c r="G310" s="60">
        <f t="shared" si="32"/>
        <v>0</v>
      </c>
    </row>
    <row r="311" spans="1:7" x14ac:dyDescent="0.2">
      <c r="A311" s="60">
        <f t="shared" si="34"/>
        <v>297</v>
      </c>
      <c r="B311" s="59">
        <f t="shared" si="28"/>
        <v>297</v>
      </c>
      <c r="C311" s="60">
        <f t="shared" si="33"/>
        <v>0</v>
      </c>
      <c r="D311" s="60">
        <f t="shared" si="29"/>
        <v>0</v>
      </c>
      <c r="E311" s="60">
        <f t="shared" si="30"/>
        <v>0</v>
      </c>
      <c r="F311" s="60">
        <f t="shared" si="31"/>
        <v>0</v>
      </c>
      <c r="G311" s="60">
        <f t="shared" si="32"/>
        <v>0</v>
      </c>
    </row>
    <row r="312" spans="1:7" x14ac:dyDescent="0.2">
      <c r="A312" s="60">
        <f t="shared" si="34"/>
        <v>298</v>
      </c>
      <c r="B312" s="59">
        <f t="shared" si="28"/>
        <v>298</v>
      </c>
      <c r="C312" s="60">
        <f t="shared" si="33"/>
        <v>0</v>
      </c>
      <c r="D312" s="60">
        <f t="shared" si="29"/>
        <v>0</v>
      </c>
      <c r="E312" s="60">
        <f t="shared" si="30"/>
        <v>0</v>
      </c>
      <c r="F312" s="60">
        <f t="shared" si="31"/>
        <v>0</v>
      </c>
      <c r="G312" s="60">
        <f t="shared" si="32"/>
        <v>0</v>
      </c>
    </row>
    <row r="313" spans="1:7" x14ac:dyDescent="0.2">
      <c r="A313" s="60">
        <f t="shared" si="34"/>
        <v>299</v>
      </c>
      <c r="B313" s="59">
        <f t="shared" si="28"/>
        <v>299</v>
      </c>
      <c r="C313" s="60">
        <f t="shared" si="33"/>
        <v>0</v>
      </c>
      <c r="D313" s="60">
        <f t="shared" si="29"/>
        <v>0</v>
      </c>
      <c r="E313" s="60">
        <f t="shared" si="30"/>
        <v>0</v>
      </c>
      <c r="F313" s="60">
        <f t="shared" si="31"/>
        <v>0</v>
      </c>
      <c r="G313" s="60">
        <f t="shared" si="32"/>
        <v>0</v>
      </c>
    </row>
    <row r="314" spans="1:7" x14ac:dyDescent="0.2">
      <c r="A314" s="60">
        <f t="shared" si="34"/>
        <v>300</v>
      </c>
      <c r="B314" s="59">
        <f t="shared" si="28"/>
        <v>300</v>
      </c>
      <c r="C314" s="60">
        <f t="shared" si="33"/>
        <v>0</v>
      </c>
      <c r="D314" s="60">
        <f t="shared" si="29"/>
        <v>0</v>
      </c>
      <c r="E314" s="60">
        <f t="shared" si="30"/>
        <v>0</v>
      </c>
      <c r="F314" s="60">
        <f t="shared" si="31"/>
        <v>0</v>
      </c>
      <c r="G314" s="60">
        <f t="shared" si="32"/>
        <v>0</v>
      </c>
    </row>
    <row r="315" spans="1:7" x14ac:dyDescent="0.2">
      <c r="A315" s="60">
        <f t="shared" si="34"/>
        <v>301</v>
      </c>
      <c r="B315" s="59">
        <f t="shared" si="28"/>
        <v>301</v>
      </c>
      <c r="C315" s="60">
        <f t="shared" si="33"/>
        <v>0</v>
      </c>
      <c r="D315" s="60">
        <f t="shared" si="29"/>
        <v>0</v>
      </c>
      <c r="E315" s="60">
        <f t="shared" si="30"/>
        <v>0</v>
      </c>
      <c r="F315" s="60">
        <f t="shared" si="31"/>
        <v>0</v>
      </c>
      <c r="G315" s="60">
        <f t="shared" si="32"/>
        <v>0</v>
      </c>
    </row>
    <row r="316" spans="1:7" x14ac:dyDescent="0.2">
      <c r="A316" s="60">
        <f t="shared" si="34"/>
        <v>302</v>
      </c>
      <c r="B316" s="59">
        <f t="shared" si="28"/>
        <v>302</v>
      </c>
      <c r="C316" s="60">
        <f t="shared" si="33"/>
        <v>0</v>
      </c>
      <c r="D316" s="60">
        <f t="shared" si="29"/>
        <v>0</v>
      </c>
      <c r="E316" s="60">
        <f t="shared" si="30"/>
        <v>0</v>
      </c>
      <c r="F316" s="60">
        <f t="shared" si="31"/>
        <v>0</v>
      </c>
      <c r="G316" s="60">
        <f t="shared" si="32"/>
        <v>0</v>
      </c>
    </row>
    <row r="317" spans="1:7" x14ac:dyDescent="0.2">
      <c r="A317" s="60">
        <f t="shared" si="34"/>
        <v>303</v>
      </c>
      <c r="B317" s="59">
        <f t="shared" si="28"/>
        <v>303</v>
      </c>
      <c r="C317" s="60">
        <f t="shared" si="33"/>
        <v>0</v>
      </c>
      <c r="D317" s="60">
        <f t="shared" si="29"/>
        <v>0</v>
      </c>
      <c r="E317" s="60">
        <f t="shared" si="30"/>
        <v>0</v>
      </c>
      <c r="F317" s="60">
        <f t="shared" si="31"/>
        <v>0</v>
      </c>
      <c r="G317" s="60">
        <f t="shared" si="32"/>
        <v>0</v>
      </c>
    </row>
    <row r="318" spans="1:7" x14ac:dyDescent="0.2">
      <c r="A318" s="60">
        <f t="shared" si="34"/>
        <v>304</v>
      </c>
      <c r="B318" s="59">
        <f t="shared" si="28"/>
        <v>304</v>
      </c>
      <c r="C318" s="60">
        <f t="shared" si="33"/>
        <v>0</v>
      </c>
      <c r="D318" s="60">
        <f t="shared" si="29"/>
        <v>0</v>
      </c>
      <c r="E318" s="60">
        <f t="shared" si="30"/>
        <v>0</v>
      </c>
      <c r="F318" s="60">
        <f t="shared" si="31"/>
        <v>0</v>
      </c>
      <c r="G318" s="60">
        <f t="shared" si="32"/>
        <v>0</v>
      </c>
    </row>
    <row r="319" spans="1:7" x14ac:dyDescent="0.2">
      <c r="A319" s="60">
        <f t="shared" si="34"/>
        <v>305</v>
      </c>
      <c r="B319" s="59">
        <f t="shared" si="28"/>
        <v>305</v>
      </c>
      <c r="C319" s="60">
        <f t="shared" si="33"/>
        <v>0</v>
      </c>
      <c r="D319" s="60">
        <f t="shared" si="29"/>
        <v>0</v>
      </c>
      <c r="E319" s="60">
        <f t="shared" si="30"/>
        <v>0</v>
      </c>
      <c r="F319" s="60">
        <f t="shared" si="31"/>
        <v>0</v>
      </c>
      <c r="G319" s="60">
        <f t="shared" si="32"/>
        <v>0</v>
      </c>
    </row>
    <row r="320" spans="1:7" x14ac:dyDescent="0.2">
      <c r="A320" s="60">
        <f t="shared" si="34"/>
        <v>306</v>
      </c>
      <c r="B320" s="59">
        <f t="shared" si="28"/>
        <v>306</v>
      </c>
      <c r="C320" s="60">
        <f t="shared" si="33"/>
        <v>0</v>
      </c>
      <c r="D320" s="60">
        <f t="shared" si="29"/>
        <v>0</v>
      </c>
      <c r="E320" s="60">
        <f t="shared" si="30"/>
        <v>0</v>
      </c>
      <c r="F320" s="60">
        <f t="shared" si="31"/>
        <v>0</v>
      </c>
      <c r="G320" s="60">
        <f t="shared" si="32"/>
        <v>0</v>
      </c>
    </row>
    <row r="321" spans="1:7" x14ac:dyDescent="0.2">
      <c r="A321" s="60">
        <f t="shared" si="34"/>
        <v>307</v>
      </c>
      <c r="B321" s="59">
        <f t="shared" si="28"/>
        <v>307</v>
      </c>
      <c r="C321" s="60">
        <f t="shared" si="33"/>
        <v>0</v>
      </c>
      <c r="D321" s="60">
        <f t="shared" si="29"/>
        <v>0</v>
      </c>
      <c r="E321" s="60">
        <f t="shared" si="30"/>
        <v>0</v>
      </c>
      <c r="F321" s="60">
        <f t="shared" si="31"/>
        <v>0</v>
      </c>
      <c r="G321" s="60">
        <f t="shared" si="32"/>
        <v>0</v>
      </c>
    </row>
    <row r="322" spans="1:7" x14ac:dyDescent="0.2">
      <c r="A322" s="60">
        <f t="shared" si="34"/>
        <v>308</v>
      </c>
      <c r="B322" s="59">
        <f t="shared" si="28"/>
        <v>308</v>
      </c>
      <c r="C322" s="60">
        <f t="shared" si="33"/>
        <v>0</v>
      </c>
      <c r="D322" s="60">
        <f t="shared" si="29"/>
        <v>0</v>
      </c>
      <c r="E322" s="60">
        <f t="shared" si="30"/>
        <v>0</v>
      </c>
      <c r="F322" s="60">
        <f t="shared" si="31"/>
        <v>0</v>
      </c>
      <c r="G322" s="60">
        <f t="shared" si="32"/>
        <v>0</v>
      </c>
    </row>
    <row r="323" spans="1:7" x14ac:dyDescent="0.2">
      <c r="A323" s="60">
        <f t="shared" si="34"/>
        <v>309</v>
      </c>
      <c r="B323" s="59">
        <f t="shared" si="28"/>
        <v>309</v>
      </c>
      <c r="C323" s="60">
        <f t="shared" si="33"/>
        <v>0</v>
      </c>
      <c r="D323" s="60">
        <f t="shared" si="29"/>
        <v>0</v>
      </c>
      <c r="E323" s="60">
        <f t="shared" si="30"/>
        <v>0</v>
      </c>
      <c r="F323" s="60">
        <f t="shared" si="31"/>
        <v>0</v>
      </c>
      <c r="G323" s="60">
        <f t="shared" si="32"/>
        <v>0</v>
      </c>
    </row>
    <row r="324" spans="1:7" x14ac:dyDescent="0.2">
      <c r="A324" s="60">
        <f t="shared" si="34"/>
        <v>310</v>
      </c>
      <c r="B324" s="59">
        <f t="shared" si="28"/>
        <v>310</v>
      </c>
      <c r="C324" s="60">
        <f t="shared" si="33"/>
        <v>0</v>
      </c>
      <c r="D324" s="60">
        <f t="shared" si="29"/>
        <v>0</v>
      </c>
      <c r="E324" s="60">
        <f t="shared" si="30"/>
        <v>0</v>
      </c>
      <c r="F324" s="60">
        <f t="shared" si="31"/>
        <v>0</v>
      </c>
      <c r="G324" s="60">
        <f t="shared" si="32"/>
        <v>0</v>
      </c>
    </row>
    <row r="325" spans="1:7" x14ac:dyDescent="0.2">
      <c r="A325" s="60">
        <f t="shared" si="34"/>
        <v>311</v>
      </c>
      <c r="B325" s="59">
        <f t="shared" si="28"/>
        <v>311</v>
      </c>
      <c r="C325" s="60">
        <f t="shared" si="33"/>
        <v>0</v>
      </c>
      <c r="D325" s="60">
        <f t="shared" si="29"/>
        <v>0</v>
      </c>
      <c r="E325" s="60">
        <f t="shared" si="30"/>
        <v>0</v>
      </c>
      <c r="F325" s="60">
        <f t="shared" si="31"/>
        <v>0</v>
      </c>
      <c r="G325" s="60">
        <f t="shared" si="32"/>
        <v>0</v>
      </c>
    </row>
    <row r="326" spans="1:7" x14ac:dyDescent="0.2">
      <c r="A326" s="60">
        <f t="shared" si="34"/>
        <v>312</v>
      </c>
      <c r="B326" s="59">
        <f t="shared" si="28"/>
        <v>312</v>
      </c>
      <c r="C326" s="60">
        <f t="shared" si="33"/>
        <v>0</v>
      </c>
      <c r="D326" s="60">
        <f t="shared" si="29"/>
        <v>0</v>
      </c>
      <c r="E326" s="60">
        <f t="shared" si="30"/>
        <v>0</v>
      </c>
      <c r="F326" s="60">
        <f t="shared" si="31"/>
        <v>0</v>
      </c>
      <c r="G326" s="60">
        <f t="shared" si="32"/>
        <v>0</v>
      </c>
    </row>
    <row r="327" spans="1:7" x14ac:dyDescent="0.2">
      <c r="A327" s="60">
        <f t="shared" si="34"/>
        <v>313</v>
      </c>
      <c r="B327" s="59">
        <f t="shared" si="28"/>
        <v>313</v>
      </c>
      <c r="C327" s="60">
        <f t="shared" si="33"/>
        <v>0</v>
      </c>
      <c r="D327" s="60">
        <f t="shared" si="29"/>
        <v>0</v>
      </c>
      <c r="E327" s="60">
        <f t="shared" si="30"/>
        <v>0</v>
      </c>
      <c r="F327" s="60">
        <f t="shared" si="31"/>
        <v>0</v>
      </c>
      <c r="G327" s="60">
        <f t="shared" si="32"/>
        <v>0</v>
      </c>
    </row>
    <row r="328" spans="1:7" x14ac:dyDescent="0.2">
      <c r="A328" s="60">
        <f t="shared" si="34"/>
        <v>314</v>
      </c>
      <c r="B328" s="59">
        <f t="shared" si="28"/>
        <v>314</v>
      </c>
      <c r="C328" s="60">
        <f t="shared" si="33"/>
        <v>0</v>
      </c>
      <c r="D328" s="60">
        <f t="shared" si="29"/>
        <v>0</v>
      </c>
      <c r="E328" s="60">
        <f t="shared" si="30"/>
        <v>0</v>
      </c>
      <c r="F328" s="60">
        <f t="shared" si="31"/>
        <v>0</v>
      </c>
      <c r="G328" s="60">
        <f t="shared" si="32"/>
        <v>0</v>
      </c>
    </row>
    <row r="329" spans="1:7" x14ac:dyDescent="0.2">
      <c r="A329" s="60">
        <f t="shared" si="34"/>
        <v>315</v>
      </c>
      <c r="B329" s="59">
        <f t="shared" si="28"/>
        <v>315</v>
      </c>
      <c r="C329" s="60">
        <f t="shared" si="33"/>
        <v>0</v>
      </c>
      <c r="D329" s="60">
        <f t="shared" si="29"/>
        <v>0</v>
      </c>
      <c r="E329" s="60">
        <f t="shared" si="30"/>
        <v>0</v>
      </c>
      <c r="F329" s="60">
        <f t="shared" si="31"/>
        <v>0</v>
      </c>
      <c r="G329" s="60">
        <f t="shared" si="32"/>
        <v>0</v>
      </c>
    </row>
    <row r="330" spans="1:7" x14ac:dyDescent="0.2">
      <c r="A330" s="60">
        <f t="shared" si="34"/>
        <v>316</v>
      </c>
      <c r="B330" s="59">
        <f t="shared" ref="B330:B374" si="35">+B329+1</f>
        <v>316</v>
      </c>
      <c r="C330" s="60">
        <f t="shared" si="33"/>
        <v>0</v>
      </c>
      <c r="D330" s="60">
        <f t="shared" si="29"/>
        <v>0</v>
      </c>
      <c r="E330" s="60">
        <f t="shared" si="30"/>
        <v>0</v>
      </c>
      <c r="F330" s="60">
        <f t="shared" si="31"/>
        <v>0</v>
      </c>
      <c r="G330" s="60">
        <f t="shared" si="32"/>
        <v>0</v>
      </c>
    </row>
    <row r="331" spans="1:7" x14ac:dyDescent="0.2">
      <c r="A331" s="60">
        <f t="shared" si="34"/>
        <v>317</v>
      </c>
      <c r="B331" s="59">
        <f t="shared" si="35"/>
        <v>317</v>
      </c>
      <c r="C331" s="60">
        <f t="shared" si="33"/>
        <v>0</v>
      </c>
      <c r="D331" s="60">
        <f t="shared" si="29"/>
        <v>0</v>
      </c>
      <c r="E331" s="60">
        <f t="shared" si="30"/>
        <v>0</v>
      </c>
      <c r="F331" s="60">
        <f t="shared" si="31"/>
        <v>0</v>
      </c>
      <c r="G331" s="60">
        <f t="shared" si="32"/>
        <v>0</v>
      </c>
    </row>
    <row r="332" spans="1:7" x14ac:dyDescent="0.2">
      <c r="A332" s="60">
        <f t="shared" si="34"/>
        <v>318</v>
      </c>
      <c r="B332" s="59">
        <f t="shared" si="35"/>
        <v>318</v>
      </c>
      <c r="C332" s="60">
        <f t="shared" si="33"/>
        <v>0</v>
      </c>
      <c r="D332" s="60">
        <f t="shared" si="29"/>
        <v>0</v>
      </c>
      <c r="E332" s="60">
        <f t="shared" si="30"/>
        <v>0</v>
      </c>
      <c r="F332" s="60">
        <f t="shared" si="31"/>
        <v>0</v>
      </c>
      <c r="G332" s="60">
        <f t="shared" si="32"/>
        <v>0</v>
      </c>
    </row>
    <row r="333" spans="1:7" x14ac:dyDescent="0.2">
      <c r="A333" s="60">
        <f t="shared" si="34"/>
        <v>319</v>
      </c>
      <c r="B333" s="59">
        <f t="shared" si="35"/>
        <v>319</v>
      </c>
      <c r="C333" s="60">
        <f t="shared" si="33"/>
        <v>0</v>
      </c>
      <c r="D333" s="60">
        <f t="shared" si="29"/>
        <v>0</v>
      </c>
      <c r="E333" s="60">
        <f t="shared" si="30"/>
        <v>0</v>
      </c>
      <c r="F333" s="60">
        <f t="shared" si="31"/>
        <v>0</v>
      </c>
      <c r="G333" s="60">
        <f t="shared" si="32"/>
        <v>0</v>
      </c>
    </row>
    <row r="334" spans="1:7" x14ac:dyDescent="0.2">
      <c r="A334" s="60">
        <f t="shared" si="34"/>
        <v>320</v>
      </c>
      <c r="B334" s="59">
        <f t="shared" si="35"/>
        <v>320</v>
      </c>
      <c r="C334" s="60">
        <f t="shared" si="33"/>
        <v>0</v>
      </c>
      <c r="D334" s="60">
        <f t="shared" si="29"/>
        <v>0</v>
      </c>
      <c r="E334" s="60">
        <f t="shared" si="30"/>
        <v>0</v>
      </c>
      <c r="F334" s="60">
        <f t="shared" si="31"/>
        <v>0</v>
      </c>
      <c r="G334" s="60">
        <f t="shared" si="32"/>
        <v>0</v>
      </c>
    </row>
    <row r="335" spans="1:7" x14ac:dyDescent="0.2">
      <c r="A335" s="60">
        <f t="shared" si="34"/>
        <v>321</v>
      </c>
      <c r="B335" s="59">
        <f t="shared" si="35"/>
        <v>321</v>
      </c>
      <c r="C335" s="60">
        <f t="shared" si="33"/>
        <v>0</v>
      </c>
      <c r="D335" s="60">
        <f t="shared" ref="D335:D374" si="36">IF(C335=0,0,IF(PV($G$6,$F$9-B335,-$F$10)&gt;0,PV($G$6,$F$9-B335,-$F$10),0))</f>
        <v>0</v>
      </c>
      <c r="E335" s="60">
        <f t="shared" ref="E335:E374" si="37">IF(C335=0,0,+$F$10)</f>
        <v>0</v>
      </c>
      <c r="F335" s="60">
        <f t="shared" ref="F335:F374" si="38">C335-D335</f>
        <v>0</v>
      </c>
      <c r="G335" s="60">
        <f t="shared" ref="G335:G374" si="39">E335-F335</f>
        <v>0</v>
      </c>
    </row>
    <row r="336" spans="1:7" x14ac:dyDescent="0.2">
      <c r="A336" s="60">
        <f t="shared" si="34"/>
        <v>322</v>
      </c>
      <c r="B336" s="59">
        <f t="shared" si="35"/>
        <v>322</v>
      </c>
      <c r="C336" s="60">
        <f t="shared" ref="C336:C374" si="40">D335</f>
        <v>0</v>
      </c>
      <c r="D336" s="60">
        <f t="shared" si="36"/>
        <v>0</v>
      </c>
      <c r="E336" s="60">
        <f t="shared" si="37"/>
        <v>0</v>
      </c>
      <c r="F336" s="60">
        <f t="shared" si="38"/>
        <v>0</v>
      </c>
      <c r="G336" s="60">
        <f t="shared" si="39"/>
        <v>0</v>
      </c>
    </row>
    <row r="337" spans="1:7" x14ac:dyDescent="0.2">
      <c r="A337" s="60">
        <f t="shared" si="34"/>
        <v>323</v>
      </c>
      <c r="B337" s="59">
        <f t="shared" si="35"/>
        <v>323</v>
      </c>
      <c r="C337" s="60">
        <f t="shared" si="40"/>
        <v>0</v>
      </c>
      <c r="D337" s="60">
        <f t="shared" si="36"/>
        <v>0</v>
      </c>
      <c r="E337" s="60">
        <f t="shared" si="37"/>
        <v>0</v>
      </c>
      <c r="F337" s="60">
        <f t="shared" si="38"/>
        <v>0</v>
      </c>
      <c r="G337" s="60">
        <f t="shared" si="39"/>
        <v>0</v>
      </c>
    </row>
    <row r="338" spans="1:7" x14ac:dyDescent="0.2">
      <c r="A338" s="60">
        <f t="shared" si="34"/>
        <v>324</v>
      </c>
      <c r="B338" s="59">
        <f t="shared" si="35"/>
        <v>324</v>
      </c>
      <c r="C338" s="60">
        <f t="shared" si="40"/>
        <v>0</v>
      </c>
      <c r="D338" s="60">
        <f t="shared" si="36"/>
        <v>0</v>
      </c>
      <c r="E338" s="60">
        <f t="shared" si="37"/>
        <v>0</v>
      </c>
      <c r="F338" s="60">
        <f t="shared" si="38"/>
        <v>0</v>
      </c>
      <c r="G338" s="60">
        <f t="shared" si="39"/>
        <v>0</v>
      </c>
    </row>
    <row r="339" spans="1:7" x14ac:dyDescent="0.2">
      <c r="A339" s="60">
        <f t="shared" si="34"/>
        <v>325</v>
      </c>
      <c r="B339" s="59">
        <f t="shared" si="35"/>
        <v>325</v>
      </c>
      <c r="C339" s="60">
        <f t="shared" si="40"/>
        <v>0</v>
      </c>
      <c r="D339" s="60">
        <f t="shared" si="36"/>
        <v>0</v>
      </c>
      <c r="E339" s="60">
        <f t="shared" si="37"/>
        <v>0</v>
      </c>
      <c r="F339" s="60">
        <f t="shared" si="38"/>
        <v>0</v>
      </c>
      <c r="G339" s="60">
        <f t="shared" si="39"/>
        <v>0</v>
      </c>
    </row>
    <row r="340" spans="1:7" x14ac:dyDescent="0.2">
      <c r="A340" s="60">
        <f t="shared" si="34"/>
        <v>326</v>
      </c>
      <c r="B340" s="59">
        <f t="shared" si="35"/>
        <v>326</v>
      </c>
      <c r="C340" s="60">
        <f t="shared" si="40"/>
        <v>0</v>
      </c>
      <c r="D340" s="60">
        <f t="shared" si="36"/>
        <v>0</v>
      </c>
      <c r="E340" s="60">
        <f t="shared" si="37"/>
        <v>0</v>
      </c>
      <c r="F340" s="60">
        <f t="shared" si="38"/>
        <v>0</v>
      </c>
      <c r="G340" s="60">
        <f t="shared" si="39"/>
        <v>0</v>
      </c>
    </row>
    <row r="341" spans="1:7" x14ac:dyDescent="0.2">
      <c r="A341" s="60">
        <f t="shared" si="34"/>
        <v>327</v>
      </c>
      <c r="B341" s="59">
        <f t="shared" si="35"/>
        <v>327</v>
      </c>
      <c r="C341" s="60">
        <f t="shared" si="40"/>
        <v>0</v>
      </c>
      <c r="D341" s="60">
        <f t="shared" si="36"/>
        <v>0</v>
      </c>
      <c r="E341" s="60">
        <f t="shared" si="37"/>
        <v>0</v>
      </c>
      <c r="F341" s="60">
        <f t="shared" si="38"/>
        <v>0</v>
      </c>
      <c r="G341" s="60">
        <f t="shared" si="39"/>
        <v>0</v>
      </c>
    </row>
    <row r="342" spans="1:7" x14ac:dyDescent="0.2">
      <c r="A342" s="60">
        <f t="shared" si="34"/>
        <v>328</v>
      </c>
      <c r="B342" s="59">
        <f t="shared" si="35"/>
        <v>328</v>
      </c>
      <c r="C342" s="60">
        <f t="shared" si="40"/>
        <v>0</v>
      </c>
      <c r="D342" s="60">
        <f t="shared" si="36"/>
        <v>0</v>
      </c>
      <c r="E342" s="60">
        <f t="shared" si="37"/>
        <v>0</v>
      </c>
      <c r="F342" s="60">
        <f t="shared" si="38"/>
        <v>0</v>
      </c>
      <c r="G342" s="60">
        <f t="shared" si="39"/>
        <v>0</v>
      </c>
    </row>
    <row r="343" spans="1:7" x14ac:dyDescent="0.2">
      <c r="A343" s="60">
        <f t="shared" si="34"/>
        <v>329</v>
      </c>
      <c r="B343" s="59">
        <f t="shared" si="35"/>
        <v>329</v>
      </c>
      <c r="C343" s="60">
        <f t="shared" si="40"/>
        <v>0</v>
      </c>
      <c r="D343" s="60">
        <f t="shared" si="36"/>
        <v>0</v>
      </c>
      <c r="E343" s="60">
        <f t="shared" si="37"/>
        <v>0</v>
      </c>
      <c r="F343" s="60">
        <f t="shared" si="38"/>
        <v>0</v>
      </c>
      <c r="G343" s="60">
        <f t="shared" si="39"/>
        <v>0</v>
      </c>
    </row>
    <row r="344" spans="1:7" x14ac:dyDescent="0.2">
      <c r="A344" s="60">
        <f t="shared" si="34"/>
        <v>330</v>
      </c>
      <c r="B344" s="59">
        <f t="shared" si="35"/>
        <v>330</v>
      </c>
      <c r="C344" s="60">
        <f t="shared" si="40"/>
        <v>0</v>
      </c>
      <c r="D344" s="60">
        <f t="shared" si="36"/>
        <v>0</v>
      </c>
      <c r="E344" s="60">
        <f t="shared" si="37"/>
        <v>0</v>
      </c>
      <c r="F344" s="60">
        <f t="shared" si="38"/>
        <v>0</v>
      </c>
      <c r="G344" s="60">
        <f t="shared" si="39"/>
        <v>0</v>
      </c>
    </row>
    <row r="345" spans="1:7" x14ac:dyDescent="0.2">
      <c r="A345" s="60">
        <f t="shared" si="34"/>
        <v>331</v>
      </c>
      <c r="B345" s="59">
        <f t="shared" si="35"/>
        <v>331</v>
      </c>
      <c r="C345" s="60">
        <f t="shared" si="40"/>
        <v>0</v>
      </c>
      <c r="D345" s="60">
        <f t="shared" si="36"/>
        <v>0</v>
      </c>
      <c r="E345" s="60">
        <f t="shared" si="37"/>
        <v>0</v>
      </c>
      <c r="F345" s="60">
        <f t="shared" si="38"/>
        <v>0</v>
      </c>
      <c r="G345" s="60">
        <f t="shared" si="39"/>
        <v>0</v>
      </c>
    </row>
    <row r="346" spans="1:7" x14ac:dyDescent="0.2">
      <c r="A346" s="60">
        <f t="shared" si="34"/>
        <v>332</v>
      </c>
      <c r="B346" s="59">
        <f t="shared" si="35"/>
        <v>332</v>
      </c>
      <c r="C346" s="60">
        <f t="shared" si="40"/>
        <v>0</v>
      </c>
      <c r="D346" s="60">
        <f t="shared" si="36"/>
        <v>0</v>
      </c>
      <c r="E346" s="60">
        <f t="shared" si="37"/>
        <v>0</v>
      </c>
      <c r="F346" s="60">
        <f t="shared" si="38"/>
        <v>0</v>
      </c>
      <c r="G346" s="60">
        <f t="shared" si="39"/>
        <v>0</v>
      </c>
    </row>
    <row r="347" spans="1:7" x14ac:dyDescent="0.2">
      <c r="A347" s="60">
        <f t="shared" ref="A347:A374" si="41">CEILING((B347/(12/$F$7)),1)</f>
        <v>333</v>
      </c>
      <c r="B347" s="59">
        <f t="shared" si="35"/>
        <v>333</v>
      </c>
      <c r="C347" s="60">
        <f t="shared" si="40"/>
        <v>0</v>
      </c>
      <c r="D347" s="60">
        <f t="shared" si="36"/>
        <v>0</v>
      </c>
      <c r="E347" s="60">
        <f t="shared" si="37"/>
        <v>0</v>
      </c>
      <c r="F347" s="60">
        <f t="shared" si="38"/>
        <v>0</v>
      </c>
      <c r="G347" s="60">
        <f t="shared" si="39"/>
        <v>0</v>
      </c>
    </row>
    <row r="348" spans="1:7" x14ac:dyDescent="0.2">
      <c r="A348" s="60">
        <f t="shared" si="41"/>
        <v>334</v>
      </c>
      <c r="B348" s="59">
        <f t="shared" si="35"/>
        <v>334</v>
      </c>
      <c r="C348" s="60">
        <f t="shared" si="40"/>
        <v>0</v>
      </c>
      <c r="D348" s="60">
        <f t="shared" si="36"/>
        <v>0</v>
      </c>
      <c r="E348" s="60">
        <f t="shared" si="37"/>
        <v>0</v>
      </c>
      <c r="F348" s="60">
        <f t="shared" si="38"/>
        <v>0</v>
      </c>
      <c r="G348" s="60">
        <f t="shared" si="39"/>
        <v>0</v>
      </c>
    </row>
    <row r="349" spans="1:7" x14ac:dyDescent="0.2">
      <c r="A349" s="60">
        <f t="shared" si="41"/>
        <v>335</v>
      </c>
      <c r="B349" s="59">
        <f t="shared" si="35"/>
        <v>335</v>
      </c>
      <c r="C349" s="60">
        <f t="shared" si="40"/>
        <v>0</v>
      </c>
      <c r="D349" s="60">
        <f t="shared" si="36"/>
        <v>0</v>
      </c>
      <c r="E349" s="60">
        <f t="shared" si="37"/>
        <v>0</v>
      </c>
      <c r="F349" s="60">
        <f t="shared" si="38"/>
        <v>0</v>
      </c>
      <c r="G349" s="60">
        <f t="shared" si="39"/>
        <v>0</v>
      </c>
    </row>
    <row r="350" spans="1:7" x14ac:dyDescent="0.2">
      <c r="A350" s="60">
        <f t="shared" si="41"/>
        <v>336</v>
      </c>
      <c r="B350" s="59">
        <f t="shared" si="35"/>
        <v>336</v>
      </c>
      <c r="C350" s="60">
        <f t="shared" si="40"/>
        <v>0</v>
      </c>
      <c r="D350" s="60">
        <f t="shared" si="36"/>
        <v>0</v>
      </c>
      <c r="E350" s="60">
        <f t="shared" si="37"/>
        <v>0</v>
      </c>
      <c r="F350" s="60">
        <f t="shared" si="38"/>
        <v>0</v>
      </c>
      <c r="G350" s="60">
        <f t="shared" si="39"/>
        <v>0</v>
      </c>
    </row>
    <row r="351" spans="1:7" x14ac:dyDescent="0.2">
      <c r="A351" s="60">
        <f t="shared" si="41"/>
        <v>337</v>
      </c>
      <c r="B351" s="59">
        <f t="shared" si="35"/>
        <v>337</v>
      </c>
      <c r="C351" s="60">
        <f t="shared" si="40"/>
        <v>0</v>
      </c>
      <c r="D351" s="60">
        <f t="shared" si="36"/>
        <v>0</v>
      </c>
      <c r="E351" s="60">
        <f t="shared" si="37"/>
        <v>0</v>
      </c>
      <c r="F351" s="60">
        <f t="shared" si="38"/>
        <v>0</v>
      </c>
      <c r="G351" s="60">
        <f t="shared" si="39"/>
        <v>0</v>
      </c>
    </row>
    <row r="352" spans="1:7" x14ac:dyDescent="0.2">
      <c r="A352" s="60">
        <f t="shared" si="41"/>
        <v>338</v>
      </c>
      <c r="B352" s="59">
        <f t="shared" si="35"/>
        <v>338</v>
      </c>
      <c r="C352" s="60">
        <f t="shared" si="40"/>
        <v>0</v>
      </c>
      <c r="D352" s="60">
        <f t="shared" si="36"/>
        <v>0</v>
      </c>
      <c r="E352" s="60">
        <f t="shared" si="37"/>
        <v>0</v>
      </c>
      <c r="F352" s="60">
        <f t="shared" si="38"/>
        <v>0</v>
      </c>
      <c r="G352" s="60">
        <f t="shared" si="39"/>
        <v>0</v>
      </c>
    </row>
    <row r="353" spans="1:7" x14ac:dyDescent="0.2">
      <c r="A353" s="60">
        <f t="shared" si="41"/>
        <v>339</v>
      </c>
      <c r="B353" s="59">
        <f t="shared" si="35"/>
        <v>339</v>
      </c>
      <c r="C353" s="60">
        <f t="shared" si="40"/>
        <v>0</v>
      </c>
      <c r="D353" s="60">
        <f t="shared" si="36"/>
        <v>0</v>
      </c>
      <c r="E353" s="60">
        <f t="shared" si="37"/>
        <v>0</v>
      </c>
      <c r="F353" s="60">
        <f t="shared" si="38"/>
        <v>0</v>
      </c>
      <c r="G353" s="60">
        <f t="shared" si="39"/>
        <v>0</v>
      </c>
    </row>
    <row r="354" spans="1:7" x14ac:dyDescent="0.2">
      <c r="A354" s="60">
        <f t="shared" si="41"/>
        <v>340</v>
      </c>
      <c r="B354" s="59">
        <f t="shared" si="35"/>
        <v>340</v>
      </c>
      <c r="C354" s="60">
        <f t="shared" si="40"/>
        <v>0</v>
      </c>
      <c r="D354" s="60">
        <f t="shared" si="36"/>
        <v>0</v>
      </c>
      <c r="E354" s="60">
        <f t="shared" si="37"/>
        <v>0</v>
      </c>
      <c r="F354" s="60">
        <f t="shared" si="38"/>
        <v>0</v>
      </c>
      <c r="G354" s="60">
        <f t="shared" si="39"/>
        <v>0</v>
      </c>
    </row>
    <row r="355" spans="1:7" x14ac:dyDescent="0.2">
      <c r="A355" s="60">
        <f t="shared" si="41"/>
        <v>341</v>
      </c>
      <c r="B355" s="59">
        <f t="shared" si="35"/>
        <v>341</v>
      </c>
      <c r="C355" s="60">
        <f t="shared" si="40"/>
        <v>0</v>
      </c>
      <c r="D355" s="60">
        <f t="shared" si="36"/>
        <v>0</v>
      </c>
      <c r="E355" s="60">
        <f t="shared" si="37"/>
        <v>0</v>
      </c>
      <c r="F355" s="60">
        <f t="shared" si="38"/>
        <v>0</v>
      </c>
      <c r="G355" s="60">
        <f t="shared" si="39"/>
        <v>0</v>
      </c>
    </row>
    <row r="356" spans="1:7" x14ac:dyDescent="0.2">
      <c r="A356" s="60">
        <f t="shared" si="41"/>
        <v>342</v>
      </c>
      <c r="B356" s="59">
        <f t="shared" si="35"/>
        <v>342</v>
      </c>
      <c r="C356" s="60">
        <f t="shared" si="40"/>
        <v>0</v>
      </c>
      <c r="D356" s="60">
        <f t="shared" si="36"/>
        <v>0</v>
      </c>
      <c r="E356" s="60">
        <f t="shared" si="37"/>
        <v>0</v>
      </c>
      <c r="F356" s="60">
        <f t="shared" si="38"/>
        <v>0</v>
      </c>
      <c r="G356" s="60">
        <f t="shared" si="39"/>
        <v>0</v>
      </c>
    </row>
    <row r="357" spans="1:7" x14ac:dyDescent="0.2">
      <c r="A357" s="60">
        <f t="shared" si="41"/>
        <v>343</v>
      </c>
      <c r="B357" s="59">
        <f t="shared" si="35"/>
        <v>343</v>
      </c>
      <c r="C357" s="60">
        <f t="shared" si="40"/>
        <v>0</v>
      </c>
      <c r="D357" s="60">
        <f t="shared" si="36"/>
        <v>0</v>
      </c>
      <c r="E357" s="60">
        <f t="shared" si="37"/>
        <v>0</v>
      </c>
      <c r="F357" s="60">
        <f t="shared" si="38"/>
        <v>0</v>
      </c>
      <c r="G357" s="60">
        <f t="shared" si="39"/>
        <v>0</v>
      </c>
    </row>
    <row r="358" spans="1:7" x14ac:dyDescent="0.2">
      <c r="A358" s="60">
        <f t="shared" si="41"/>
        <v>344</v>
      </c>
      <c r="B358" s="59">
        <f t="shared" si="35"/>
        <v>344</v>
      </c>
      <c r="C358" s="60">
        <f t="shared" si="40"/>
        <v>0</v>
      </c>
      <c r="D358" s="60">
        <f t="shared" si="36"/>
        <v>0</v>
      </c>
      <c r="E358" s="60">
        <f t="shared" si="37"/>
        <v>0</v>
      </c>
      <c r="F358" s="60">
        <f t="shared" si="38"/>
        <v>0</v>
      </c>
      <c r="G358" s="60">
        <f t="shared" si="39"/>
        <v>0</v>
      </c>
    </row>
    <row r="359" spans="1:7" x14ac:dyDescent="0.2">
      <c r="A359" s="60">
        <f t="shared" si="41"/>
        <v>345</v>
      </c>
      <c r="B359" s="59">
        <f t="shared" si="35"/>
        <v>345</v>
      </c>
      <c r="C359" s="60">
        <f t="shared" si="40"/>
        <v>0</v>
      </c>
      <c r="D359" s="60">
        <f t="shared" si="36"/>
        <v>0</v>
      </c>
      <c r="E359" s="60">
        <f t="shared" si="37"/>
        <v>0</v>
      </c>
      <c r="F359" s="60">
        <f t="shared" si="38"/>
        <v>0</v>
      </c>
      <c r="G359" s="60">
        <f t="shared" si="39"/>
        <v>0</v>
      </c>
    </row>
    <row r="360" spans="1:7" x14ac:dyDescent="0.2">
      <c r="A360" s="60">
        <f t="shared" si="41"/>
        <v>346</v>
      </c>
      <c r="B360" s="59">
        <f t="shared" si="35"/>
        <v>346</v>
      </c>
      <c r="C360" s="60">
        <f t="shared" si="40"/>
        <v>0</v>
      </c>
      <c r="D360" s="60">
        <f t="shared" si="36"/>
        <v>0</v>
      </c>
      <c r="E360" s="60">
        <f t="shared" si="37"/>
        <v>0</v>
      </c>
      <c r="F360" s="60">
        <f t="shared" si="38"/>
        <v>0</v>
      </c>
      <c r="G360" s="60">
        <f t="shared" si="39"/>
        <v>0</v>
      </c>
    </row>
    <row r="361" spans="1:7" x14ac:dyDescent="0.2">
      <c r="A361" s="60">
        <f t="shared" si="41"/>
        <v>347</v>
      </c>
      <c r="B361" s="59">
        <f t="shared" si="35"/>
        <v>347</v>
      </c>
      <c r="C361" s="60">
        <f t="shared" si="40"/>
        <v>0</v>
      </c>
      <c r="D361" s="60">
        <f t="shared" si="36"/>
        <v>0</v>
      </c>
      <c r="E361" s="60">
        <f t="shared" si="37"/>
        <v>0</v>
      </c>
      <c r="F361" s="60">
        <f t="shared" si="38"/>
        <v>0</v>
      </c>
      <c r="G361" s="60">
        <f t="shared" si="39"/>
        <v>0</v>
      </c>
    </row>
    <row r="362" spans="1:7" x14ac:dyDescent="0.2">
      <c r="A362" s="60">
        <f t="shared" si="41"/>
        <v>348</v>
      </c>
      <c r="B362" s="59">
        <f t="shared" si="35"/>
        <v>348</v>
      </c>
      <c r="C362" s="60">
        <f t="shared" si="40"/>
        <v>0</v>
      </c>
      <c r="D362" s="60">
        <f t="shared" si="36"/>
        <v>0</v>
      </c>
      <c r="E362" s="60">
        <f t="shared" si="37"/>
        <v>0</v>
      </c>
      <c r="F362" s="60">
        <f t="shared" si="38"/>
        <v>0</v>
      </c>
      <c r="G362" s="60">
        <f t="shared" si="39"/>
        <v>0</v>
      </c>
    </row>
    <row r="363" spans="1:7" x14ac:dyDescent="0.2">
      <c r="A363" s="60">
        <f t="shared" si="41"/>
        <v>349</v>
      </c>
      <c r="B363" s="59">
        <f t="shared" si="35"/>
        <v>349</v>
      </c>
      <c r="C363" s="60">
        <f t="shared" si="40"/>
        <v>0</v>
      </c>
      <c r="D363" s="60">
        <f t="shared" si="36"/>
        <v>0</v>
      </c>
      <c r="E363" s="60">
        <f t="shared" si="37"/>
        <v>0</v>
      </c>
      <c r="F363" s="60">
        <f t="shared" si="38"/>
        <v>0</v>
      </c>
      <c r="G363" s="60">
        <f t="shared" si="39"/>
        <v>0</v>
      </c>
    </row>
    <row r="364" spans="1:7" x14ac:dyDescent="0.2">
      <c r="A364" s="60">
        <f t="shared" si="41"/>
        <v>350</v>
      </c>
      <c r="B364" s="59">
        <f t="shared" si="35"/>
        <v>350</v>
      </c>
      <c r="C364" s="60">
        <f t="shared" si="40"/>
        <v>0</v>
      </c>
      <c r="D364" s="60">
        <f t="shared" si="36"/>
        <v>0</v>
      </c>
      <c r="E364" s="60">
        <f t="shared" si="37"/>
        <v>0</v>
      </c>
      <c r="F364" s="60">
        <f t="shared" si="38"/>
        <v>0</v>
      </c>
      <c r="G364" s="60">
        <f t="shared" si="39"/>
        <v>0</v>
      </c>
    </row>
    <row r="365" spans="1:7" x14ac:dyDescent="0.2">
      <c r="A365" s="60">
        <f t="shared" si="41"/>
        <v>351</v>
      </c>
      <c r="B365" s="59">
        <f t="shared" si="35"/>
        <v>351</v>
      </c>
      <c r="C365" s="60">
        <f t="shared" si="40"/>
        <v>0</v>
      </c>
      <c r="D365" s="60">
        <f t="shared" si="36"/>
        <v>0</v>
      </c>
      <c r="E365" s="60">
        <f t="shared" si="37"/>
        <v>0</v>
      </c>
      <c r="F365" s="60">
        <f t="shared" si="38"/>
        <v>0</v>
      </c>
      <c r="G365" s="60">
        <f t="shared" si="39"/>
        <v>0</v>
      </c>
    </row>
    <row r="366" spans="1:7" x14ac:dyDescent="0.2">
      <c r="A366" s="60">
        <f t="shared" si="41"/>
        <v>352</v>
      </c>
      <c r="B366" s="59">
        <f t="shared" si="35"/>
        <v>352</v>
      </c>
      <c r="C366" s="60">
        <f t="shared" si="40"/>
        <v>0</v>
      </c>
      <c r="D366" s="60">
        <f t="shared" si="36"/>
        <v>0</v>
      </c>
      <c r="E366" s="60">
        <f t="shared" si="37"/>
        <v>0</v>
      </c>
      <c r="F366" s="60">
        <f t="shared" si="38"/>
        <v>0</v>
      </c>
      <c r="G366" s="60">
        <f t="shared" si="39"/>
        <v>0</v>
      </c>
    </row>
    <row r="367" spans="1:7" x14ac:dyDescent="0.2">
      <c r="A367" s="60">
        <f t="shared" si="41"/>
        <v>353</v>
      </c>
      <c r="B367" s="59">
        <f t="shared" si="35"/>
        <v>353</v>
      </c>
      <c r="C367" s="60">
        <f t="shared" si="40"/>
        <v>0</v>
      </c>
      <c r="D367" s="60">
        <f t="shared" si="36"/>
        <v>0</v>
      </c>
      <c r="E367" s="60">
        <f t="shared" si="37"/>
        <v>0</v>
      </c>
      <c r="F367" s="60">
        <f t="shared" si="38"/>
        <v>0</v>
      </c>
      <c r="G367" s="60">
        <f t="shared" si="39"/>
        <v>0</v>
      </c>
    </row>
    <row r="368" spans="1:7" x14ac:dyDescent="0.2">
      <c r="A368" s="60">
        <f t="shared" si="41"/>
        <v>354</v>
      </c>
      <c r="B368" s="59">
        <f t="shared" si="35"/>
        <v>354</v>
      </c>
      <c r="C368" s="60">
        <f t="shared" si="40"/>
        <v>0</v>
      </c>
      <c r="D368" s="60">
        <f t="shared" si="36"/>
        <v>0</v>
      </c>
      <c r="E368" s="60">
        <f t="shared" si="37"/>
        <v>0</v>
      </c>
      <c r="F368" s="60">
        <f t="shared" si="38"/>
        <v>0</v>
      </c>
      <c r="G368" s="60">
        <f t="shared" si="39"/>
        <v>0</v>
      </c>
    </row>
    <row r="369" spans="1:7" x14ac:dyDescent="0.2">
      <c r="A369" s="60">
        <f t="shared" si="41"/>
        <v>355</v>
      </c>
      <c r="B369" s="59">
        <f t="shared" si="35"/>
        <v>355</v>
      </c>
      <c r="C369" s="60">
        <f t="shared" si="40"/>
        <v>0</v>
      </c>
      <c r="D369" s="60">
        <f t="shared" si="36"/>
        <v>0</v>
      </c>
      <c r="E369" s="60">
        <f t="shared" si="37"/>
        <v>0</v>
      </c>
      <c r="F369" s="60">
        <f t="shared" si="38"/>
        <v>0</v>
      </c>
      <c r="G369" s="60">
        <f t="shared" si="39"/>
        <v>0</v>
      </c>
    </row>
    <row r="370" spans="1:7" x14ac:dyDescent="0.2">
      <c r="A370" s="60">
        <f t="shared" si="41"/>
        <v>356</v>
      </c>
      <c r="B370" s="59">
        <f t="shared" si="35"/>
        <v>356</v>
      </c>
      <c r="C370" s="60">
        <f t="shared" si="40"/>
        <v>0</v>
      </c>
      <c r="D370" s="60">
        <f t="shared" si="36"/>
        <v>0</v>
      </c>
      <c r="E370" s="60">
        <f t="shared" si="37"/>
        <v>0</v>
      </c>
      <c r="F370" s="60">
        <f t="shared" si="38"/>
        <v>0</v>
      </c>
      <c r="G370" s="60">
        <f t="shared" si="39"/>
        <v>0</v>
      </c>
    </row>
    <row r="371" spans="1:7" x14ac:dyDescent="0.2">
      <c r="A371" s="60">
        <f t="shared" si="41"/>
        <v>357</v>
      </c>
      <c r="B371" s="59">
        <f t="shared" si="35"/>
        <v>357</v>
      </c>
      <c r="C371" s="60">
        <f t="shared" si="40"/>
        <v>0</v>
      </c>
      <c r="D371" s="60">
        <f t="shared" si="36"/>
        <v>0</v>
      </c>
      <c r="E371" s="60">
        <f t="shared" si="37"/>
        <v>0</v>
      </c>
      <c r="F371" s="60">
        <f t="shared" si="38"/>
        <v>0</v>
      </c>
      <c r="G371" s="60">
        <f t="shared" si="39"/>
        <v>0</v>
      </c>
    </row>
    <row r="372" spans="1:7" x14ac:dyDescent="0.2">
      <c r="A372" s="60">
        <f t="shared" si="41"/>
        <v>358</v>
      </c>
      <c r="B372" s="59">
        <f t="shared" si="35"/>
        <v>358</v>
      </c>
      <c r="C372" s="60">
        <f t="shared" si="40"/>
        <v>0</v>
      </c>
      <c r="D372" s="60">
        <f t="shared" si="36"/>
        <v>0</v>
      </c>
      <c r="E372" s="60">
        <f t="shared" si="37"/>
        <v>0</v>
      </c>
      <c r="F372" s="60">
        <f t="shared" si="38"/>
        <v>0</v>
      </c>
      <c r="G372" s="60">
        <f t="shared" si="39"/>
        <v>0</v>
      </c>
    </row>
    <row r="373" spans="1:7" x14ac:dyDescent="0.2">
      <c r="A373" s="60">
        <f t="shared" si="41"/>
        <v>359</v>
      </c>
      <c r="B373" s="59">
        <f t="shared" si="35"/>
        <v>359</v>
      </c>
      <c r="C373" s="60">
        <f t="shared" si="40"/>
        <v>0</v>
      </c>
      <c r="D373" s="60">
        <f t="shared" si="36"/>
        <v>0</v>
      </c>
      <c r="E373" s="60">
        <f t="shared" si="37"/>
        <v>0</v>
      </c>
      <c r="F373" s="60">
        <f t="shared" si="38"/>
        <v>0</v>
      </c>
      <c r="G373" s="60">
        <f t="shared" si="39"/>
        <v>0</v>
      </c>
    </row>
    <row r="374" spans="1:7" x14ac:dyDescent="0.2">
      <c r="A374" s="60">
        <f t="shared" si="41"/>
        <v>360</v>
      </c>
      <c r="B374" s="59">
        <f t="shared" si="35"/>
        <v>360</v>
      </c>
      <c r="C374" s="60">
        <f t="shared" si="40"/>
        <v>0</v>
      </c>
      <c r="D374" s="60">
        <f t="shared" si="36"/>
        <v>0</v>
      </c>
      <c r="E374" s="60">
        <f t="shared" si="37"/>
        <v>0</v>
      </c>
      <c r="F374" s="60">
        <f t="shared" si="38"/>
        <v>0</v>
      </c>
      <c r="G374" s="60">
        <f t="shared" si="39"/>
        <v>0</v>
      </c>
    </row>
  </sheetData>
  <phoneticPr fontId="11" type="noConversion"/>
  <printOptions gridLinesSet="0"/>
  <pageMargins left="0.19685039370078741" right="0.19685039370078741" top="0.39370078740157483" bottom="0.39370078740157483" header="0.51181102362204722" footer="0.51181102362204722"/>
  <pageSetup paperSize="9" scale="85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syncVertical="1" syncRef="A10" transitionEvaluation="1">
    <pageSetUpPr fitToPage="1"/>
  </sheetPr>
  <dimension ref="A1:P374"/>
  <sheetViews>
    <sheetView showGridLines="0" topLeftCell="A10" zoomScale="90" zoomScaleNormal="100" workbookViewId="0">
      <selection activeCell="F6" sqref="F6"/>
    </sheetView>
  </sheetViews>
  <sheetFormatPr defaultColWidth="11" defaultRowHeight="12.75" x14ac:dyDescent="0.2"/>
  <cols>
    <col min="1" max="1" width="6.28515625" style="25" bestFit="1" customWidth="1"/>
    <col min="2" max="2" width="6" style="26" bestFit="1" customWidth="1"/>
    <col min="3" max="3" width="14.42578125" style="26" customWidth="1"/>
    <col min="4" max="4" width="16.140625" style="26" bestFit="1" customWidth="1"/>
    <col min="5" max="5" width="10" style="26" customWidth="1"/>
    <col min="6" max="6" width="11.7109375" style="26" bestFit="1" customWidth="1"/>
    <col min="7" max="7" width="12" style="26" bestFit="1" customWidth="1"/>
    <col min="8" max="13" width="14.42578125" style="24" customWidth="1"/>
    <col min="14" max="16384" width="11" style="24"/>
  </cols>
  <sheetData>
    <row r="1" spans="1:16" ht="13.5" thickBot="1" x14ac:dyDescent="0.25"/>
    <row r="2" spans="1:16" ht="16.5" x14ac:dyDescent="0.25">
      <c r="A2" s="28"/>
      <c r="B2" s="29"/>
      <c r="C2" s="30" t="s">
        <v>27</v>
      </c>
      <c r="D2" s="29"/>
      <c r="E2" s="29"/>
      <c r="F2" s="29"/>
      <c r="G2" s="31"/>
      <c r="H2" s="27"/>
      <c r="I2" s="27"/>
      <c r="J2" s="27"/>
      <c r="K2" s="27"/>
      <c r="L2" s="27"/>
      <c r="M2" s="27"/>
      <c r="N2" s="27"/>
      <c r="O2" s="27"/>
      <c r="P2" s="27"/>
    </row>
    <row r="3" spans="1:16" ht="16.5" thickBot="1" x14ac:dyDescent="0.3">
      <c r="A3" s="32"/>
      <c r="B3" s="33"/>
      <c r="C3" s="34"/>
      <c r="D3" s="33"/>
      <c r="E3" s="33"/>
      <c r="F3" s="33"/>
      <c r="G3" s="35"/>
      <c r="H3" s="27"/>
      <c r="I3" s="27"/>
      <c r="J3" s="27"/>
      <c r="K3" s="27"/>
      <c r="L3" s="27"/>
      <c r="M3" s="27"/>
      <c r="N3" s="27"/>
      <c r="O3" s="27"/>
      <c r="P3" s="27"/>
    </row>
    <row r="4" spans="1:16" ht="14.25" thickBot="1" x14ac:dyDescent="0.3">
      <c r="B4" s="36"/>
      <c r="C4" s="37"/>
      <c r="D4" s="36"/>
      <c r="E4" s="36"/>
      <c r="F4" s="38" t="s">
        <v>28</v>
      </c>
      <c r="G4" s="36"/>
      <c r="H4" s="27"/>
      <c r="I4" s="27"/>
      <c r="J4" s="27"/>
      <c r="K4" s="27"/>
      <c r="L4" s="27"/>
      <c r="M4" s="27"/>
      <c r="N4" s="27"/>
      <c r="O4" s="27"/>
      <c r="P4" s="27"/>
    </row>
    <row r="5" spans="1:16" x14ac:dyDescent="0.2">
      <c r="B5" s="36"/>
      <c r="C5" s="39" t="s">
        <v>29</v>
      </c>
      <c r="D5" s="40"/>
      <c r="E5" s="40"/>
      <c r="F5" s="41">
        <v>0</v>
      </c>
      <c r="G5" s="36" t="s">
        <v>30</v>
      </c>
      <c r="H5" s="27"/>
      <c r="I5" s="27"/>
      <c r="J5" s="27"/>
      <c r="K5" s="27"/>
      <c r="L5" s="27"/>
      <c r="M5" s="27"/>
      <c r="N5" s="27"/>
      <c r="O5" s="27"/>
      <c r="P5" s="27"/>
    </row>
    <row r="6" spans="1:16" x14ac:dyDescent="0.2">
      <c r="B6" s="36"/>
      <c r="C6" s="42" t="s">
        <v>40</v>
      </c>
      <c r="D6" s="43"/>
      <c r="E6" s="64"/>
      <c r="F6" s="392">
        <v>0.05</v>
      </c>
      <c r="G6" s="46">
        <f>(F6/100)/(12/F7)</f>
        <v>5.0000000000000001E-4</v>
      </c>
      <c r="H6" s="27"/>
      <c r="I6" s="27"/>
      <c r="J6" s="27"/>
      <c r="K6" s="27"/>
      <c r="L6" s="27"/>
      <c r="M6" s="27"/>
      <c r="N6" s="27"/>
      <c r="O6" s="27"/>
      <c r="P6" s="27"/>
    </row>
    <row r="7" spans="1:16" x14ac:dyDescent="0.2">
      <c r="B7" s="36"/>
      <c r="C7" s="61" t="s">
        <v>39</v>
      </c>
      <c r="D7" s="62"/>
      <c r="E7" s="63"/>
      <c r="F7" s="65">
        <v>12</v>
      </c>
      <c r="G7" s="46"/>
      <c r="H7" s="27"/>
      <c r="I7" s="27"/>
      <c r="J7" s="27"/>
      <c r="K7" s="27"/>
      <c r="L7" s="27"/>
      <c r="M7" s="27"/>
      <c r="N7" s="27"/>
      <c r="O7" s="27"/>
      <c r="P7" s="27"/>
    </row>
    <row r="8" spans="1:16" x14ac:dyDescent="0.2">
      <c r="B8" s="36"/>
      <c r="C8" s="61" t="s">
        <v>38</v>
      </c>
      <c r="D8" s="62"/>
      <c r="E8" s="44"/>
      <c r="F8" s="65">
        <f>+'DATI PROGETTO E FINANZIAMENTO'!C135</f>
        <v>0</v>
      </c>
      <c r="G8" s="46"/>
      <c r="H8" s="27"/>
      <c r="I8" s="27"/>
      <c r="J8" s="27"/>
      <c r="K8" s="27"/>
      <c r="L8" s="27"/>
      <c r="M8" s="27"/>
      <c r="N8" s="27"/>
      <c r="O8" s="27"/>
      <c r="P8" s="27"/>
    </row>
    <row r="9" spans="1:16" ht="13.5" thickBot="1" x14ac:dyDescent="0.25">
      <c r="B9" s="36"/>
      <c r="C9" s="66" t="s">
        <v>37</v>
      </c>
      <c r="D9" s="67"/>
      <c r="E9" s="67"/>
      <c r="F9" s="68">
        <f>+F8*(12/F7)</f>
        <v>0</v>
      </c>
      <c r="G9" s="69"/>
      <c r="H9" s="27"/>
      <c r="I9" s="27"/>
      <c r="J9" s="27"/>
      <c r="K9" s="27"/>
      <c r="L9" s="27"/>
      <c r="M9" s="27"/>
      <c r="N9" s="27"/>
      <c r="O9" s="27"/>
      <c r="P9" s="27"/>
    </row>
    <row r="10" spans="1:16" x14ac:dyDescent="0.2">
      <c r="B10" s="36"/>
      <c r="C10" s="47" t="s">
        <v>18</v>
      </c>
      <c r="D10" s="48"/>
      <c r="E10" s="48"/>
      <c r="F10" s="49" t="e">
        <f>PMT(G6,F9,-F5)</f>
        <v>#NUM!</v>
      </c>
      <c r="G10" s="36" t="s">
        <v>30</v>
      </c>
      <c r="H10" s="27"/>
      <c r="I10" s="27"/>
      <c r="J10" s="27"/>
      <c r="K10" s="27"/>
      <c r="L10" s="27"/>
      <c r="M10" s="27"/>
      <c r="N10" s="27"/>
      <c r="O10" s="27"/>
      <c r="P10" s="27"/>
    </row>
    <row r="11" spans="1:16" x14ac:dyDescent="0.2">
      <c r="B11" s="36"/>
      <c r="C11" s="50" t="s">
        <v>31</v>
      </c>
      <c r="D11" s="51"/>
      <c r="E11" s="51"/>
      <c r="F11" s="52" t="e">
        <f>+(F10*F9)-F5</f>
        <v>#NUM!</v>
      </c>
      <c r="G11" s="36"/>
      <c r="H11" s="27"/>
      <c r="I11" s="27"/>
      <c r="J11" s="27"/>
      <c r="K11" s="27"/>
      <c r="L11" s="27"/>
      <c r="M11" s="27"/>
      <c r="N11" s="27"/>
      <c r="O11" s="27"/>
      <c r="P11" s="27"/>
    </row>
    <row r="12" spans="1:16" ht="13.5" thickBot="1" x14ac:dyDescent="0.25">
      <c r="B12" s="36"/>
      <c r="C12" s="53" t="s">
        <v>32</v>
      </c>
      <c r="D12" s="54"/>
      <c r="E12" s="54"/>
      <c r="F12" s="55" t="e">
        <f>+F5+F11</f>
        <v>#NUM!</v>
      </c>
      <c r="G12" s="36"/>
      <c r="H12" s="27"/>
      <c r="I12" s="37"/>
      <c r="J12" s="37"/>
      <c r="K12" s="37"/>
      <c r="L12" s="27"/>
      <c r="M12" s="27"/>
      <c r="N12" s="27"/>
      <c r="O12" s="27"/>
      <c r="P12" s="27"/>
    </row>
    <row r="13" spans="1:16" x14ac:dyDescent="0.2">
      <c r="B13" s="36"/>
      <c r="C13" s="36"/>
      <c r="D13" s="36"/>
      <c r="E13" s="36"/>
      <c r="F13" s="36"/>
      <c r="G13" s="36"/>
      <c r="H13" s="27"/>
      <c r="I13" s="37"/>
      <c r="J13" s="37"/>
      <c r="K13" s="37"/>
      <c r="L13" s="27"/>
      <c r="M13" s="27"/>
      <c r="N13" s="27"/>
      <c r="O13" s="27"/>
      <c r="P13" s="27"/>
    </row>
    <row r="14" spans="1:16" x14ac:dyDescent="0.2">
      <c r="A14" s="56" t="s">
        <v>19</v>
      </c>
      <c r="B14" s="57" t="s">
        <v>18</v>
      </c>
      <c r="C14" s="58" t="s">
        <v>33</v>
      </c>
      <c r="D14" s="58" t="s">
        <v>34</v>
      </c>
      <c r="E14" s="58" t="s">
        <v>18</v>
      </c>
      <c r="F14" s="58" t="s">
        <v>35</v>
      </c>
      <c r="G14" s="58" t="s">
        <v>36</v>
      </c>
      <c r="H14" s="27"/>
      <c r="I14" s="37"/>
      <c r="J14" s="37"/>
      <c r="K14" s="27"/>
      <c r="L14" s="27"/>
      <c r="M14" s="27"/>
      <c r="N14" s="27"/>
      <c r="O14" s="27"/>
      <c r="P14" s="27"/>
    </row>
    <row r="15" spans="1:16" x14ac:dyDescent="0.2">
      <c r="A15" s="60">
        <f t="shared" ref="A15:A25" si="0">CEILING((B15/(12/$F$7)),1)</f>
        <v>1</v>
      </c>
      <c r="B15" s="59">
        <v>1</v>
      </c>
      <c r="C15" s="60">
        <f>F5</f>
        <v>0</v>
      </c>
      <c r="D15" s="60">
        <f t="shared" ref="D15:D78" si="1">IF(C15=0,0,IF(PV($G$6,$F$9-B15,-$F$10)&gt;0,PV($G$6,$F$9-B15,-$F$10),0))</f>
        <v>0</v>
      </c>
      <c r="E15" s="60">
        <f t="shared" ref="E15:E78" si="2">IF(C15=0,0,+$F$10)</f>
        <v>0</v>
      </c>
      <c r="F15" s="60">
        <f t="shared" ref="F15:F78" si="3">C15-D15</f>
        <v>0</v>
      </c>
      <c r="G15" s="60">
        <f t="shared" ref="G15:G78" si="4">E15-F15</f>
        <v>0</v>
      </c>
      <c r="H15" s="27"/>
      <c r="I15" s="27"/>
      <c r="J15" s="27"/>
      <c r="K15" s="27"/>
      <c r="L15" s="27"/>
      <c r="M15" s="27"/>
      <c r="N15" s="27"/>
      <c r="O15" s="27"/>
      <c r="P15" s="27"/>
    </row>
    <row r="16" spans="1:16" x14ac:dyDescent="0.2">
      <c r="A16" s="60">
        <f t="shared" si="0"/>
        <v>2</v>
      </c>
      <c r="B16" s="59">
        <v>2</v>
      </c>
      <c r="C16" s="60">
        <f t="shared" ref="C16:C79" si="5">D15</f>
        <v>0</v>
      </c>
      <c r="D16" s="60">
        <f t="shared" si="1"/>
        <v>0</v>
      </c>
      <c r="E16" s="60">
        <f t="shared" si="2"/>
        <v>0</v>
      </c>
      <c r="F16" s="60">
        <f t="shared" si="3"/>
        <v>0</v>
      </c>
      <c r="G16" s="60">
        <f t="shared" si="4"/>
        <v>0</v>
      </c>
      <c r="H16" s="27"/>
      <c r="I16" s="27"/>
      <c r="J16" s="27"/>
      <c r="K16" s="27"/>
      <c r="L16" s="27"/>
      <c r="M16" s="27"/>
      <c r="N16" s="27"/>
      <c r="O16" s="27"/>
      <c r="P16" s="27"/>
    </row>
    <row r="17" spans="1:16" x14ac:dyDescent="0.2">
      <c r="A17" s="60">
        <f t="shared" si="0"/>
        <v>3</v>
      </c>
      <c r="B17" s="59">
        <v>3</v>
      </c>
      <c r="C17" s="60">
        <f t="shared" si="5"/>
        <v>0</v>
      </c>
      <c r="D17" s="60">
        <f t="shared" si="1"/>
        <v>0</v>
      </c>
      <c r="E17" s="60">
        <f t="shared" si="2"/>
        <v>0</v>
      </c>
      <c r="F17" s="60">
        <f t="shared" si="3"/>
        <v>0</v>
      </c>
      <c r="G17" s="60">
        <f t="shared" si="4"/>
        <v>0</v>
      </c>
      <c r="H17" s="27"/>
      <c r="I17" s="27"/>
      <c r="J17" s="27"/>
      <c r="K17" s="27"/>
      <c r="L17" s="27"/>
      <c r="M17" s="27"/>
      <c r="N17" s="27"/>
      <c r="O17" s="27"/>
      <c r="P17" s="27"/>
    </row>
    <row r="18" spans="1:16" x14ac:dyDescent="0.2">
      <c r="A18" s="60">
        <f t="shared" si="0"/>
        <v>4</v>
      </c>
      <c r="B18" s="59">
        <v>4</v>
      </c>
      <c r="C18" s="60">
        <f t="shared" si="5"/>
        <v>0</v>
      </c>
      <c r="D18" s="60">
        <f t="shared" si="1"/>
        <v>0</v>
      </c>
      <c r="E18" s="60">
        <f t="shared" si="2"/>
        <v>0</v>
      </c>
      <c r="F18" s="60">
        <f t="shared" si="3"/>
        <v>0</v>
      </c>
      <c r="G18" s="60">
        <f t="shared" si="4"/>
        <v>0</v>
      </c>
      <c r="H18" s="27"/>
      <c r="I18" s="27"/>
      <c r="J18" s="27"/>
      <c r="K18" s="27"/>
      <c r="L18" s="27"/>
      <c r="M18" s="27"/>
      <c r="N18" s="27"/>
      <c r="O18" s="27"/>
      <c r="P18" s="27"/>
    </row>
    <row r="19" spans="1:16" x14ac:dyDescent="0.2">
      <c r="A19" s="60">
        <f t="shared" si="0"/>
        <v>5</v>
      </c>
      <c r="B19" s="59">
        <v>5</v>
      </c>
      <c r="C19" s="60">
        <f t="shared" si="5"/>
        <v>0</v>
      </c>
      <c r="D19" s="60">
        <f t="shared" si="1"/>
        <v>0</v>
      </c>
      <c r="E19" s="60">
        <f t="shared" si="2"/>
        <v>0</v>
      </c>
      <c r="F19" s="60">
        <f t="shared" si="3"/>
        <v>0</v>
      </c>
      <c r="G19" s="60">
        <f t="shared" si="4"/>
        <v>0</v>
      </c>
      <c r="H19" s="27"/>
      <c r="I19" s="27"/>
      <c r="J19" s="27"/>
      <c r="K19" s="27"/>
      <c r="L19" s="27"/>
      <c r="M19" s="27"/>
      <c r="N19" s="27"/>
      <c r="O19" s="27"/>
      <c r="P19" s="27"/>
    </row>
    <row r="20" spans="1:16" x14ac:dyDescent="0.2">
      <c r="A20" s="60">
        <f t="shared" si="0"/>
        <v>6</v>
      </c>
      <c r="B20" s="59">
        <v>6</v>
      </c>
      <c r="C20" s="60">
        <f t="shared" si="5"/>
        <v>0</v>
      </c>
      <c r="D20" s="60">
        <f t="shared" si="1"/>
        <v>0</v>
      </c>
      <c r="E20" s="60">
        <f t="shared" si="2"/>
        <v>0</v>
      </c>
      <c r="F20" s="60">
        <f t="shared" si="3"/>
        <v>0</v>
      </c>
      <c r="G20" s="60">
        <f t="shared" si="4"/>
        <v>0</v>
      </c>
      <c r="H20" s="27"/>
      <c r="I20" s="27"/>
      <c r="J20" s="27"/>
      <c r="K20" s="27"/>
      <c r="L20" s="27"/>
      <c r="M20" s="27"/>
      <c r="N20" s="27"/>
      <c r="O20" s="27"/>
      <c r="P20" s="27"/>
    </row>
    <row r="21" spans="1:16" x14ac:dyDescent="0.2">
      <c r="A21" s="60">
        <f t="shared" si="0"/>
        <v>7</v>
      </c>
      <c r="B21" s="59">
        <v>7</v>
      </c>
      <c r="C21" s="60">
        <f t="shared" si="5"/>
        <v>0</v>
      </c>
      <c r="D21" s="60">
        <f t="shared" si="1"/>
        <v>0</v>
      </c>
      <c r="E21" s="60">
        <f t="shared" si="2"/>
        <v>0</v>
      </c>
      <c r="F21" s="60">
        <f t="shared" si="3"/>
        <v>0</v>
      </c>
      <c r="G21" s="60">
        <f t="shared" si="4"/>
        <v>0</v>
      </c>
      <c r="H21" s="27"/>
      <c r="I21" s="27"/>
      <c r="J21" s="27"/>
      <c r="K21" s="27"/>
      <c r="L21" s="27"/>
      <c r="M21" s="27"/>
      <c r="N21" s="27"/>
      <c r="O21" s="27"/>
      <c r="P21" s="27"/>
    </row>
    <row r="22" spans="1:16" x14ac:dyDescent="0.2">
      <c r="A22" s="60">
        <f t="shared" si="0"/>
        <v>8</v>
      </c>
      <c r="B22" s="59">
        <v>8</v>
      </c>
      <c r="C22" s="60">
        <f t="shared" si="5"/>
        <v>0</v>
      </c>
      <c r="D22" s="60">
        <f t="shared" si="1"/>
        <v>0</v>
      </c>
      <c r="E22" s="60">
        <f t="shared" si="2"/>
        <v>0</v>
      </c>
      <c r="F22" s="60">
        <f t="shared" si="3"/>
        <v>0</v>
      </c>
      <c r="G22" s="60">
        <f t="shared" si="4"/>
        <v>0</v>
      </c>
      <c r="H22" s="27"/>
      <c r="I22" s="27"/>
      <c r="J22" s="27"/>
      <c r="K22" s="27"/>
      <c r="L22" s="27"/>
      <c r="M22" s="27"/>
      <c r="N22" s="27"/>
      <c r="O22" s="27"/>
      <c r="P22" s="27"/>
    </row>
    <row r="23" spans="1:16" x14ac:dyDescent="0.2">
      <c r="A23" s="60">
        <f t="shared" si="0"/>
        <v>9</v>
      </c>
      <c r="B23" s="59">
        <v>9</v>
      </c>
      <c r="C23" s="60">
        <f t="shared" si="5"/>
        <v>0</v>
      </c>
      <c r="D23" s="60">
        <f t="shared" si="1"/>
        <v>0</v>
      </c>
      <c r="E23" s="60">
        <f t="shared" si="2"/>
        <v>0</v>
      </c>
      <c r="F23" s="60">
        <f t="shared" si="3"/>
        <v>0</v>
      </c>
      <c r="G23" s="60">
        <f t="shared" si="4"/>
        <v>0</v>
      </c>
      <c r="H23" s="27"/>
      <c r="I23" s="27"/>
      <c r="J23" s="27"/>
      <c r="K23" s="27"/>
      <c r="L23" s="27"/>
      <c r="M23" s="27"/>
      <c r="N23" s="27"/>
      <c r="O23" s="27"/>
      <c r="P23" s="27"/>
    </row>
    <row r="24" spans="1:16" x14ac:dyDescent="0.2">
      <c r="A24" s="60">
        <f t="shared" si="0"/>
        <v>10</v>
      </c>
      <c r="B24" s="59">
        <v>10</v>
      </c>
      <c r="C24" s="60">
        <f t="shared" si="5"/>
        <v>0</v>
      </c>
      <c r="D24" s="60">
        <f t="shared" si="1"/>
        <v>0</v>
      </c>
      <c r="E24" s="60">
        <f t="shared" si="2"/>
        <v>0</v>
      </c>
      <c r="F24" s="60">
        <f t="shared" si="3"/>
        <v>0</v>
      </c>
      <c r="G24" s="60">
        <f t="shared" si="4"/>
        <v>0</v>
      </c>
      <c r="H24" s="27"/>
      <c r="I24" s="27"/>
      <c r="J24" s="27"/>
      <c r="K24" s="27"/>
      <c r="L24" s="27"/>
      <c r="M24" s="27"/>
      <c r="N24" s="27"/>
      <c r="O24" s="27"/>
      <c r="P24" s="27"/>
    </row>
    <row r="25" spans="1:16" x14ac:dyDescent="0.2">
      <c r="A25" s="60">
        <f t="shared" si="0"/>
        <v>11</v>
      </c>
      <c r="B25" s="59">
        <v>11</v>
      </c>
      <c r="C25" s="60">
        <f t="shared" si="5"/>
        <v>0</v>
      </c>
      <c r="D25" s="60">
        <f t="shared" si="1"/>
        <v>0</v>
      </c>
      <c r="E25" s="60">
        <f t="shared" si="2"/>
        <v>0</v>
      </c>
      <c r="F25" s="60">
        <f t="shared" si="3"/>
        <v>0</v>
      </c>
      <c r="G25" s="60">
        <f t="shared" si="4"/>
        <v>0</v>
      </c>
      <c r="H25" s="27"/>
      <c r="I25" s="27"/>
      <c r="J25" s="27"/>
      <c r="K25" s="27"/>
      <c r="L25" s="27"/>
      <c r="M25" s="27"/>
      <c r="N25" s="27"/>
      <c r="O25" s="27"/>
      <c r="P25" s="27"/>
    </row>
    <row r="26" spans="1:16" x14ac:dyDescent="0.2">
      <c r="A26" s="60">
        <f>CEILING((B26/(12/$F$7)),1)</f>
        <v>12</v>
      </c>
      <c r="B26" s="59">
        <v>12</v>
      </c>
      <c r="C26" s="60">
        <f t="shared" si="5"/>
        <v>0</v>
      </c>
      <c r="D26" s="60">
        <f t="shared" si="1"/>
        <v>0</v>
      </c>
      <c r="E26" s="60">
        <f t="shared" si="2"/>
        <v>0</v>
      </c>
      <c r="F26" s="60">
        <f t="shared" si="3"/>
        <v>0</v>
      </c>
      <c r="G26" s="60">
        <f t="shared" si="4"/>
        <v>0</v>
      </c>
      <c r="H26" s="27"/>
      <c r="I26" s="27"/>
      <c r="J26" s="27"/>
      <c r="K26" s="27"/>
      <c r="L26" s="27"/>
      <c r="M26" s="27"/>
      <c r="N26" s="27"/>
      <c r="O26" s="27"/>
      <c r="P26" s="27"/>
    </row>
    <row r="27" spans="1:16" x14ac:dyDescent="0.2">
      <c r="A27" s="60">
        <f t="shared" ref="A27:A90" si="6">CEILING((B27/(12/$F$7)),1)</f>
        <v>13</v>
      </c>
      <c r="B27" s="59">
        <v>13</v>
      </c>
      <c r="C27" s="60">
        <f t="shared" si="5"/>
        <v>0</v>
      </c>
      <c r="D27" s="60">
        <f t="shared" si="1"/>
        <v>0</v>
      </c>
      <c r="E27" s="60">
        <f t="shared" si="2"/>
        <v>0</v>
      </c>
      <c r="F27" s="60">
        <f t="shared" si="3"/>
        <v>0</v>
      </c>
      <c r="G27" s="60">
        <f t="shared" si="4"/>
        <v>0</v>
      </c>
      <c r="H27" s="27"/>
      <c r="I27" s="27"/>
      <c r="J27" s="27"/>
      <c r="K27" s="27"/>
      <c r="L27" s="27"/>
      <c r="M27" s="27"/>
      <c r="N27" s="27"/>
      <c r="O27" s="27"/>
      <c r="P27" s="27"/>
    </row>
    <row r="28" spans="1:16" x14ac:dyDescent="0.2">
      <c r="A28" s="60">
        <f t="shared" si="6"/>
        <v>14</v>
      </c>
      <c r="B28" s="59">
        <v>14</v>
      </c>
      <c r="C28" s="60">
        <f t="shared" si="5"/>
        <v>0</v>
      </c>
      <c r="D28" s="60">
        <f t="shared" si="1"/>
        <v>0</v>
      </c>
      <c r="E28" s="60">
        <f t="shared" si="2"/>
        <v>0</v>
      </c>
      <c r="F28" s="60">
        <f t="shared" si="3"/>
        <v>0</v>
      </c>
      <c r="G28" s="60">
        <f t="shared" si="4"/>
        <v>0</v>
      </c>
      <c r="H28" s="27"/>
      <c r="I28" s="27"/>
      <c r="J28" s="27"/>
      <c r="K28" s="27"/>
      <c r="L28" s="27"/>
      <c r="M28" s="27"/>
      <c r="N28" s="27"/>
      <c r="O28" s="27"/>
      <c r="P28" s="27"/>
    </row>
    <row r="29" spans="1:16" x14ac:dyDescent="0.2">
      <c r="A29" s="60">
        <f t="shared" si="6"/>
        <v>15</v>
      </c>
      <c r="B29" s="59">
        <v>15</v>
      </c>
      <c r="C29" s="60">
        <f t="shared" si="5"/>
        <v>0</v>
      </c>
      <c r="D29" s="60">
        <f t="shared" si="1"/>
        <v>0</v>
      </c>
      <c r="E29" s="60">
        <f t="shared" si="2"/>
        <v>0</v>
      </c>
      <c r="F29" s="60">
        <f t="shared" si="3"/>
        <v>0</v>
      </c>
      <c r="G29" s="60">
        <f t="shared" si="4"/>
        <v>0</v>
      </c>
      <c r="H29" s="27"/>
      <c r="I29" s="27"/>
      <c r="J29" s="27"/>
      <c r="K29" s="27"/>
      <c r="L29" s="27"/>
      <c r="M29" s="27"/>
      <c r="N29" s="27"/>
      <c r="O29" s="27"/>
      <c r="P29" s="27"/>
    </row>
    <row r="30" spans="1:16" x14ac:dyDescent="0.2">
      <c r="A30" s="60">
        <f t="shared" si="6"/>
        <v>16</v>
      </c>
      <c r="B30" s="59">
        <v>16</v>
      </c>
      <c r="C30" s="60">
        <f t="shared" si="5"/>
        <v>0</v>
      </c>
      <c r="D30" s="60">
        <f t="shared" si="1"/>
        <v>0</v>
      </c>
      <c r="E30" s="60">
        <f t="shared" si="2"/>
        <v>0</v>
      </c>
      <c r="F30" s="60">
        <f t="shared" si="3"/>
        <v>0</v>
      </c>
      <c r="G30" s="60">
        <f t="shared" si="4"/>
        <v>0</v>
      </c>
      <c r="H30" s="27"/>
      <c r="I30" s="27"/>
      <c r="J30" s="27"/>
      <c r="K30" s="27"/>
      <c r="L30" s="27"/>
      <c r="M30" s="27"/>
      <c r="N30" s="27"/>
      <c r="O30" s="27"/>
      <c r="P30" s="27"/>
    </row>
    <row r="31" spans="1:16" x14ac:dyDescent="0.2">
      <c r="A31" s="60">
        <f t="shared" si="6"/>
        <v>17</v>
      </c>
      <c r="B31" s="59">
        <v>17</v>
      </c>
      <c r="C31" s="60">
        <f t="shared" si="5"/>
        <v>0</v>
      </c>
      <c r="D31" s="60">
        <f t="shared" si="1"/>
        <v>0</v>
      </c>
      <c r="E31" s="60">
        <f t="shared" si="2"/>
        <v>0</v>
      </c>
      <c r="F31" s="60">
        <f t="shared" si="3"/>
        <v>0</v>
      </c>
      <c r="G31" s="60">
        <f t="shared" si="4"/>
        <v>0</v>
      </c>
      <c r="H31" s="27"/>
      <c r="I31" s="27"/>
      <c r="J31" s="27"/>
      <c r="K31" s="27"/>
      <c r="L31" s="27"/>
      <c r="M31" s="27"/>
      <c r="N31" s="27"/>
      <c r="O31" s="27"/>
      <c r="P31" s="27"/>
    </row>
    <row r="32" spans="1:16" x14ac:dyDescent="0.2">
      <c r="A32" s="60">
        <f t="shared" si="6"/>
        <v>18</v>
      </c>
      <c r="B32" s="59">
        <v>18</v>
      </c>
      <c r="C32" s="60">
        <f t="shared" si="5"/>
        <v>0</v>
      </c>
      <c r="D32" s="60">
        <f t="shared" si="1"/>
        <v>0</v>
      </c>
      <c r="E32" s="60">
        <f t="shared" si="2"/>
        <v>0</v>
      </c>
      <c r="F32" s="60">
        <f t="shared" si="3"/>
        <v>0</v>
      </c>
      <c r="G32" s="60">
        <f t="shared" si="4"/>
        <v>0</v>
      </c>
      <c r="H32" s="27"/>
      <c r="I32" s="27"/>
      <c r="J32" s="27"/>
      <c r="K32" s="27"/>
      <c r="L32" s="27"/>
      <c r="M32" s="27"/>
      <c r="N32" s="27"/>
      <c r="O32" s="27"/>
      <c r="P32" s="27"/>
    </row>
    <row r="33" spans="1:16" x14ac:dyDescent="0.2">
      <c r="A33" s="60">
        <f t="shared" si="6"/>
        <v>19</v>
      </c>
      <c r="B33" s="59">
        <v>19</v>
      </c>
      <c r="C33" s="60">
        <f t="shared" si="5"/>
        <v>0</v>
      </c>
      <c r="D33" s="60">
        <f t="shared" si="1"/>
        <v>0</v>
      </c>
      <c r="E33" s="60">
        <f t="shared" si="2"/>
        <v>0</v>
      </c>
      <c r="F33" s="60">
        <f t="shared" si="3"/>
        <v>0</v>
      </c>
      <c r="G33" s="60">
        <f t="shared" si="4"/>
        <v>0</v>
      </c>
      <c r="H33" s="27"/>
      <c r="I33" s="27"/>
      <c r="J33" s="27"/>
      <c r="K33" s="27"/>
      <c r="L33" s="27"/>
      <c r="M33" s="27"/>
      <c r="N33" s="27"/>
      <c r="O33" s="27"/>
      <c r="P33" s="27"/>
    </row>
    <row r="34" spans="1:16" x14ac:dyDescent="0.2">
      <c r="A34" s="60">
        <f t="shared" si="6"/>
        <v>20</v>
      </c>
      <c r="B34" s="59">
        <v>20</v>
      </c>
      <c r="C34" s="60">
        <f t="shared" si="5"/>
        <v>0</v>
      </c>
      <c r="D34" s="60">
        <f t="shared" si="1"/>
        <v>0</v>
      </c>
      <c r="E34" s="60">
        <f t="shared" si="2"/>
        <v>0</v>
      </c>
      <c r="F34" s="60">
        <f t="shared" si="3"/>
        <v>0</v>
      </c>
      <c r="G34" s="60">
        <f t="shared" si="4"/>
        <v>0</v>
      </c>
      <c r="H34" s="27"/>
      <c r="I34" s="27"/>
      <c r="J34" s="27"/>
      <c r="K34" s="27"/>
      <c r="L34" s="27"/>
      <c r="M34" s="27"/>
      <c r="N34" s="27"/>
      <c r="O34" s="27"/>
      <c r="P34" s="27"/>
    </row>
    <row r="35" spans="1:16" x14ac:dyDescent="0.2">
      <c r="A35" s="60">
        <f t="shared" si="6"/>
        <v>21</v>
      </c>
      <c r="B35" s="59">
        <v>21</v>
      </c>
      <c r="C35" s="60">
        <f t="shared" si="5"/>
        <v>0</v>
      </c>
      <c r="D35" s="60">
        <f t="shared" si="1"/>
        <v>0</v>
      </c>
      <c r="E35" s="60">
        <f t="shared" si="2"/>
        <v>0</v>
      </c>
      <c r="F35" s="60">
        <f t="shared" si="3"/>
        <v>0</v>
      </c>
      <c r="G35" s="60">
        <f t="shared" si="4"/>
        <v>0</v>
      </c>
      <c r="H35" s="27"/>
      <c r="I35" s="27"/>
      <c r="J35" s="27"/>
      <c r="K35" s="27"/>
      <c r="L35" s="27"/>
      <c r="M35" s="27"/>
      <c r="N35" s="27"/>
      <c r="O35" s="27"/>
      <c r="P35" s="27"/>
    </row>
    <row r="36" spans="1:16" x14ac:dyDescent="0.2">
      <c r="A36" s="60">
        <f t="shared" si="6"/>
        <v>22</v>
      </c>
      <c r="B36" s="59">
        <v>22</v>
      </c>
      <c r="C36" s="60">
        <f t="shared" si="5"/>
        <v>0</v>
      </c>
      <c r="D36" s="60">
        <f t="shared" si="1"/>
        <v>0</v>
      </c>
      <c r="E36" s="60">
        <f t="shared" si="2"/>
        <v>0</v>
      </c>
      <c r="F36" s="60">
        <f t="shared" si="3"/>
        <v>0</v>
      </c>
      <c r="G36" s="60">
        <f t="shared" si="4"/>
        <v>0</v>
      </c>
      <c r="H36" s="27"/>
      <c r="I36" s="27"/>
      <c r="J36" s="27"/>
      <c r="K36" s="27"/>
      <c r="L36" s="27"/>
      <c r="M36" s="27"/>
      <c r="N36" s="27"/>
      <c r="O36" s="27"/>
      <c r="P36" s="27"/>
    </row>
    <row r="37" spans="1:16" x14ac:dyDescent="0.2">
      <c r="A37" s="60">
        <f t="shared" si="6"/>
        <v>23</v>
      </c>
      <c r="B37" s="59">
        <v>23</v>
      </c>
      <c r="C37" s="60">
        <f t="shared" si="5"/>
        <v>0</v>
      </c>
      <c r="D37" s="60">
        <f t="shared" si="1"/>
        <v>0</v>
      </c>
      <c r="E37" s="60">
        <f t="shared" si="2"/>
        <v>0</v>
      </c>
      <c r="F37" s="60">
        <f t="shared" si="3"/>
        <v>0</v>
      </c>
      <c r="G37" s="60">
        <f t="shared" si="4"/>
        <v>0</v>
      </c>
      <c r="H37" s="27"/>
      <c r="I37" s="27"/>
      <c r="J37" s="27"/>
      <c r="K37" s="27"/>
      <c r="L37" s="27"/>
      <c r="M37" s="27"/>
      <c r="N37" s="27"/>
      <c r="O37" s="27"/>
      <c r="P37" s="27"/>
    </row>
    <row r="38" spans="1:16" x14ac:dyDescent="0.2">
      <c r="A38" s="60">
        <f t="shared" si="6"/>
        <v>24</v>
      </c>
      <c r="B38" s="59">
        <v>24</v>
      </c>
      <c r="C38" s="60">
        <f t="shared" si="5"/>
        <v>0</v>
      </c>
      <c r="D38" s="60">
        <f t="shared" si="1"/>
        <v>0</v>
      </c>
      <c r="E38" s="60">
        <f t="shared" si="2"/>
        <v>0</v>
      </c>
      <c r="F38" s="60">
        <f t="shared" si="3"/>
        <v>0</v>
      </c>
      <c r="G38" s="60">
        <f t="shared" si="4"/>
        <v>0</v>
      </c>
      <c r="H38" s="27"/>
      <c r="I38" s="27"/>
      <c r="J38" s="27"/>
      <c r="K38" s="27"/>
      <c r="L38" s="27"/>
      <c r="M38" s="27"/>
      <c r="N38" s="27"/>
      <c r="O38" s="27"/>
      <c r="P38" s="27"/>
    </row>
    <row r="39" spans="1:16" x14ac:dyDescent="0.2">
      <c r="A39" s="60">
        <f t="shared" si="6"/>
        <v>25</v>
      </c>
      <c r="B39" s="59">
        <v>25</v>
      </c>
      <c r="C39" s="60">
        <f t="shared" si="5"/>
        <v>0</v>
      </c>
      <c r="D39" s="60">
        <f t="shared" si="1"/>
        <v>0</v>
      </c>
      <c r="E39" s="60">
        <f t="shared" si="2"/>
        <v>0</v>
      </c>
      <c r="F39" s="60">
        <f t="shared" si="3"/>
        <v>0</v>
      </c>
      <c r="G39" s="60">
        <f t="shared" si="4"/>
        <v>0</v>
      </c>
      <c r="H39" s="27"/>
      <c r="I39" s="27"/>
      <c r="J39" s="27"/>
      <c r="K39" s="27"/>
      <c r="L39" s="27"/>
      <c r="M39" s="27"/>
      <c r="N39" s="27"/>
      <c r="O39" s="27"/>
      <c r="P39" s="27"/>
    </row>
    <row r="40" spans="1:16" x14ac:dyDescent="0.2">
      <c r="A40" s="60">
        <f t="shared" si="6"/>
        <v>26</v>
      </c>
      <c r="B40" s="59">
        <v>26</v>
      </c>
      <c r="C40" s="60">
        <f t="shared" si="5"/>
        <v>0</v>
      </c>
      <c r="D40" s="60">
        <f t="shared" si="1"/>
        <v>0</v>
      </c>
      <c r="E40" s="60">
        <f t="shared" si="2"/>
        <v>0</v>
      </c>
      <c r="F40" s="60">
        <f t="shared" si="3"/>
        <v>0</v>
      </c>
      <c r="G40" s="60">
        <f t="shared" si="4"/>
        <v>0</v>
      </c>
      <c r="H40" s="27"/>
      <c r="I40" s="27"/>
      <c r="J40" s="27"/>
      <c r="K40" s="27"/>
      <c r="L40" s="27"/>
      <c r="M40" s="27"/>
      <c r="N40" s="27"/>
      <c r="O40" s="27"/>
      <c r="P40" s="27"/>
    </row>
    <row r="41" spans="1:16" x14ac:dyDescent="0.2">
      <c r="A41" s="60">
        <f t="shared" si="6"/>
        <v>27</v>
      </c>
      <c r="B41" s="59">
        <v>27</v>
      </c>
      <c r="C41" s="60">
        <f t="shared" si="5"/>
        <v>0</v>
      </c>
      <c r="D41" s="60">
        <f t="shared" si="1"/>
        <v>0</v>
      </c>
      <c r="E41" s="60">
        <f t="shared" si="2"/>
        <v>0</v>
      </c>
      <c r="F41" s="60">
        <f t="shared" si="3"/>
        <v>0</v>
      </c>
      <c r="G41" s="60">
        <f t="shared" si="4"/>
        <v>0</v>
      </c>
      <c r="H41" s="27"/>
      <c r="I41" s="27"/>
      <c r="J41" s="27"/>
      <c r="K41" s="27"/>
      <c r="L41" s="27"/>
      <c r="M41" s="27"/>
      <c r="N41" s="27"/>
      <c r="O41" s="27"/>
      <c r="P41" s="27"/>
    </row>
    <row r="42" spans="1:16" x14ac:dyDescent="0.2">
      <c r="A42" s="60">
        <f t="shared" si="6"/>
        <v>28</v>
      </c>
      <c r="B42" s="59">
        <v>28</v>
      </c>
      <c r="C42" s="60">
        <f t="shared" si="5"/>
        <v>0</v>
      </c>
      <c r="D42" s="60">
        <f t="shared" si="1"/>
        <v>0</v>
      </c>
      <c r="E42" s="60">
        <f t="shared" si="2"/>
        <v>0</v>
      </c>
      <c r="F42" s="60">
        <f t="shared" si="3"/>
        <v>0</v>
      </c>
      <c r="G42" s="60">
        <f t="shared" si="4"/>
        <v>0</v>
      </c>
      <c r="H42" s="27"/>
      <c r="I42" s="27"/>
      <c r="J42" s="27"/>
      <c r="K42" s="27"/>
      <c r="L42" s="27"/>
      <c r="M42" s="27"/>
      <c r="N42" s="27"/>
      <c r="O42" s="27"/>
      <c r="P42" s="27"/>
    </row>
    <row r="43" spans="1:16" x14ac:dyDescent="0.2">
      <c r="A43" s="60">
        <f t="shared" si="6"/>
        <v>29</v>
      </c>
      <c r="B43" s="59">
        <v>29</v>
      </c>
      <c r="C43" s="60">
        <f t="shared" si="5"/>
        <v>0</v>
      </c>
      <c r="D43" s="60">
        <f t="shared" si="1"/>
        <v>0</v>
      </c>
      <c r="E43" s="60">
        <f t="shared" si="2"/>
        <v>0</v>
      </c>
      <c r="F43" s="60">
        <f t="shared" si="3"/>
        <v>0</v>
      </c>
      <c r="G43" s="60">
        <f t="shared" si="4"/>
        <v>0</v>
      </c>
      <c r="H43" s="27"/>
      <c r="I43" s="27"/>
      <c r="J43" s="27"/>
      <c r="K43" s="27"/>
      <c r="L43" s="27"/>
      <c r="M43" s="27"/>
      <c r="N43" s="27"/>
      <c r="O43" s="27"/>
      <c r="P43" s="27"/>
    </row>
    <row r="44" spans="1:16" x14ac:dyDescent="0.2">
      <c r="A44" s="60">
        <f t="shared" si="6"/>
        <v>30</v>
      </c>
      <c r="B44" s="59">
        <v>30</v>
      </c>
      <c r="C44" s="60">
        <f t="shared" si="5"/>
        <v>0</v>
      </c>
      <c r="D44" s="60">
        <f t="shared" si="1"/>
        <v>0</v>
      </c>
      <c r="E44" s="60">
        <f t="shared" si="2"/>
        <v>0</v>
      </c>
      <c r="F44" s="60">
        <f t="shared" si="3"/>
        <v>0</v>
      </c>
      <c r="G44" s="60">
        <f t="shared" si="4"/>
        <v>0</v>
      </c>
      <c r="H44" s="27"/>
      <c r="I44" s="27"/>
      <c r="J44" s="27"/>
      <c r="K44" s="27"/>
      <c r="L44" s="27"/>
      <c r="M44" s="27"/>
      <c r="N44" s="27"/>
      <c r="O44" s="27"/>
      <c r="P44" s="27"/>
    </row>
    <row r="45" spans="1:16" x14ac:dyDescent="0.2">
      <c r="A45" s="60">
        <f t="shared" si="6"/>
        <v>31</v>
      </c>
      <c r="B45" s="59">
        <v>31</v>
      </c>
      <c r="C45" s="60">
        <f t="shared" si="5"/>
        <v>0</v>
      </c>
      <c r="D45" s="60">
        <f t="shared" si="1"/>
        <v>0</v>
      </c>
      <c r="E45" s="60">
        <f t="shared" si="2"/>
        <v>0</v>
      </c>
      <c r="F45" s="60">
        <f t="shared" si="3"/>
        <v>0</v>
      </c>
      <c r="G45" s="60">
        <f t="shared" si="4"/>
        <v>0</v>
      </c>
      <c r="H45" s="27"/>
      <c r="I45" s="27"/>
      <c r="J45" s="27"/>
      <c r="K45" s="27"/>
      <c r="L45" s="27"/>
      <c r="M45" s="27"/>
      <c r="N45" s="27"/>
      <c r="O45" s="27"/>
      <c r="P45" s="27"/>
    </row>
    <row r="46" spans="1:16" x14ac:dyDescent="0.2">
      <c r="A46" s="60">
        <f t="shared" si="6"/>
        <v>32</v>
      </c>
      <c r="B46" s="59">
        <v>32</v>
      </c>
      <c r="C46" s="60">
        <f t="shared" si="5"/>
        <v>0</v>
      </c>
      <c r="D46" s="60">
        <f t="shared" si="1"/>
        <v>0</v>
      </c>
      <c r="E46" s="60">
        <f t="shared" si="2"/>
        <v>0</v>
      </c>
      <c r="F46" s="60">
        <f t="shared" si="3"/>
        <v>0</v>
      </c>
      <c r="G46" s="60">
        <f t="shared" si="4"/>
        <v>0</v>
      </c>
      <c r="H46" s="27"/>
      <c r="I46" s="27"/>
      <c r="J46" s="27"/>
      <c r="K46" s="27"/>
      <c r="L46" s="27"/>
      <c r="M46" s="27"/>
      <c r="N46" s="27"/>
      <c r="O46" s="27"/>
      <c r="P46" s="27"/>
    </row>
    <row r="47" spans="1:16" x14ac:dyDescent="0.2">
      <c r="A47" s="60">
        <f t="shared" si="6"/>
        <v>33</v>
      </c>
      <c r="B47" s="59">
        <v>33</v>
      </c>
      <c r="C47" s="60">
        <f t="shared" si="5"/>
        <v>0</v>
      </c>
      <c r="D47" s="60">
        <f t="shared" si="1"/>
        <v>0</v>
      </c>
      <c r="E47" s="60">
        <f t="shared" si="2"/>
        <v>0</v>
      </c>
      <c r="F47" s="60">
        <f t="shared" si="3"/>
        <v>0</v>
      </c>
      <c r="G47" s="60">
        <f t="shared" si="4"/>
        <v>0</v>
      </c>
      <c r="H47" s="27"/>
      <c r="I47" s="27"/>
      <c r="J47" s="27"/>
      <c r="K47" s="27"/>
      <c r="L47" s="27"/>
      <c r="M47" s="27"/>
      <c r="N47" s="27"/>
      <c r="O47" s="27"/>
      <c r="P47" s="27"/>
    </row>
    <row r="48" spans="1:16" x14ac:dyDescent="0.2">
      <c r="A48" s="60">
        <f t="shared" si="6"/>
        <v>34</v>
      </c>
      <c r="B48" s="59">
        <v>34</v>
      </c>
      <c r="C48" s="60">
        <f t="shared" si="5"/>
        <v>0</v>
      </c>
      <c r="D48" s="60">
        <f t="shared" si="1"/>
        <v>0</v>
      </c>
      <c r="E48" s="60">
        <f t="shared" si="2"/>
        <v>0</v>
      </c>
      <c r="F48" s="60">
        <f t="shared" si="3"/>
        <v>0</v>
      </c>
      <c r="G48" s="60">
        <f t="shared" si="4"/>
        <v>0</v>
      </c>
      <c r="H48" s="27"/>
      <c r="I48" s="27"/>
      <c r="J48" s="27"/>
      <c r="K48" s="27"/>
      <c r="L48" s="27"/>
      <c r="M48" s="27"/>
      <c r="N48" s="27"/>
      <c r="O48" s="27"/>
      <c r="P48" s="27"/>
    </row>
    <row r="49" spans="1:16" x14ac:dyDescent="0.2">
      <c r="A49" s="60">
        <f t="shared" si="6"/>
        <v>35</v>
      </c>
      <c r="B49" s="59">
        <v>35</v>
      </c>
      <c r="C49" s="60">
        <f t="shared" si="5"/>
        <v>0</v>
      </c>
      <c r="D49" s="60">
        <f t="shared" si="1"/>
        <v>0</v>
      </c>
      <c r="E49" s="60">
        <f t="shared" si="2"/>
        <v>0</v>
      </c>
      <c r="F49" s="60">
        <f t="shared" si="3"/>
        <v>0</v>
      </c>
      <c r="G49" s="60">
        <f t="shared" si="4"/>
        <v>0</v>
      </c>
      <c r="H49" s="27"/>
      <c r="I49" s="27"/>
      <c r="J49" s="27"/>
      <c r="K49" s="27"/>
      <c r="L49" s="27"/>
      <c r="M49" s="27"/>
      <c r="N49" s="27"/>
      <c r="O49" s="27"/>
      <c r="P49" s="27"/>
    </row>
    <row r="50" spans="1:16" x14ac:dyDescent="0.2">
      <c r="A50" s="60">
        <f t="shared" si="6"/>
        <v>36</v>
      </c>
      <c r="B50" s="59">
        <v>36</v>
      </c>
      <c r="C50" s="60">
        <f t="shared" si="5"/>
        <v>0</v>
      </c>
      <c r="D50" s="60">
        <f t="shared" si="1"/>
        <v>0</v>
      </c>
      <c r="E50" s="60">
        <f t="shared" si="2"/>
        <v>0</v>
      </c>
      <c r="F50" s="60">
        <f t="shared" si="3"/>
        <v>0</v>
      </c>
      <c r="G50" s="60">
        <f t="shared" si="4"/>
        <v>0</v>
      </c>
      <c r="H50" s="27"/>
      <c r="I50" s="27"/>
      <c r="J50" s="27"/>
      <c r="K50" s="27"/>
      <c r="L50" s="27"/>
      <c r="M50" s="27"/>
      <c r="N50" s="27"/>
      <c r="O50" s="27"/>
      <c r="P50" s="27"/>
    </row>
    <row r="51" spans="1:16" x14ac:dyDescent="0.2">
      <c r="A51" s="60">
        <f t="shared" si="6"/>
        <v>37</v>
      </c>
      <c r="B51" s="59">
        <v>37</v>
      </c>
      <c r="C51" s="60">
        <f t="shared" si="5"/>
        <v>0</v>
      </c>
      <c r="D51" s="60">
        <f t="shared" si="1"/>
        <v>0</v>
      </c>
      <c r="E51" s="60">
        <f t="shared" si="2"/>
        <v>0</v>
      </c>
      <c r="F51" s="60">
        <f t="shared" si="3"/>
        <v>0</v>
      </c>
      <c r="G51" s="60">
        <f t="shared" si="4"/>
        <v>0</v>
      </c>
      <c r="H51" s="27"/>
      <c r="I51" s="27"/>
      <c r="J51" s="27"/>
      <c r="K51" s="27"/>
      <c r="L51" s="27"/>
      <c r="M51" s="27"/>
      <c r="N51" s="27"/>
      <c r="O51" s="27"/>
      <c r="P51" s="27"/>
    </row>
    <row r="52" spans="1:16" x14ac:dyDescent="0.2">
      <c r="A52" s="60">
        <f t="shared" si="6"/>
        <v>38</v>
      </c>
      <c r="B52" s="59">
        <v>38</v>
      </c>
      <c r="C52" s="60">
        <f t="shared" si="5"/>
        <v>0</v>
      </c>
      <c r="D52" s="60">
        <f t="shared" si="1"/>
        <v>0</v>
      </c>
      <c r="E52" s="60">
        <f t="shared" si="2"/>
        <v>0</v>
      </c>
      <c r="F52" s="60">
        <f t="shared" si="3"/>
        <v>0</v>
      </c>
      <c r="G52" s="60">
        <f t="shared" si="4"/>
        <v>0</v>
      </c>
      <c r="H52" s="27"/>
      <c r="I52" s="27"/>
      <c r="J52" s="27"/>
      <c r="K52" s="27"/>
      <c r="L52" s="27"/>
      <c r="M52" s="27"/>
      <c r="N52" s="27"/>
      <c r="O52" s="27"/>
      <c r="P52" s="27"/>
    </row>
    <row r="53" spans="1:16" x14ac:dyDescent="0.2">
      <c r="A53" s="60">
        <f t="shared" si="6"/>
        <v>39</v>
      </c>
      <c r="B53" s="59">
        <v>39</v>
      </c>
      <c r="C53" s="60">
        <f t="shared" si="5"/>
        <v>0</v>
      </c>
      <c r="D53" s="60">
        <f t="shared" si="1"/>
        <v>0</v>
      </c>
      <c r="E53" s="60">
        <f t="shared" si="2"/>
        <v>0</v>
      </c>
      <c r="F53" s="60">
        <f t="shared" si="3"/>
        <v>0</v>
      </c>
      <c r="G53" s="60">
        <f t="shared" si="4"/>
        <v>0</v>
      </c>
      <c r="H53" s="27"/>
      <c r="I53" s="27"/>
      <c r="J53" s="27"/>
      <c r="K53" s="27"/>
      <c r="L53" s="27"/>
      <c r="M53" s="27"/>
      <c r="N53" s="27"/>
      <c r="O53" s="27"/>
      <c r="P53" s="27"/>
    </row>
    <row r="54" spans="1:16" x14ac:dyDescent="0.2">
      <c r="A54" s="60">
        <f t="shared" si="6"/>
        <v>40</v>
      </c>
      <c r="B54" s="59">
        <v>40</v>
      </c>
      <c r="C54" s="60">
        <f t="shared" si="5"/>
        <v>0</v>
      </c>
      <c r="D54" s="60">
        <f t="shared" si="1"/>
        <v>0</v>
      </c>
      <c r="E54" s="60">
        <f t="shared" si="2"/>
        <v>0</v>
      </c>
      <c r="F54" s="60">
        <f t="shared" si="3"/>
        <v>0</v>
      </c>
      <c r="G54" s="60">
        <f t="shared" si="4"/>
        <v>0</v>
      </c>
      <c r="H54" s="27"/>
      <c r="I54" s="27"/>
      <c r="J54" s="27"/>
      <c r="K54" s="27"/>
      <c r="L54" s="27"/>
      <c r="M54" s="27"/>
      <c r="N54" s="27"/>
      <c r="O54" s="27"/>
      <c r="P54" s="27"/>
    </row>
    <row r="55" spans="1:16" x14ac:dyDescent="0.2">
      <c r="A55" s="60">
        <f t="shared" si="6"/>
        <v>41</v>
      </c>
      <c r="B55" s="59">
        <v>41</v>
      </c>
      <c r="C55" s="60">
        <f t="shared" si="5"/>
        <v>0</v>
      </c>
      <c r="D55" s="60">
        <f t="shared" si="1"/>
        <v>0</v>
      </c>
      <c r="E55" s="60">
        <f t="shared" si="2"/>
        <v>0</v>
      </c>
      <c r="F55" s="60">
        <f t="shared" si="3"/>
        <v>0</v>
      </c>
      <c r="G55" s="60">
        <f t="shared" si="4"/>
        <v>0</v>
      </c>
      <c r="H55" s="27"/>
      <c r="I55" s="27"/>
      <c r="J55" s="27"/>
      <c r="K55" s="27"/>
      <c r="L55" s="27"/>
      <c r="M55" s="27"/>
      <c r="N55" s="27"/>
      <c r="O55" s="27"/>
      <c r="P55" s="27"/>
    </row>
    <row r="56" spans="1:16" x14ac:dyDescent="0.2">
      <c r="A56" s="60">
        <f t="shared" si="6"/>
        <v>42</v>
      </c>
      <c r="B56" s="59">
        <v>42</v>
      </c>
      <c r="C56" s="60">
        <f t="shared" si="5"/>
        <v>0</v>
      </c>
      <c r="D56" s="60">
        <f t="shared" si="1"/>
        <v>0</v>
      </c>
      <c r="E56" s="60">
        <f t="shared" si="2"/>
        <v>0</v>
      </c>
      <c r="F56" s="60">
        <f t="shared" si="3"/>
        <v>0</v>
      </c>
      <c r="G56" s="60">
        <f t="shared" si="4"/>
        <v>0</v>
      </c>
      <c r="H56" s="27"/>
      <c r="I56" s="27"/>
      <c r="J56" s="27"/>
      <c r="K56" s="27"/>
      <c r="L56" s="27"/>
      <c r="M56" s="27"/>
      <c r="N56" s="27"/>
      <c r="O56" s="27"/>
      <c r="P56" s="27"/>
    </row>
    <row r="57" spans="1:16" x14ac:dyDescent="0.2">
      <c r="A57" s="60">
        <f t="shared" si="6"/>
        <v>43</v>
      </c>
      <c r="B57" s="59">
        <v>43</v>
      </c>
      <c r="C57" s="60">
        <f t="shared" si="5"/>
        <v>0</v>
      </c>
      <c r="D57" s="60">
        <f t="shared" si="1"/>
        <v>0</v>
      </c>
      <c r="E57" s="60">
        <f t="shared" si="2"/>
        <v>0</v>
      </c>
      <c r="F57" s="60">
        <f t="shared" si="3"/>
        <v>0</v>
      </c>
      <c r="G57" s="60">
        <f t="shared" si="4"/>
        <v>0</v>
      </c>
      <c r="H57" s="27"/>
      <c r="I57" s="27"/>
      <c r="J57" s="27"/>
      <c r="K57" s="27"/>
      <c r="L57" s="27"/>
      <c r="M57" s="27"/>
      <c r="N57" s="27"/>
      <c r="O57" s="27"/>
      <c r="P57" s="27"/>
    </row>
    <row r="58" spans="1:16" x14ac:dyDescent="0.2">
      <c r="A58" s="60">
        <f t="shared" si="6"/>
        <v>44</v>
      </c>
      <c r="B58" s="59">
        <v>44</v>
      </c>
      <c r="C58" s="60">
        <f t="shared" si="5"/>
        <v>0</v>
      </c>
      <c r="D58" s="60">
        <f t="shared" si="1"/>
        <v>0</v>
      </c>
      <c r="E58" s="60">
        <f t="shared" si="2"/>
        <v>0</v>
      </c>
      <c r="F58" s="60">
        <f t="shared" si="3"/>
        <v>0</v>
      </c>
      <c r="G58" s="60">
        <f t="shared" si="4"/>
        <v>0</v>
      </c>
      <c r="H58" s="27"/>
      <c r="I58" s="27"/>
      <c r="J58" s="27"/>
      <c r="K58" s="27"/>
      <c r="L58" s="27"/>
      <c r="M58" s="27"/>
      <c r="N58" s="27"/>
      <c r="O58" s="27"/>
      <c r="P58" s="27"/>
    </row>
    <row r="59" spans="1:16" x14ac:dyDescent="0.2">
      <c r="A59" s="60">
        <f t="shared" si="6"/>
        <v>45</v>
      </c>
      <c r="B59" s="59">
        <v>45</v>
      </c>
      <c r="C59" s="60">
        <f t="shared" si="5"/>
        <v>0</v>
      </c>
      <c r="D59" s="60">
        <f t="shared" si="1"/>
        <v>0</v>
      </c>
      <c r="E59" s="60">
        <f t="shared" si="2"/>
        <v>0</v>
      </c>
      <c r="F59" s="60">
        <f t="shared" si="3"/>
        <v>0</v>
      </c>
      <c r="G59" s="60">
        <f t="shared" si="4"/>
        <v>0</v>
      </c>
      <c r="H59" s="37"/>
      <c r="I59" s="37"/>
      <c r="J59" s="27"/>
      <c r="K59" s="27"/>
      <c r="L59" s="27"/>
      <c r="M59" s="27"/>
      <c r="N59" s="27"/>
      <c r="O59" s="27"/>
      <c r="P59" s="27"/>
    </row>
    <row r="60" spans="1:16" x14ac:dyDescent="0.2">
      <c r="A60" s="60">
        <f t="shared" si="6"/>
        <v>46</v>
      </c>
      <c r="B60" s="59">
        <v>46</v>
      </c>
      <c r="C60" s="60">
        <f t="shared" si="5"/>
        <v>0</v>
      </c>
      <c r="D60" s="60">
        <f t="shared" si="1"/>
        <v>0</v>
      </c>
      <c r="E60" s="60">
        <f t="shared" si="2"/>
        <v>0</v>
      </c>
      <c r="F60" s="60">
        <f t="shared" si="3"/>
        <v>0</v>
      </c>
      <c r="G60" s="60">
        <f t="shared" si="4"/>
        <v>0</v>
      </c>
      <c r="H60" s="27"/>
      <c r="I60" s="27"/>
      <c r="J60" s="27"/>
      <c r="K60" s="27"/>
      <c r="L60" s="27"/>
      <c r="M60" s="27"/>
      <c r="N60" s="27"/>
      <c r="O60" s="27"/>
      <c r="P60" s="27"/>
    </row>
    <row r="61" spans="1:16" x14ac:dyDescent="0.2">
      <c r="A61" s="60">
        <f t="shared" si="6"/>
        <v>47</v>
      </c>
      <c r="B61" s="59">
        <v>47</v>
      </c>
      <c r="C61" s="60">
        <f t="shared" si="5"/>
        <v>0</v>
      </c>
      <c r="D61" s="60">
        <f t="shared" si="1"/>
        <v>0</v>
      </c>
      <c r="E61" s="60">
        <f t="shared" si="2"/>
        <v>0</v>
      </c>
      <c r="F61" s="60">
        <f t="shared" si="3"/>
        <v>0</v>
      </c>
      <c r="G61" s="60">
        <f t="shared" si="4"/>
        <v>0</v>
      </c>
      <c r="H61" s="27"/>
      <c r="I61" s="27"/>
      <c r="J61" s="27"/>
      <c r="K61" s="27"/>
      <c r="L61" s="27"/>
      <c r="M61" s="27"/>
      <c r="N61" s="27"/>
      <c r="O61" s="27"/>
      <c r="P61" s="27"/>
    </row>
    <row r="62" spans="1:16" x14ac:dyDescent="0.2">
      <c r="A62" s="60">
        <f t="shared" si="6"/>
        <v>48</v>
      </c>
      <c r="B62" s="59">
        <v>48</v>
      </c>
      <c r="C62" s="60">
        <f t="shared" si="5"/>
        <v>0</v>
      </c>
      <c r="D62" s="60">
        <f t="shared" si="1"/>
        <v>0</v>
      </c>
      <c r="E62" s="60">
        <f t="shared" si="2"/>
        <v>0</v>
      </c>
      <c r="F62" s="60">
        <f t="shared" si="3"/>
        <v>0</v>
      </c>
      <c r="G62" s="60">
        <f t="shared" si="4"/>
        <v>0</v>
      </c>
      <c r="H62" s="27"/>
      <c r="I62" s="27"/>
      <c r="J62" s="27"/>
      <c r="K62" s="27"/>
      <c r="L62" s="27"/>
      <c r="M62" s="27"/>
      <c r="N62" s="27"/>
      <c r="O62" s="27"/>
      <c r="P62" s="27"/>
    </row>
    <row r="63" spans="1:16" x14ac:dyDescent="0.2">
      <c r="A63" s="60">
        <f t="shared" si="6"/>
        <v>49</v>
      </c>
      <c r="B63" s="59">
        <v>49</v>
      </c>
      <c r="C63" s="60">
        <f t="shared" si="5"/>
        <v>0</v>
      </c>
      <c r="D63" s="60">
        <f t="shared" si="1"/>
        <v>0</v>
      </c>
      <c r="E63" s="60">
        <f t="shared" si="2"/>
        <v>0</v>
      </c>
      <c r="F63" s="60">
        <f t="shared" si="3"/>
        <v>0</v>
      </c>
      <c r="G63" s="60">
        <f t="shared" si="4"/>
        <v>0</v>
      </c>
      <c r="H63" s="27"/>
      <c r="I63" s="27"/>
      <c r="J63" s="27"/>
      <c r="K63" s="27"/>
      <c r="L63" s="27"/>
      <c r="M63" s="27"/>
      <c r="N63" s="27"/>
      <c r="O63" s="27"/>
      <c r="P63" s="27"/>
    </row>
    <row r="64" spans="1:16" x14ac:dyDescent="0.2">
      <c r="A64" s="60">
        <f t="shared" si="6"/>
        <v>50</v>
      </c>
      <c r="B64" s="59">
        <v>50</v>
      </c>
      <c r="C64" s="60">
        <f t="shared" si="5"/>
        <v>0</v>
      </c>
      <c r="D64" s="60">
        <f t="shared" si="1"/>
        <v>0</v>
      </c>
      <c r="E64" s="60">
        <f t="shared" si="2"/>
        <v>0</v>
      </c>
      <c r="F64" s="60">
        <f t="shared" si="3"/>
        <v>0</v>
      </c>
      <c r="G64" s="60">
        <f t="shared" si="4"/>
        <v>0</v>
      </c>
      <c r="H64" s="27"/>
      <c r="I64" s="27"/>
      <c r="J64" s="27"/>
      <c r="K64" s="27"/>
      <c r="L64" s="27"/>
      <c r="M64" s="27"/>
      <c r="N64" s="27"/>
      <c r="O64" s="27"/>
      <c r="P64" s="27"/>
    </row>
    <row r="65" spans="1:16" x14ac:dyDescent="0.2">
      <c r="A65" s="60">
        <f t="shared" si="6"/>
        <v>51</v>
      </c>
      <c r="B65" s="59">
        <v>51</v>
      </c>
      <c r="C65" s="60">
        <f t="shared" si="5"/>
        <v>0</v>
      </c>
      <c r="D65" s="60">
        <f t="shared" si="1"/>
        <v>0</v>
      </c>
      <c r="E65" s="60">
        <f t="shared" si="2"/>
        <v>0</v>
      </c>
      <c r="F65" s="60">
        <f t="shared" si="3"/>
        <v>0</v>
      </c>
      <c r="G65" s="60">
        <f t="shared" si="4"/>
        <v>0</v>
      </c>
      <c r="H65" s="27"/>
      <c r="I65" s="27"/>
      <c r="J65" s="27"/>
      <c r="K65" s="27"/>
      <c r="L65" s="27"/>
      <c r="M65" s="27"/>
      <c r="N65" s="27"/>
      <c r="O65" s="27"/>
      <c r="P65" s="27"/>
    </row>
    <row r="66" spans="1:16" x14ac:dyDescent="0.2">
      <c r="A66" s="60">
        <f t="shared" si="6"/>
        <v>52</v>
      </c>
      <c r="B66" s="59">
        <v>52</v>
      </c>
      <c r="C66" s="60">
        <f t="shared" si="5"/>
        <v>0</v>
      </c>
      <c r="D66" s="60">
        <f t="shared" si="1"/>
        <v>0</v>
      </c>
      <c r="E66" s="60">
        <f t="shared" si="2"/>
        <v>0</v>
      </c>
      <c r="F66" s="60">
        <f t="shared" si="3"/>
        <v>0</v>
      </c>
      <c r="G66" s="60">
        <f t="shared" si="4"/>
        <v>0</v>
      </c>
      <c r="H66" s="27"/>
      <c r="I66" s="27"/>
      <c r="J66" s="27"/>
      <c r="K66" s="27"/>
      <c r="L66" s="27"/>
      <c r="M66" s="27"/>
      <c r="N66" s="27"/>
      <c r="O66" s="27"/>
      <c r="P66" s="27"/>
    </row>
    <row r="67" spans="1:16" x14ac:dyDescent="0.2">
      <c r="A67" s="60">
        <f t="shared" si="6"/>
        <v>53</v>
      </c>
      <c r="B67" s="59">
        <v>53</v>
      </c>
      <c r="C67" s="60">
        <f t="shared" si="5"/>
        <v>0</v>
      </c>
      <c r="D67" s="60">
        <f t="shared" si="1"/>
        <v>0</v>
      </c>
      <c r="E67" s="60">
        <f t="shared" si="2"/>
        <v>0</v>
      </c>
      <c r="F67" s="60">
        <f t="shared" si="3"/>
        <v>0</v>
      </c>
      <c r="G67" s="60">
        <f t="shared" si="4"/>
        <v>0</v>
      </c>
      <c r="H67" s="27"/>
      <c r="I67" s="27"/>
      <c r="J67" s="27"/>
      <c r="K67" s="27"/>
      <c r="L67" s="27"/>
      <c r="M67" s="27"/>
      <c r="N67" s="27"/>
      <c r="O67" s="27"/>
      <c r="P67" s="27"/>
    </row>
    <row r="68" spans="1:16" x14ac:dyDescent="0.2">
      <c r="A68" s="60">
        <f t="shared" si="6"/>
        <v>54</v>
      </c>
      <c r="B68" s="59">
        <v>54</v>
      </c>
      <c r="C68" s="60">
        <f t="shared" si="5"/>
        <v>0</v>
      </c>
      <c r="D68" s="60">
        <f t="shared" si="1"/>
        <v>0</v>
      </c>
      <c r="E68" s="60">
        <f t="shared" si="2"/>
        <v>0</v>
      </c>
      <c r="F68" s="60">
        <f t="shared" si="3"/>
        <v>0</v>
      </c>
      <c r="G68" s="60">
        <f t="shared" si="4"/>
        <v>0</v>
      </c>
      <c r="H68" s="27"/>
      <c r="I68" s="27"/>
      <c r="J68" s="27"/>
      <c r="K68" s="27"/>
      <c r="L68" s="27"/>
      <c r="M68" s="27"/>
      <c r="N68" s="27"/>
      <c r="O68" s="27"/>
      <c r="P68" s="27"/>
    </row>
    <row r="69" spans="1:16" x14ac:dyDescent="0.2">
      <c r="A69" s="60">
        <f t="shared" si="6"/>
        <v>55</v>
      </c>
      <c r="B69" s="59">
        <v>55</v>
      </c>
      <c r="C69" s="60">
        <f t="shared" si="5"/>
        <v>0</v>
      </c>
      <c r="D69" s="60">
        <f t="shared" si="1"/>
        <v>0</v>
      </c>
      <c r="E69" s="60">
        <f t="shared" si="2"/>
        <v>0</v>
      </c>
      <c r="F69" s="60">
        <f t="shared" si="3"/>
        <v>0</v>
      </c>
      <c r="G69" s="60">
        <f t="shared" si="4"/>
        <v>0</v>
      </c>
      <c r="H69" s="27"/>
      <c r="I69" s="27"/>
      <c r="J69" s="27"/>
      <c r="K69" s="27"/>
      <c r="L69" s="27"/>
      <c r="M69" s="27"/>
      <c r="N69" s="27"/>
      <c r="O69" s="27"/>
      <c r="P69" s="27"/>
    </row>
    <row r="70" spans="1:16" x14ac:dyDescent="0.2">
      <c r="A70" s="60">
        <f t="shared" si="6"/>
        <v>56</v>
      </c>
      <c r="B70" s="59">
        <v>56</v>
      </c>
      <c r="C70" s="60">
        <f t="shared" si="5"/>
        <v>0</v>
      </c>
      <c r="D70" s="60">
        <f t="shared" si="1"/>
        <v>0</v>
      </c>
      <c r="E70" s="60">
        <f t="shared" si="2"/>
        <v>0</v>
      </c>
      <c r="F70" s="60">
        <f t="shared" si="3"/>
        <v>0</v>
      </c>
      <c r="G70" s="60">
        <f t="shared" si="4"/>
        <v>0</v>
      </c>
      <c r="H70" s="27"/>
      <c r="I70" s="27"/>
      <c r="J70" s="27"/>
      <c r="K70" s="27"/>
      <c r="L70" s="27"/>
      <c r="M70" s="27"/>
      <c r="N70" s="27"/>
      <c r="O70" s="27"/>
      <c r="P70" s="27"/>
    </row>
    <row r="71" spans="1:16" x14ac:dyDescent="0.2">
      <c r="A71" s="60">
        <f t="shared" si="6"/>
        <v>57</v>
      </c>
      <c r="B71" s="59">
        <v>57</v>
      </c>
      <c r="C71" s="60">
        <f t="shared" si="5"/>
        <v>0</v>
      </c>
      <c r="D71" s="60">
        <f t="shared" si="1"/>
        <v>0</v>
      </c>
      <c r="E71" s="60">
        <f t="shared" si="2"/>
        <v>0</v>
      </c>
      <c r="F71" s="60">
        <f t="shared" si="3"/>
        <v>0</v>
      </c>
      <c r="G71" s="60">
        <f t="shared" si="4"/>
        <v>0</v>
      </c>
      <c r="H71" s="27"/>
      <c r="I71" s="27"/>
      <c r="J71" s="27"/>
      <c r="K71" s="27"/>
      <c r="L71" s="27"/>
      <c r="M71" s="27"/>
      <c r="N71" s="27"/>
      <c r="O71" s="27"/>
      <c r="P71" s="27"/>
    </row>
    <row r="72" spans="1:16" x14ac:dyDescent="0.2">
      <c r="A72" s="60">
        <f t="shared" si="6"/>
        <v>58</v>
      </c>
      <c r="B72" s="59">
        <v>58</v>
      </c>
      <c r="C72" s="60">
        <f t="shared" si="5"/>
        <v>0</v>
      </c>
      <c r="D72" s="60">
        <f t="shared" si="1"/>
        <v>0</v>
      </c>
      <c r="E72" s="60">
        <f t="shared" si="2"/>
        <v>0</v>
      </c>
      <c r="F72" s="60">
        <f t="shared" si="3"/>
        <v>0</v>
      </c>
      <c r="G72" s="60">
        <f t="shared" si="4"/>
        <v>0</v>
      </c>
      <c r="H72" s="27"/>
      <c r="I72" s="27"/>
      <c r="J72" s="27"/>
      <c r="K72" s="27"/>
      <c r="L72" s="27"/>
      <c r="M72" s="27"/>
      <c r="N72" s="27"/>
      <c r="O72" s="27"/>
      <c r="P72" s="27"/>
    </row>
    <row r="73" spans="1:16" x14ac:dyDescent="0.2">
      <c r="A73" s="60">
        <f t="shared" si="6"/>
        <v>59</v>
      </c>
      <c r="B73" s="59">
        <v>59</v>
      </c>
      <c r="C73" s="60">
        <f t="shared" si="5"/>
        <v>0</v>
      </c>
      <c r="D73" s="60">
        <f t="shared" si="1"/>
        <v>0</v>
      </c>
      <c r="E73" s="60">
        <f t="shared" si="2"/>
        <v>0</v>
      </c>
      <c r="F73" s="60">
        <f t="shared" si="3"/>
        <v>0</v>
      </c>
      <c r="G73" s="60">
        <f t="shared" si="4"/>
        <v>0</v>
      </c>
      <c r="H73" s="27"/>
      <c r="I73" s="27"/>
      <c r="J73" s="27"/>
      <c r="K73" s="27"/>
      <c r="L73" s="27"/>
      <c r="M73" s="27"/>
      <c r="N73" s="27"/>
      <c r="O73" s="27"/>
      <c r="P73" s="27"/>
    </row>
    <row r="74" spans="1:16" x14ac:dyDescent="0.2">
      <c r="A74" s="60">
        <f t="shared" si="6"/>
        <v>60</v>
      </c>
      <c r="B74" s="59">
        <f t="shared" ref="B74:B137" si="7">+B73+1</f>
        <v>60</v>
      </c>
      <c r="C74" s="60">
        <f t="shared" si="5"/>
        <v>0</v>
      </c>
      <c r="D74" s="60">
        <f t="shared" si="1"/>
        <v>0</v>
      </c>
      <c r="E74" s="60">
        <f t="shared" si="2"/>
        <v>0</v>
      </c>
      <c r="F74" s="60">
        <f t="shared" si="3"/>
        <v>0</v>
      </c>
      <c r="G74" s="60">
        <f t="shared" si="4"/>
        <v>0</v>
      </c>
      <c r="H74" s="27"/>
      <c r="I74" s="27"/>
      <c r="J74" s="27"/>
      <c r="K74" s="27"/>
      <c r="L74" s="27"/>
      <c r="M74" s="27"/>
      <c r="N74" s="27"/>
      <c r="O74" s="27"/>
      <c r="P74" s="27"/>
    </row>
    <row r="75" spans="1:16" x14ac:dyDescent="0.2">
      <c r="A75" s="60">
        <f t="shared" si="6"/>
        <v>61</v>
      </c>
      <c r="B75" s="59">
        <f t="shared" si="7"/>
        <v>61</v>
      </c>
      <c r="C75" s="60">
        <f t="shared" si="5"/>
        <v>0</v>
      </c>
      <c r="D75" s="60">
        <f t="shared" si="1"/>
        <v>0</v>
      </c>
      <c r="E75" s="60">
        <f t="shared" si="2"/>
        <v>0</v>
      </c>
      <c r="F75" s="60">
        <f t="shared" si="3"/>
        <v>0</v>
      </c>
      <c r="G75" s="60">
        <f t="shared" si="4"/>
        <v>0</v>
      </c>
      <c r="H75" s="27"/>
      <c r="I75" s="27"/>
      <c r="J75" s="27"/>
      <c r="K75" s="27"/>
      <c r="L75" s="27"/>
      <c r="M75" s="27"/>
      <c r="N75" s="27"/>
      <c r="O75" s="27"/>
      <c r="P75" s="27"/>
    </row>
    <row r="76" spans="1:16" x14ac:dyDescent="0.2">
      <c r="A76" s="60">
        <f t="shared" si="6"/>
        <v>62</v>
      </c>
      <c r="B76" s="59">
        <f t="shared" si="7"/>
        <v>62</v>
      </c>
      <c r="C76" s="60">
        <f t="shared" si="5"/>
        <v>0</v>
      </c>
      <c r="D76" s="60">
        <f t="shared" si="1"/>
        <v>0</v>
      </c>
      <c r="E76" s="60">
        <f t="shared" si="2"/>
        <v>0</v>
      </c>
      <c r="F76" s="60">
        <f t="shared" si="3"/>
        <v>0</v>
      </c>
      <c r="G76" s="60">
        <f t="shared" si="4"/>
        <v>0</v>
      </c>
      <c r="H76" s="27"/>
      <c r="I76" s="27"/>
      <c r="J76" s="27"/>
      <c r="K76" s="27"/>
      <c r="L76" s="27"/>
      <c r="M76" s="27"/>
      <c r="N76" s="27"/>
      <c r="O76" s="27"/>
      <c r="P76" s="27"/>
    </row>
    <row r="77" spans="1:16" x14ac:dyDescent="0.2">
      <c r="A77" s="60">
        <f t="shared" si="6"/>
        <v>63</v>
      </c>
      <c r="B77" s="59">
        <f t="shared" si="7"/>
        <v>63</v>
      </c>
      <c r="C77" s="60">
        <f t="shared" si="5"/>
        <v>0</v>
      </c>
      <c r="D77" s="60">
        <f t="shared" si="1"/>
        <v>0</v>
      </c>
      <c r="E77" s="60">
        <f t="shared" si="2"/>
        <v>0</v>
      </c>
      <c r="F77" s="60">
        <f t="shared" si="3"/>
        <v>0</v>
      </c>
      <c r="G77" s="60">
        <f t="shared" si="4"/>
        <v>0</v>
      </c>
      <c r="H77" s="27"/>
      <c r="I77" s="27"/>
      <c r="J77" s="27"/>
      <c r="K77" s="27"/>
      <c r="L77" s="27"/>
      <c r="M77" s="27"/>
      <c r="N77" s="27"/>
      <c r="O77" s="27"/>
      <c r="P77" s="27"/>
    </row>
    <row r="78" spans="1:16" x14ac:dyDescent="0.2">
      <c r="A78" s="60">
        <f t="shared" si="6"/>
        <v>64</v>
      </c>
      <c r="B78" s="59">
        <f t="shared" si="7"/>
        <v>64</v>
      </c>
      <c r="C78" s="60">
        <f t="shared" si="5"/>
        <v>0</v>
      </c>
      <c r="D78" s="60">
        <f t="shared" si="1"/>
        <v>0</v>
      </c>
      <c r="E78" s="60">
        <f t="shared" si="2"/>
        <v>0</v>
      </c>
      <c r="F78" s="60">
        <f t="shared" si="3"/>
        <v>0</v>
      </c>
      <c r="G78" s="60">
        <f t="shared" si="4"/>
        <v>0</v>
      </c>
      <c r="H78" s="27"/>
      <c r="I78" s="27"/>
      <c r="J78" s="27"/>
      <c r="K78" s="27"/>
      <c r="L78" s="27"/>
      <c r="M78" s="27"/>
      <c r="N78" s="27"/>
      <c r="O78" s="27"/>
      <c r="P78" s="27"/>
    </row>
    <row r="79" spans="1:16" x14ac:dyDescent="0.2">
      <c r="A79" s="60">
        <f t="shared" si="6"/>
        <v>65</v>
      </c>
      <c r="B79" s="59">
        <f t="shared" si="7"/>
        <v>65</v>
      </c>
      <c r="C79" s="60">
        <f t="shared" si="5"/>
        <v>0</v>
      </c>
      <c r="D79" s="60">
        <f t="shared" ref="D79:D142" si="8">IF(C79=0,0,IF(PV($G$6,$F$9-B79,-$F$10)&gt;0,PV($G$6,$F$9-B79,-$F$10),0))</f>
        <v>0</v>
      </c>
      <c r="E79" s="60">
        <f t="shared" ref="E79:E142" si="9">IF(C79=0,0,+$F$10)</f>
        <v>0</v>
      </c>
      <c r="F79" s="60">
        <f t="shared" ref="F79:F142" si="10">C79-D79</f>
        <v>0</v>
      </c>
      <c r="G79" s="60">
        <f t="shared" ref="G79:G142" si="11">E79-F79</f>
        <v>0</v>
      </c>
      <c r="H79" s="27"/>
      <c r="I79" s="27"/>
      <c r="J79" s="27"/>
      <c r="K79" s="27"/>
      <c r="L79" s="27"/>
      <c r="M79" s="27"/>
      <c r="N79" s="27"/>
      <c r="O79" s="27"/>
      <c r="P79" s="27"/>
    </row>
    <row r="80" spans="1:16" x14ac:dyDescent="0.2">
      <c r="A80" s="60">
        <f t="shared" si="6"/>
        <v>66</v>
      </c>
      <c r="B80" s="59">
        <f t="shared" si="7"/>
        <v>66</v>
      </c>
      <c r="C80" s="60">
        <f t="shared" ref="C80:C143" si="12">D79</f>
        <v>0</v>
      </c>
      <c r="D80" s="60">
        <f t="shared" si="8"/>
        <v>0</v>
      </c>
      <c r="E80" s="60">
        <f t="shared" si="9"/>
        <v>0</v>
      </c>
      <c r="F80" s="60">
        <f t="shared" si="10"/>
        <v>0</v>
      </c>
      <c r="G80" s="60">
        <f t="shared" si="11"/>
        <v>0</v>
      </c>
      <c r="H80" s="27"/>
      <c r="I80" s="27"/>
      <c r="J80" s="27"/>
      <c r="K80" s="27"/>
      <c r="L80" s="27"/>
      <c r="M80" s="27"/>
      <c r="N80" s="27"/>
      <c r="O80" s="27"/>
      <c r="P80" s="27"/>
    </row>
    <row r="81" spans="1:16" x14ac:dyDescent="0.2">
      <c r="A81" s="60">
        <f t="shared" si="6"/>
        <v>67</v>
      </c>
      <c r="B81" s="59">
        <f t="shared" si="7"/>
        <v>67</v>
      </c>
      <c r="C81" s="60">
        <f t="shared" si="12"/>
        <v>0</v>
      </c>
      <c r="D81" s="60">
        <f t="shared" si="8"/>
        <v>0</v>
      </c>
      <c r="E81" s="60">
        <f t="shared" si="9"/>
        <v>0</v>
      </c>
      <c r="F81" s="60">
        <f t="shared" si="10"/>
        <v>0</v>
      </c>
      <c r="G81" s="60">
        <f t="shared" si="11"/>
        <v>0</v>
      </c>
      <c r="H81" s="27"/>
      <c r="I81" s="27"/>
      <c r="J81" s="27"/>
      <c r="K81" s="27"/>
      <c r="L81" s="27"/>
      <c r="M81" s="27"/>
      <c r="N81" s="27"/>
      <c r="O81" s="27"/>
      <c r="P81" s="27"/>
    </row>
    <row r="82" spans="1:16" x14ac:dyDescent="0.2">
      <c r="A82" s="60">
        <f t="shared" si="6"/>
        <v>68</v>
      </c>
      <c r="B82" s="59">
        <f t="shared" si="7"/>
        <v>68</v>
      </c>
      <c r="C82" s="60">
        <f t="shared" si="12"/>
        <v>0</v>
      </c>
      <c r="D82" s="60">
        <f t="shared" si="8"/>
        <v>0</v>
      </c>
      <c r="E82" s="60">
        <f t="shared" si="9"/>
        <v>0</v>
      </c>
      <c r="F82" s="60">
        <f t="shared" si="10"/>
        <v>0</v>
      </c>
      <c r="G82" s="60">
        <f t="shared" si="11"/>
        <v>0</v>
      </c>
      <c r="H82" s="27"/>
      <c r="I82" s="27"/>
      <c r="J82" s="27"/>
      <c r="K82" s="27"/>
      <c r="L82" s="27"/>
      <c r="M82" s="27"/>
      <c r="N82" s="27"/>
      <c r="O82" s="27"/>
      <c r="P82" s="27"/>
    </row>
    <row r="83" spans="1:16" x14ac:dyDescent="0.2">
      <c r="A83" s="60">
        <f t="shared" si="6"/>
        <v>69</v>
      </c>
      <c r="B83" s="59">
        <f t="shared" si="7"/>
        <v>69</v>
      </c>
      <c r="C83" s="60">
        <f t="shared" si="12"/>
        <v>0</v>
      </c>
      <c r="D83" s="60">
        <f t="shared" si="8"/>
        <v>0</v>
      </c>
      <c r="E83" s="60">
        <f t="shared" si="9"/>
        <v>0</v>
      </c>
      <c r="F83" s="60">
        <f t="shared" si="10"/>
        <v>0</v>
      </c>
      <c r="G83" s="60">
        <f t="shared" si="11"/>
        <v>0</v>
      </c>
      <c r="H83" s="27"/>
      <c r="I83" s="27"/>
      <c r="J83" s="27"/>
      <c r="K83" s="27"/>
      <c r="L83" s="27"/>
      <c r="M83" s="27"/>
      <c r="N83" s="27"/>
      <c r="O83" s="27"/>
      <c r="P83" s="27"/>
    </row>
    <row r="84" spans="1:16" x14ac:dyDescent="0.2">
      <c r="A84" s="60">
        <f t="shared" si="6"/>
        <v>70</v>
      </c>
      <c r="B84" s="59">
        <f t="shared" si="7"/>
        <v>70</v>
      </c>
      <c r="C84" s="60">
        <f t="shared" si="12"/>
        <v>0</v>
      </c>
      <c r="D84" s="60">
        <f t="shared" si="8"/>
        <v>0</v>
      </c>
      <c r="E84" s="60">
        <f t="shared" si="9"/>
        <v>0</v>
      </c>
      <c r="F84" s="60">
        <f t="shared" si="10"/>
        <v>0</v>
      </c>
      <c r="G84" s="60">
        <f t="shared" si="11"/>
        <v>0</v>
      </c>
      <c r="H84" s="27"/>
      <c r="I84" s="27"/>
      <c r="J84" s="27"/>
      <c r="K84" s="27"/>
      <c r="L84" s="27"/>
      <c r="M84" s="27"/>
      <c r="N84" s="27"/>
      <c r="O84" s="27"/>
      <c r="P84" s="27"/>
    </row>
    <row r="85" spans="1:16" x14ac:dyDescent="0.2">
      <c r="A85" s="60">
        <f t="shared" si="6"/>
        <v>71</v>
      </c>
      <c r="B85" s="59">
        <f t="shared" si="7"/>
        <v>71</v>
      </c>
      <c r="C85" s="60">
        <f t="shared" si="12"/>
        <v>0</v>
      </c>
      <c r="D85" s="60">
        <f t="shared" si="8"/>
        <v>0</v>
      </c>
      <c r="E85" s="60">
        <f t="shared" si="9"/>
        <v>0</v>
      </c>
      <c r="F85" s="60">
        <f t="shared" si="10"/>
        <v>0</v>
      </c>
      <c r="G85" s="60">
        <f t="shared" si="11"/>
        <v>0</v>
      </c>
      <c r="H85" s="27"/>
      <c r="I85" s="27"/>
      <c r="J85" s="27"/>
      <c r="K85" s="27"/>
      <c r="L85" s="27"/>
      <c r="M85" s="27"/>
      <c r="N85" s="27"/>
      <c r="O85" s="27"/>
      <c r="P85" s="27"/>
    </row>
    <row r="86" spans="1:16" x14ac:dyDescent="0.2">
      <c r="A86" s="60">
        <f t="shared" si="6"/>
        <v>72</v>
      </c>
      <c r="B86" s="59">
        <f t="shared" si="7"/>
        <v>72</v>
      </c>
      <c r="C86" s="60">
        <f t="shared" si="12"/>
        <v>0</v>
      </c>
      <c r="D86" s="60">
        <f t="shared" si="8"/>
        <v>0</v>
      </c>
      <c r="E86" s="60">
        <f t="shared" si="9"/>
        <v>0</v>
      </c>
      <c r="F86" s="60">
        <f t="shared" si="10"/>
        <v>0</v>
      </c>
      <c r="G86" s="60">
        <f t="shared" si="11"/>
        <v>0</v>
      </c>
      <c r="H86" s="27"/>
      <c r="I86" s="27"/>
      <c r="J86" s="27"/>
      <c r="K86" s="27"/>
      <c r="L86" s="27"/>
      <c r="M86" s="27"/>
      <c r="N86" s="27"/>
      <c r="O86" s="27"/>
      <c r="P86" s="27"/>
    </row>
    <row r="87" spans="1:16" x14ac:dyDescent="0.2">
      <c r="A87" s="60">
        <f t="shared" si="6"/>
        <v>73</v>
      </c>
      <c r="B87" s="59">
        <f t="shared" si="7"/>
        <v>73</v>
      </c>
      <c r="C87" s="60">
        <f t="shared" si="12"/>
        <v>0</v>
      </c>
      <c r="D87" s="60">
        <f t="shared" si="8"/>
        <v>0</v>
      </c>
      <c r="E87" s="60">
        <f t="shared" si="9"/>
        <v>0</v>
      </c>
      <c r="F87" s="60">
        <f t="shared" si="10"/>
        <v>0</v>
      </c>
      <c r="G87" s="60">
        <f t="shared" si="11"/>
        <v>0</v>
      </c>
    </row>
    <row r="88" spans="1:16" x14ac:dyDescent="0.2">
      <c r="A88" s="60">
        <f t="shared" si="6"/>
        <v>74</v>
      </c>
      <c r="B88" s="59">
        <f t="shared" si="7"/>
        <v>74</v>
      </c>
      <c r="C88" s="60">
        <f t="shared" si="12"/>
        <v>0</v>
      </c>
      <c r="D88" s="60">
        <f t="shared" si="8"/>
        <v>0</v>
      </c>
      <c r="E88" s="60">
        <f t="shared" si="9"/>
        <v>0</v>
      </c>
      <c r="F88" s="60">
        <f t="shared" si="10"/>
        <v>0</v>
      </c>
      <c r="G88" s="60">
        <f t="shared" si="11"/>
        <v>0</v>
      </c>
    </row>
    <row r="89" spans="1:16" x14ac:dyDescent="0.2">
      <c r="A89" s="60">
        <f t="shared" si="6"/>
        <v>75</v>
      </c>
      <c r="B89" s="59">
        <f t="shared" si="7"/>
        <v>75</v>
      </c>
      <c r="C89" s="60">
        <f t="shared" si="12"/>
        <v>0</v>
      </c>
      <c r="D89" s="60">
        <f t="shared" si="8"/>
        <v>0</v>
      </c>
      <c r="E89" s="60">
        <f t="shared" si="9"/>
        <v>0</v>
      </c>
      <c r="F89" s="60">
        <f t="shared" si="10"/>
        <v>0</v>
      </c>
      <c r="G89" s="60">
        <f t="shared" si="11"/>
        <v>0</v>
      </c>
    </row>
    <row r="90" spans="1:16" x14ac:dyDescent="0.2">
      <c r="A90" s="60">
        <f t="shared" si="6"/>
        <v>76</v>
      </c>
      <c r="B90" s="59">
        <f t="shared" si="7"/>
        <v>76</v>
      </c>
      <c r="C90" s="60">
        <f t="shared" si="12"/>
        <v>0</v>
      </c>
      <c r="D90" s="60">
        <f t="shared" si="8"/>
        <v>0</v>
      </c>
      <c r="E90" s="60">
        <f t="shared" si="9"/>
        <v>0</v>
      </c>
      <c r="F90" s="60">
        <f t="shared" si="10"/>
        <v>0</v>
      </c>
      <c r="G90" s="60">
        <f t="shared" si="11"/>
        <v>0</v>
      </c>
    </row>
    <row r="91" spans="1:16" x14ac:dyDescent="0.2">
      <c r="A91" s="60">
        <f t="shared" ref="A91:A154" si="13">CEILING((B91/(12/$F$7)),1)</f>
        <v>77</v>
      </c>
      <c r="B91" s="59">
        <f t="shared" si="7"/>
        <v>77</v>
      </c>
      <c r="C91" s="60">
        <f t="shared" si="12"/>
        <v>0</v>
      </c>
      <c r="D91" s="60">
        <f t="shared" si="8"/>
        <v>0</v>
      </c>
      <c r="E91" s="60">
        <f t="shared" si="9"/>
        <v>0</v>
      </c>
      <c r="F91" s="60">
        <f t="shared" si="10"/>
        <v>0</v>
      </c>
      <c r="G91" s="60">
        <f t="shared" si="11"/>
        <v>0</v>
      </c>
    </row>
    <row r="92" spans="1:16" x14ac:dyDescent="0.2">
      <c r="A92" s="60">
        <f t="shared" si="13"/>
        <v>78</v>
      </c>
      <c r="B92" s="59">
        <f t="shared" si="7"/>
        <v>78</v>
      </c>
      <c r="C92" s="60">
        <f t="shared" si="12"/>
        <v>0</v>
      </c>
      <c r="D92" s="60">
        <f t="shared" si="8"/>
        <v>0</v>
      </c>
      <c r="E92" s="60">
        <f t="shared" si="9"/>
        <v>0</v>
      </c>
      <c r="F92" s="60">
        <f t="shared" si="10"/>
        <v>0</v>
      </c>
      <c r="G92" s="60">
        <f t="shared" si="11"/>
        <v>0</v>
      </c>
    </row>
    <row r="93" spans="1:16" x14ac:dyDescent="0.2">
      <c r="A93" s="60">
        <f t="shared" si="13"/>
        <v>79</v>
      </c>
      <c r="B93" s="59">
        <f t="shared" si="7"/>
        <v>79</v>
      </c>
      <c r="C93" s="60">
        <f t="shared" si="12"/>
        <v>0</v>
      </c>
      <c r="D93" s="60">
        <f t="shared" si="8"/>
        <v>0</v>
      </c>
      <c r="E93" s="60">
        <f t="shared" si="9"/>
        <v>0</v>
      </c>
      <c r="F93" s="60">
        <f t="shared" si="10"/>
        <v>0</v>
      </c>
      <c r="G93" s="60">
        <f t="shared" si="11"/>
        <v>0</v>
      </c>
    </row>
    <row r="94" spans="1:16" x14ac:dyDescent="0.2">
      <c r="A94" s="60">
        <f t="shared" si="13"/>
        <v>80</v>
      </c>
      <c r="B94" s="59">
        <f t="shared" si="7"/>
        <v>80</v>
      </c>
      <c r="C94" s="60">
        <f t="shared" si="12"/>
        <v>0</v>
      </c>
      <c r="D94" s="60">
        <f t="shared" si="8"/>
        <v>0</v>
      </c>
      <c r="E94" s="60">
        <f t="shared" si="9"/>
        <v>0</v>
      </c>
      <c r="F94" s="60">
        <f t="shared" si="10"/>
        <v>0</v>
      </c>
      <c r="G94" s="60">
        <f t="shared" si="11"/>
        <v>0</v>
      </c>
    </row>
    <row r="95" spans="1:16" x14ac:dyDescent="0.2">
      <c r="A95" s="60">
        <f t="shared" si="13"/>
        <v>81</v>
      </c>
      <c r="B95" s="59">
        <f t="shared" si="7"/>
        <v>81</v>
      </c>
      <c r="C95" s="60">
        <f t="shared" si="12"/>
        <v>0</v>
      </c>
      <c r="D95" s="60">
        <f t="shared" si="8"/>
        <v>0</v>
      </c>
      <c r="E95" s="60">
        <f t="shared" si="9"/>
        <v>0</v>
      </c>
      <c r="F95" s="60">
        <f t="shared" si="10"/>
        <v>0</v>
      </c>
      <c r="G95" s="60">
        <f t="shared" si="11"/>
        <v>0</v>
      </c>
    </row>
    <row r="96" spans="1:16" x14ac:dyDescent="0.2">
      <c r="A96" s="60">
        <f t="shared" si="13"/>
        <v>82</v>
      </c>
      <c r="B96" s="59">
        <f t="shared" si="7"/>
        <v>82</v>
      </c>
      <c r="C96" s="60">
        <f t="shared" si="12"/>
        <v>0</v>
      </c>
      <c r="D96" s="60">
        <f t="shared" si="8"/>
        <v>0</v>
      </c>
      <c r="E96" s="60">
        <f t="shared" si="9"/>
        <v>0</v>
      </c>
      <c r="F96" s="60">
        <f t="shared" si="10"/>
        <v>0</v>
      </c>
      <c r="G96" s="60">
        <f t="shared" si="11"/>
        <v>0</v>
      </c>
    </row>
    <row r="97" spans="1:7" x14ac:dyDescent="0.2">
      <c r="A97" s="60">
        <f t="shared" si="13"/>
        <v>83</v>
      </c>
      <c r="B97" s="59">
        <f t="shared" si="7"/>
        <v>83</v>
      </c>
      <c r="C97" s="60">
        <f t="shared" si="12"/>
        <v>0</v>
      </c>
      <c r="D97" s="60">
        <f t="shared" si="8"/>
        <v>0</v>
      </c>
      <c r="E97" s="60">
        <f t="shared" si="9"/>
        <v>0</v>
      </c>
      <c r="F97" s="60">
        <f t="shared" si="10"/>
        <v>0</v>
      </c>
      <c r="G97" s="60">
        <f t="shared" si="11"/>
        <v>0</v>
      </c>
    </row>
    <row r="98" spans="1:7" x14ac:dyDescent="0.2">
      <c r="A98" s="60">
        <f t="shared" si="13"/>
        <v>84</v>
      </c>
      <c r="B98" s="59">
        <f t="shared" si="7"/>
        <v>84</v>
      </c>
      <c r="C98" s="60">
        <f t="shared" si="12"/>
        <v>0</v>
      </c>
      <c r="D98" s="60">
        <f t="shared" si="8"/>
        <v>0</v>
      </c>
      <c r="E98" s="60">
        <f t="shared" si="9"/>
        <v>0</v>
      </c>
      <c r="F98" s="60">
        <f t="shared" si="10"/>
        <v>0</v>
      </c>
      <c r="G98" s="60">
        <f t="shared" si="11"/>
        <v>0</v>
      </c>
    </row>
    <row r="99" spans="1:7" x14ac:dyDescent="0.2">
      <c r="A99" s="60">
        <f t="shared" si="13"/>
        <v>85</v>
      </c>
      <c r="B99" s="59">
        <f t="shared" si="7"/>
        <v>85</v>
      </c>
      <c r="C99" s="60">
        <f t="shared" si="12"/>
        <v>0</v>
      </c>
      <c r="D99" s="60">
        <f t="shared" si="8"/>
        <v>0</v>
      </c>
      <c r="E99" s="60">
        <f t="shared" si="9"/>
        <v>0</v>
      </c>
      <c r="F99" s="60">
        <f t="shared" si="10"/>
        <v>0</v>
      </c>
      <c r="G99" s="60">
        <f t="shared" si="11"/>
        <v>0</v>
      </c>
    </row>
    <row r="100" spans="1:7" x14ac:dyDescent="0.2">
      <c r="A100" s="60">
        <f t="shared" si="13"/>
        <v>86</v>
      </c>
      <c r="B100" s="59">
        <f t="shared" si="7"/>
        <v>86</v>
      </c>
      <c r="C100" s="60">
        <f t="shared" si="12"/>
        <v>0</v>
      </c>
      <c r="D100" s="60">
        <f t="shared" si="8"/>
        <v>0</v>
      </c>
      <c r="E100" s="60">
        <f t="shared" si="9"/>
        <v>0</v>
      </c>
      <c r="F100" s="60">
        <f t="shared" si="10"/>
        <v>0</v>
      </c>
      <c r="G100" s="60">
        <f t="shared" si="11"/>
        <v>0</v>
      </c>
    </row>
    <row r="101" spans="1:7" x14ac:dyDescent="0.2">
      <c r="A101" s="60">
        <f t="shared" si="13"/>
        <v>87</v>
      </c>
      <c r="B101" s="59">
        <f t="shared" si="7"/>
        <v>87</v>
      </c>
      <c r="C101" s="60">
        <f t="shared" si="12"/>
        <v>0</v>
      </c>
      <c r="D101" s="60">
        <f t="shared" si="8"/>
        <v>0</v>
      </c>
      <c r="E101" s="60">
        <f t="shared" si="9"/>
        <v>0</v>
      </c>
      <c r="F101" s="60">
        <f t="shared" si="10"/>
        <v>0</v>
      </c>
      <c r="G101" s="60">
        <f t="shared" si="11"/>
        <v>0</v>
      </c>
    </row>
    <row r="102" spans="1:7" x14ac:dyDescent="0.2">
      <c r="A102" s="60">
        <f t="shared" si="13"/>
        <v>88</v>
      </c>
      <c r="B102" s="59">
        <f t="shared" si="7"/>
        <v>88</v>
      </c>
      <c r="C102" s="60">
        <f t="shared" si="12"/>
        <v>0</v>
      </c>
      <c r="D102" s="60">
        <f t="shared" si="8"/>
        <v>0</v>
      </c>
      <c r="E102" s="60">
        <f t="shared" si="9"/>
        <v>0</v>
      </c>
      <c r="F102" s="60">
        <f t="shared" si="10"/>
        <v>0</v>
      </c>
      <c r="G102" s="60">
        <f t="shared" si="11"/>
        <v>0</v>
      </c>
    </row>
    <row r="103" spans="1:7" x14ac:dyDescent="0.2">
      <c r="A103" s="60">
        <f t="shared" si="13"/>
        <v>89</v>
      </c>
      <c r="B103" s="59">
        <f t="shared" si="7"/>
        <v>89</v>
      </c>
      <c r="C103" s="60">
        <f t="shared" si="12"/>
        <v>0</v>
      </c>
      <c r="D103" s="60">
        <f t="shared" si="8"/>
        <v>0</v>
      </c>
      <c r="E103" s="60">
        <f t="shared" si="9"/>
        <v>0</v>
      </c>
      <c r="F103" s="60">
        <f t="shared" si="10"/>
        <v>0</v>
      </c>
      <c r="G103" s="60">
        <f t="shared" si="11"/>
        <v>0</v>
      </c>
    </row>
    <row r="104" spans="1:7" x14ac:dyDescent="0.2">
      <c r="A104" s="60">
        <f t="shared" si="13"/>
        <v>90</v>
      </c>
      <c r="B104" s="59">
        <f t="shared" si="7"/>
        <v>90</v>
      </c>
      <c r="C104" s="60">
        <f t="shared" si="12"/>
        <v>0</v>
      </c>
      <c r="D104" s="60">
        <f t="shared" si="8"/>
        <v>0</v>
      </c>
      <c r="E104" s="60">
        <f t="shared" si="9"/>
        <v>0</v>
      </c>
      <c r="F104" s="60">
        <f t="shared" si="10"/>
        <v>0</v>
      </c>
      <c r="G104" s="60">
        <f t="shared" si="11"/>
        <v>0</v>
      </c>
    </row>
    <row r="105" spans="1:7" x14ac:dyDescent="0.2">
      <c r="A105" s="60">
        <f t="shared" si="13"/>
        <v>91</v>
      </c>
      <c r="B105" s="59">
        <f t="shared" si="7"/>
        <v>91</v>
      </c>
      <c r="C105" s="60">
        <f t="shared" si="12"/>
        <v>0</v>
      </c>
      <c r="D105" s="60">
        <f t="shared" si="8"/>
        <v>0</v>
      </c>
      <c r="E105" s="60">
        <f t="shared" si="9"/>
        <v>0</v>
      </c>
      <c r="F105" s="60">
        <f t="shared" si="10"/>
        <v>0</v>
      </c>
      <c r="G105" s="60">
        <f t="shared" si="11"/>
        <v>0</v>
      </c>
    </row>
    <row r="106" spans="1:7" x14ac:dyDescent="0.2">
      <c r="A106" s="60">
        <f t="shared" si="13"/>
        <v>92</v>
      </c>
      <c r="B106" s="59">
        <f t="shared" si="7"/>
        <v>92</v>
      </c>
      <c r="C106" s="60">
        <f t="shared" si="12"/>
        <v>0</v>
      </c>
      <c r="D106" s="60">
        <f t="shared" si="8"/>
        <v>0</v>
      </c>
      <c r="E106" s="60">
        <f t="shared" si="9"/>
        <v>0</v>
      </c>
      <c r="F106" s="60">
        <f t="shared" si="10"/>
        <v>0</v>
      </c>
      <c r="G106" s="60">
        <f t="shared" si="11"/>
        <v>0</v>
      </c>
    </row>
    <row r="107" spans="1:7" x14ac:dyDescent="0.2">
      <c r="A107" s="60">
        <f t="shared" si="13"/>
        <v>93</v>
      </c>
      <c r="B107" s="59">
        <f t="shared" si="7"/>
        <v>93</v>
      </c>
      <c r="C107" s="60">
        <f t="shared" si="12"/>
        <v>0</v>
      </c>
      <c r="D107" s="60">
        <f t="shared" si="8"/>
        <v>0</v>
      </c>
      <c r="E107" s="60">
        <f t="shared" si="9"/>
        <v>0</v>
      </c>
      <c r="F107" s="60">
        <f t="shared" si="10"/>
        <v>0</v>
      </c>
      <c r="G107" s="60">
        <f t="shared" si="11"/>
        <v>0</v>
      </c>
    </row>
    <row r="108" spans="1:7" x14ac:dyDescent="0.2">
      <c r="A108" s="60">
        <f t="shared" si="13"/>
        <v>94</v>
      </c>
      <c r="B108" s="59">
        <f t="shared" si="7"/>
        <v>94</v>
      </c>
      <c r="C108" s="60">
        <f t="shared" si="12"/>
        <v>0</v>
      </c>
      <c r="D108" s="60">
        <f t="shared" si="8"/>
        <v>0</v>
      </c>
      <c r="E108" s="60">
        <f t="shared" si="9"/>
        <v>0</v>
      </c>
      <c r="F108" s="60">
        <f t="shared" si="10"/>
        <v>0</v>
      </c>
      <c r="G108" s="60">
        <f t="shared" si="11"/>
        <v>0</v>
      </c>
    </row>
    <row r="109" spans="1:7" x14ac:dyDescent="0.2">
      <c r="A109" s="60">
        <f t="shared" si="13"/>
        <v>95</v>
      </c>
      <c r="B109" s="59">
        <f t="shared" si="7"/>
        <v>95</v>
      </c>
      <c r="C109" s="60">
        <f t="shared" si="12"/>
        <v>0</v>
      </c>
      <c r="D109" s="60">
        <f t="shared" si="8"/>
        <v>0</v>
      </c>
      <c r="E109" s="60">
        <f t="shared" si="9"/>
        <v>0</v>
      </c>
      <c r="F109" s="60">
        <f t="shared" si="10"/>
        <v>0</v>
      </c>
      <c r="G109" s="60">
        <f t="shared" si="11"/>
        <v>0</v>
      </c>
    </row>
    <row r="110" spans="1:7" x14ac:dyDescent="0.2">
      <c r="A110" s="60">
        <f t="shared" si="13"/>
        <v>96</v>
      </c>
      <c r="B110" s="59">
        <f t="shared" si="7"/>
        <v>96</v>
      </c>
      <c r="C110" s="60">
        <f t="shared" si="12"/>
        <v>0</v>
      </c>
      <c r="D110" s="60">
        <f t="shared" si="8"/>
        <v>0</v>
      </c>
      <c r="E110" s="60">
        <f t="shared" si="9"/>
        <v>0</v>
      </c>
      <c r="F110" s="60">
        <f t="shared" si="10"/>
        <v>0</v>
      </c>
      <c r="G110" s="60">
        <f t="shared" si="11"/>
        <v>0</v>
      </c>
    </row>
    <row r="111" spans="1:7" x14ac:dyDescent="0.2">
      <c r="A111" s="60">
        <f t="shared" si="13"/>
        <v>97</v>
      </c>
      <c r="B111" s="59">
        <f t="shared" si="7"/>
        <v>97</v>
      </c>
      <c r="C111" s="60">
        <f t="shared" si="12"/>
        <v>0</v>
      </c>
      <c r="D111" s="60">
        <f t="shared" si="8"/>
        <v>0</v>
      </c>
      <c r="E111" s="60">
        <f t="shared" si="9"/>
        <v>0</v>
      </c>
      <c r="F111" s="60">
        <f t="shared" si="10"/>
        <v>0</v>
      </c>
      <c r="G111" s="60">
        <f t="shared" si="11"/>
        <v>0</v>
      </c>
    </row>
    <row r="112" spans="1:7" x14ac:dyDescent="0.2">
      <c r="A112" s="60">
        <f t="shared" si="13"/>
        <v>98</v>
      </c>
      <c r="B112" s="59">
        <f t="shared" si="7"/>
        <v>98</v>
      </c>
      <c r="C112" s="60">
        <f t="shared" si="12"/>
        <v>0</v>
      </c>
      <c r="D112" s="60">
        <f t="shared" si="8"/>
        <v>0</v>
      </c>
      <c r="E112" s="60">
        <f t="shared" si="9"/>
        <v>0</v>
      </c>
      <c r="F112" s="60">
        <f t="shared" si="10"/>
        <v>0</v>
      </c>
      <c r="G112" s="60">
        <f t="shared" si="11"/>
        <v>0</v>
      </c>
    </row>
    <row r="113" spans="1:7" x14ac:dyDescent="0.2">
      <c r="A113" s="60">
        <f t="shared" si="13"/>
        <v>99</v>
      </c>
      <c r="B113" s="59">
        <f t="shared" si="7"/>
        <v>99</v>
      </c>
      <c r="C113" s="60">
        <f t="shared" si="12"/>
        <v>0</v>
      </c>
      <c r="D113" s="60">
        <f t="shared" si="8"/>
        <v>0</v>
      </c>
      <c r="E113" s="60">
        <f t="shared" si="9"/>
        <v>0</v>
      </c>
      <c r="F113" s="60">
        <f t="shared" si="10"/>
        <v>0</v>
      </c>
      <c r="G113" s="60">
        <f t="shared" si="11"/>
        <v>0</v>
      </c>
    </row>
    <row r="114" spans="1:7" x14ac:dyDescent="0.2">
      <c r="A114" s="60">
        <f t="shared" si="13"/>
        <v>100</v>
      </c>
      <c r="B114" s="59">
        <f t="shared" si="7"/>
        <v>100</v>
      </c>
      <c r="C114" s="60">
        <f t="shared" si="12"/>
        <v>0</v>
      </c>
      <c r="D114" s="60">
        <f t="shared" si="8"/>
        <v>0</v>
      </c>
      <c r="E114" s="60">
        <f t="shared" si="9"/>
        <v>0</v>
      </c>
      <c r="F114" s="60">
        <f t="shared" si="10"/>
        <v>0</v>
      </c>
      <c r="G114" s="60">
        <f t="shared" si="11"/>
        <v>0</v>
      </c>
    </row>
    <row r="115" spans="1:7" x14ac:dyDescent="0.2">
      <c r="A115" s="60">
        <f t="shared" si="13"/>
        <v>101</v>
      </c>
      <c r="B115" s="59">
        <f t="shared" si="7"/>
        <v>101</v>
      </c>
      <c r="C115" s="60">
        <f t="shared" si="12"/>
        <v>0</v>
      </c>
      <c r="D115" s="60">
        <f t="shared" si="8"/>
        <v>0</v>
      </c>
      <c r="E115" s="60">
        <f t="shared" si="9"/>
        <v>0</v>
      </c>
      <c r="F115" s="60">
        <f t="shared" si="10"/>
        <v>0</v>
      </c>
      <c r="G115" s="60">
        <f t="shared" si="11"/>
        <v>0</v>
      </c>
    </row>
    <row r="116" spans="1:7" x14ac:dyDescent="0.2">
      <c r="A116" s="60">
        <f t="shared" si="13"/>
        <v>102</v>
      </c>
      <c r="B116" s="59">
        <f t="shared" si="7"/>
        <v>102</v>
      </c>
      <c r="C116" s="60">
        <f t="shared" si="12"/>
        <v>0</v>
      </c>
      <c r="D116" s="60">
        <f t="shared" si="8"/>
        <v>0</v>
      </c>
      <c r="E116" s="60">
        <f t="shared" si="9"/>
        <v>0</v>
      </c>
      <c r="F116" s="60">
        <f t="shared" si="10"/>
        <v>0</v>
      </c>
      <c r="G116" s="60">
        <f t="shared" si="11"/>
        <v>0</v>
      </c>
    </row>
    <row r="117" spans="1:7" x14ac:dyDescent="0.2">
      <c r="A117" s="60">
        <f t="shared" si="13"/>
        <v>103</v>
      </c>
      <c r="B117" s="59">
        <f t="shared" si="7"/>
        <v>103</v>
      </c>
      <c r="C117" s="60">
        <f t="shared" si="12"/>
        <v>0</v>
      </c>
      <c r="D117" s="60">
        <f t="shared" si="8"/>
        <v>0</v>
      </c>
      <c r="E117" s="60">
        <f t="shared" si="9"/>
        <v>0</v>
      </c>
      <c r="F117" s="60">
        <f t="shared" si="10"/>
        <v>0</v>
      </c>
      <c r="G117" s="60">
        <f t="shared" si="11"/>
        <v>0</v>
      </c>
    </row>
    <row r="118" spans="1:7" x14ac:dyDescent="0.2">
      <c r="A118" s="60">
        <f t="shared" si="13"/>
        <v>104</v>
      </c>
      <c r="B118" s="59">
        <f t="shared" si="7"/>
        <v>104</v>
      </c>
      <c r="C118" s="60">
        <f t="shared" si="12"/>
        <v>0</v>
      </c>
      <c r="D118" s="60">
        <f t="shared" si="8"/>
        <v>0</v>
      </c>
      <c r="E118" s="60">
        <f t="shared" si="9"/>
        <v>0</v>
      </c>
      <c r="F118" s="60">
        <f t="shared" si="10"/>
        <v>0</v>
      </c>
      <c r="G118" s="60">
        <f t="shared" si="11"/>
        <v>0</v>
      </c>
    </row>
    <row r="119" spans="1:7" x14ac:dyDescent="0.2">
      <c r="A119" s="60">
        <f t="shared" si="13"/>
        <v>105</v>
      </c>
      <c r="B119" s="59">
        <f t="shared" si="7"/>
        <v>105</v>
      </c>
      <c r="C119" s="60">
        <f t="shared" si="12"/>
        <v>0</v>
      </c>
      <c r="D119" s="60">
        <f t="shared" si="8"/>
        <v>0</v>
      </c>
      <c r="E119" s="60">
        <f t="shared" si="9"/>
        <v>0</v>
      </c>
      <c r="F119" s="60">
        <f t="shared" si="10"/>
        <v>0</v>
      </c>
      <c r="G119" s="60">
        <f t="shared" si="11"/>
        <v>0</v>
      </c>
    </row>
    <row r="120" spans="1:7" x14ac:dyDescent="0.2">
      <c r="A120" s="60">
        <f t="shared" si="13"/>
        <v>106</v>
      </c>
      <c r="B120" s="59">
        <f t="shared" si="7"/>
        <v>106</v>
      </c>
      <c r="C120" s="60">
        <f t="shared" si="12"/>
        <v>0</v>
      </c>
      <c r="D120" s="60">
        <f t="shared" si="8"/>
        <v>0</v>
      </c>
      <c r="E120" s="60">
        <f t="shared" si="9"/>
        <v>0</v>
      </c>
      <c r="F120" s="60">
        <f t="shared" si="10"/>
        <v>0</v>
      </c>
      <c r="G120" s="60">
        <f t="shared" si="11"/>
        <v>0</v>
      </c>
    </row>
    <row r="121" spans="1:7" x14ac:dyDescent="0.2">
      <c r="A121" s="60">
        <f t="shared" si="13"/>
        <v>107</v>
      </c>
      <c r="B121" s="59">
        <f t="shared" si="7"/>
        <v>107</v>
      </c>
      <c r="C121" s="60">
        <f t="shared" si="12"/>
        <v>0</v>
      </c>
      <c r="D121" s="60">
        <f t="shared" si="8"/>
        <v>0</v>
      </c>
      <c r="E121" s="60">
        <f t="shared" si="9"/>
        <v>0</v>
      </c>
      <c r="F121" s="60">
        <f t="shared" si="10"/>
        <v>0</v>
      </c>
      <c r="G121" s="60">
        <f t="shared" si="11"/>
        <v>0</v>
      </c>
    </row>
    <row r="122" spans="1:7" x14ac:dyDescent="0.2">
      <c r="A122" s="60">
        <f t="shared" si="13"/>
        <v>108</v>
      </c>
      <c r="B122" s="59">
        <f t="shared" si="7"/>
        <v>108</v>
      </c>
      <c r="C122" s="60">
        <f t="shared" si="12"/>
        <v>0</v>
      </c>
      <c r="D122" s="60">
        <f t="shared" si="8"/>
        <v>0</v>
      </c>
      <c r="E122" s="60">
        <f t="shared" si="9"/>
        <v>0</v>
      </c>
      <c r="F122" s="60">
        <f t="shared" si="10"/>
        <v>0</v>
      </c>
      <c r="G122" s="60">
        <f t="shared" si="11"/>
        <v>0</v>
      </c>
    </row>
    <row r="123" spans="1:7" x14ac:dyDescent="0.2">
      <c r="A123" s="60">
        <f t="shared" si="13"/>
        <v>109</v>
      </c>
      <c r="B123" s="59">
        <f t="shared" si="7"/>
        <v>109</v>
      </c>
      <c r="C123" s="60">
        <f t="shared" si="12"/>
        <v>0</v>
      </c>
      <c r="D123" s="60">
        <f t="shared" si="8"/>
        <v>0</v>
      </c>
      <c r="E123" s="60">
        <f t="shared" si="9"/>
        <v>0</v>
      </c>
      <c r="F123" s="60">
        <f t="shared" si="10"/>
        <v>0</v>
      </c>
      <c r="G123" s="60">
        <f t="shared" si="11"/>
        <v>0</v>
      </c>
    </row>
    <row r="124" spans="1:7" x14ac:dyDescent="0.2">
      <c r="A124" s="60">
        <f t="shared" si="13"/>
        <v>110</v>
      </c>
      <c r="B124" s="59">
        <f t="shared" si="7"/>
        <v>110</v>
      </c>
      <c r="C124" s="60">
        <f t="shared" si="12"/>
        <v>0</v>
      </c>
      <c r="D124" s="60">
        <f t="shared" si="8"/>
        <v>0</v>
      </c>
      <c r="E124" s="60">
        <f t="shared" si="9"/>
        <v>0</v>
      </c>
      <c r="F124" s="60">
        <f t="shared" si="10"/>
        <v>0</v>
      </c>
      <c r="G124" s="60">
        <f t="shared" si="11"/>
        <v>0</v>
      </c>
    </row>
    <row r="125" spans="1:7" x14ac:dyDescent="0.2">
      <c r="A125" s="60">
        <f t="shared" si="13"/>
        <v>111</v>
      </c>
      <c r="B125" s="59">
        <f t="shared" si="7"/>
        <v>111</v>
      </c>
      <c r="C125" s="60">
        <f t="shared" si="12"/>
        <v>0</v>
      </c>
      <c r="D125" s="60">
        <f t="shared" si="8"/>
        <v>0</v>
      </c>
      <c r="E125" s="60">
        <f t="shared" si="9"/>
        <v>0</v>
      </c>
      <c r="F125" s="60">
        <f t="shared" si="10"/>
        <v>0</v>
      </c>
      <c r="G125" s="60">
        <f t="shared" si="11"/>
        <v>0</v>
      </c>
    </row>
    <row r="126" spans="1:7" x14ac:dyDescent="0.2">
      <c r="A126" s="60">
        <f t="shared" si="13"/>
        <v>112</v>
      </c>
      <c r="B126" s="59">
        <f t="shared" si="7"/>
        <v>112</v>
      </c>
      <c r="C126" s="60">
        <f t="shared" si="12"/>
        <v>0</v>
      </c>
      <c r="D126" s="60">
        <f t="shared" si="8"/>
        <v>0</v>
      </c>
      <c r="E126" s="60">
        <f t="shared" si="9"/>
        <v>0</v>
      </c>
      <c r="F126" s="60">
        <f t="shared" si="10"/>
        <v>0</v>
      </c>
      <c r="G126" s="60">
        <f t="shared" si="11"/>
        <v>0</v>
      </c>
    </row>
    <row r="127" spans="1:7" x14ac:dyDescent="0.2">
      <c r="A127" s="60">
        <f t="shared" si="13"/>
        <v>113</v>
      </c>
      <c r="B127" s="59">
        <f t="shared" si="7"/>
        <v>113</v>
      </c>
      <c r="C127" s="60">
        <f t="shared" si="12"/>
        <v>0</v>
      </c>
      <c r="D127" s="60">
        <f t="shared" si="8"/>
        <v>0</v>
      </c>
      <c r="E127" s="60">
        <f t="shared" si="9"/>
        <v>0</v>
      </c>
      <c r="F127" s="60">
        <f t="shared" si="10"/>
        <v>0</v>
      </c>
      <c r="G127" s="60">
        <f t="shared" si="11"/>
        <v>0</v>
      </c>
    </row>
    <row r="128" spans="1:7" x14ac:dyDescent="0.2">
      <c r="A128" s="60">
        <f t="shared" si="13"/>
        <v>114</v>
      </c>
      <c r="B128" s="59">
        <f t="shared" si="7"/>
        <v>114</v>
      </c>
      <c r="C128" s="60">
        <f t="shared" si="12"/>
        <v>0</v>
      </c>
      <c r="D128" s="60">
        <f t="shared" si="8"/>
        <v>0</v>
      </c>
      <c r="E128" s="60">
        <f t="shared" si="9"/>
        <v>0</v>
      </c>
      <c r="F128" s="60">
        <f t="shared" si="10"/>
        <v>0</v>
      </c>
      <c r="G128" s="60">
        <f t="shared" si="11"/>
        <v>0</v>
      </c>
    </row>
    <row r="129" spans="1:7" x14ac:dyDescent="0.2">
      <c r="A129" s="60">
        <f t="shared" si="13"/>
        <v>115</v>
      </c>
      <c r="B129" s="59">
        <f t="shared" si="7"/>
        <v>115</v>
      </c>
      <c r="C129" s="60">
        <f t="shared" si="12"/>
        <v>0</v>
      </c>
      <c r="D129" s="60">
        <f t="shared" si="8"/>
        <v>0</v>
      </c>
      <c r="E129" s="60">
        <f t="shared" si="9"/>
        <v>0</v>
      </c>
      <c r="F129" s="60">
        <f t="shared" si="10"/>
        <v>0</v>
      </c>
      <c r="G129" s="60">
        <f t="shared" si="11"/>
        <v>0</v>
      </c>
    </row>
    <row r="130" spans="1:7" x14ac:dyDescent="0.2">
      <c r="A130" s="60">
        <f t="shared" si="13"/>
        <v>116</v>
      </c>
      <c r="B130" s="59">
        <f t="shared" si="7"/>
        <v>116</v>
      </c>
      <c r="C130" s="60">
        <f t="shared" si="12"/>
        <v>0</v>
      </c>
      <c r="D130" s="60">
        <f t="shared" si="8"/>
        <v>0</v>
      </c>
      <c r="E130" s="60">
        <f t="shared" si="9"/>
        <v>0</v>
      </c>
      <c r="F130" s="60">
        <f t="shared" si="10"/>
        <v>0</v>
      </c>
      <c r="G130" s="60">
        <f t="shared" si="11"/>
        <v>0</v>
      </c>
    </row>
    <row r="131" spans="1:7" x14ac:dyDescent="0.2">
      <c r="A131" s="60">
        <f t="shared" si="13"/>
        <v>117</v>
      </c>
      <c r="B131" s="59">
        <f t="shared" si="7"/>
        <v>117</v>
      </c>
      <c r="C131" s="60">
        <f t="shared" si="12"/>
        <v>0</v>
      </c>
      <c r="D131" s="60">
        <f t="shared" si="8"/>
        <v>0</v>
      </c>
      <c r="E131" s="60">
        <f t="shared" si="9"/>
        <v>0</v>
      </c>
      <c r="F131" s="60">
        <f t="shared" si="10"/>
        <v>0</v>
      </c>
      <c r="G131" s="60">
        <f t="shared" si="11"/>
        <v>0</v>
      </c>
    </row>
    <row r="132" spans="1:7" x14ac:dyDescent="0.2">
      <c r="A132" s="60">
        <f t="shared" si="13"/>
        <v>118</v>
      </c>
      <c r="B132" s="59">
        <f t="shared" si="7"/>
        <v>118</v>
      </c>
      <c r="C132" s="60">
        <f t="shared" si="12"/>
        <v>0</v>
      </c>
      <c r="D132" s="60">
        <f t="shared" si="8"/>
        <v>0</v>
      </c>
      <c r="E132" s="60">
        <f t="shared" si="9"/>
        <v>0</v>
      </c>
      <c r="F132" s="60">
        <f t="shared" si="10"/>
        <v>0</v>
      </c>
      <c r="G132" s="60">
        <f t="shared" si="11"/>
        <v>0</v>
      </c>
    </row>
    <row r="133" spans="1:7" x14ac:dyDescent="0.2">
      <c r="A133" s="60">
        <f t="shared" si="13"/>
        <v>119</v>
      </c>
      <c r="B133" s="59">
        <f t="shared" si="7"/>
        <v>119</v>
      </c>
      <c r="C133" s="60">
        <f t="shared" si="12"/>
        <v>0</v>
      </c>
      <c r="D133" s="60">
        <f t="shared" si="8"/>
        <v>0</v>
      </c>
      <c r="E133" s="60">
        <f t="shared" si="9"/>
        <v>0</v>
      </c>
      <c r="F133" s="60">
        <f t="shared" si="10"/>
        <v>0</v>
      </c>
      <c r="G133" s="60">
        <f t="shared" si="11"/>
        <v>0</v>
      </c>
    </row>
    <row r="134" spans="1:7" x14ac:dyDescent="0.2">
      <c r="A134" s="60">
        <f t="shared" si="13"/>
        <v>120</v>
      </c>
      <c r="B134" s="59">
        <f t="shared" si="7"/>
        <v>120</v>
      </c>
      <c r="C134" s="60">
        <f t="shared" si="12"/>
        <v>0</v>
      </c>
      <c r="D134" s="60">
        <f t="shared" si="8"/>
        <v>0</v>
      </c>
      <c r="E134" s="60">
        <f t="shared" si="9"/>
        <v>0</v>
      </c>
      <c r="F134" s="60">
        <f t="shared" si="10"/>
        <v>0</v>
      </c>
      <c r="G134" s="60">
        <f t="shared" si="11"/>
        <v>0</v>
      </c>
    </row>
    <row r="135" spans="1:7" x14ac:dyDescent="0.2">
      <c r="A135" s="60">
        <f t="shared" si="13"/>
        <v>121</v>
      </c>
      <c r="B135" s="59">
        <f t="shared" si="7"/>
        <v>121</v>
      </c>
      <c r="C135" s="60">
        <f t="shared" si="12"/>
        <v>0</v>
      </c>
      <c r="D135" s="60">
        <f t="shared" si="8"/>
        <v>0</v>
      </c>
      <c r="E135" s="60">
        <f t="shared" si="9"/>
        <v>0</v>
      </c>
      <c r="F135" s="60">
        <f t="shared" si="10"/>
        <v>0</v>
      </c>
      <c r="G135" s="60">
        <f t="shared" si="11"/>
        <v>0</v>
      </c>
    </row>
    <row r="136" spans="1:7" x14ac:dyDescent="0.2">
      <c r="A136" s="60">
        <f t="shared" si="13"/>
        <v>122</v>
      </c>
      <c r="B136" s="59">
        <f t="shared" si="7"/>
        <v>122</v>
      </c>
      <c r="C136" s="60">
        <f t="shared" si="12"/>
        <v>0</v>
      </c>
      <c r="D136" s="60">
        <f t="shared" si="8"/>
        <v>0</v>
      </c>
      <c r="E136" s="60">
        <f t="shared" si="9"/>
        <v>0</v>
      </c>
      <c r="F136" s="60">
        <f t="shared" si="10"/>
        <v>0</v>
      </c>
      <c r="G136" s="60">
        <f t="shared" si="11"/>
        <v>0</v>
      </c>
    </row>
    <row r="137" spans="1:7" x14ac:dyDescent="0.2">
      <c r="A137" s="60">
        <f t="shared" si="13"/>
        <v>123</v>
      </c>
      <c r="B137" s="59">
        <f t="shared" si="7"/>
        <v>123</v>
      </c>
      <c r="C137" s="60">
        <f t="shared" si="12"/>
        <v>0</v>
      </c>
      <c r="D137" s="60">
        <f t="shared" si="8"/>
        <v>0</v>
      </c>
      <c r="E137" s="60">
        <f t="shared" si="9"/>
        <v>0</v>
      </c>
      <c r="F137" s="60">
        <f t="shared" si="10"/>
        <v>0</v>
      </c>
      <c r="G137" s="60">
        <f t="shared" si="11"/>
        <v>0</v>
      </c>
    </row>
    <row r="138" spans="1:7" x14ac:dyDescent="0.2">
      <c r="A138" s="60">
        <f t="shared" si="13"/>
        <v>124</v>
      </c>
      <c r="B138" s="59">
        <f t="shared" ref="B138:B201" si="14">+B137+1</f>
        <v>124</v>
      </c>
      <c r="C138" s="60">
        <f t="shared" si="12"/>
        <v>0</v>
      </c>
      <c r="D138" s="60">
        <f t="shared" si="8"/>
        <v>0</v>
      </c>
      <c r="E138" s="60">
        <f t="shared" si="9"/>
        <v>0</v>
      </c>
      <c r="F138" s="60">
        <f t="shared" si="10"/>
        <v>0</v>
      </c>
      <c r="G138" s="60">
        <f t="shared" si="11"/>
        <v>0</v>
      </c>
    </row>
    <row r="139" spans="1:7" x14ac:dyDescent="0.2">
      <c r="A139" s="60">
        <f t="shared" si="13"/>
        <v>125</v>
      </c>
      <c r="B139" s="59">
        <f t="shared" si="14"/>
        <v>125</v>
      </c>
      <c r="C139" s="60">
        <f t="shared" si="12"/>
        <v>0</v>
      </c>
      <c r="D139" s="60">
        <f t="shared" si="8"/>
        <v>0</v>
      </c>
      <c r="E139" s="60">
        <f t="shared" si="9"/>
        <v>0</v>
      </c>
      <c r="F139" s="60">
        <f t="shared" si="10"/>
        <v>0</v>
      </c>
      <c r="G139" s="60">
        <f t="shared" si="11"/>
        <v>0</v>
      </c>
    </row>
    <row r="140" spans="1:7" x14ac:dyDescent="0.2">
      <c r="A140" s="60">
        <f t="shared" si="13"/>
        <v>126</v>
      </c>
      <c r="B140" s="59">
        <f t="shared" si="14"/>
        <v>126</v>
      </c>
      <c r="C140" s="60">
        <f t="shared" si="12"/>
        <v>0</v>
      </c>
      <c r="D140" s="60">
        <f t="shared" si="8"/>
        <v>0</v>
      </c>
      <c r="E140" s="60">
        <f t="shared" si="9"/>
        <v>0</v>
      </c>
      <c r="F140" s="60">
        <f t="shared" si="10"/>
        <v>0</v>
      </c>
      <c r="G140" s="60">
        <f t="shared" si="11"/>
        <v>0</v>
      </c>
    </row>
    <row r="141" spans="1:7" x14ac:dyDescent="0.2">
      <c r="A141" s="60">
        <f t="shared" si="13"/>
        <v>127</v>
      </c>
      <c r="B141" s="59">
        <f t="shared" si="14"/>
        <v>127</v>
      </c>
      <c r="C141" s="60">
        <f t="shared" si="12"/>
        <v>0</v>
      </c>
      <c r="D141" s="60">
        <f t="shared" si="8"/>
        <v>0</v>
      </c>
      <c r="E141" s="60">
        <f t="shared" si="9"/>
        <v>0</v>
      </c>
      <c r="F141" s="60">
        <f t="shared" si="10"/>
        <v>0</v>
      </c>
      <c r="G141" s="60">
        <f t="shared" si="11"/>
        <v>0</v>
      </c>
    </row>
    <row r="142" spans="1:7" x14ac:dyDescent="0.2">
      <c r="A142" s="60">
        <f t="shared" si="13"/>
        <v>128</v>
      </c>
      <c r="B142" s="59">
        <f t="shared" si="14"/>
        <v>128</v>
      </c>
      <c r="C142" s="60">
        <f t="shared" si="12"/>
        <v>0</v>
      </c>
      <c r="D142" s="60">
        <f t="shared" si="8"/>
        <v>0</v>
      </c>
      <c r="E142" s="60">
        <f t="shared" si="9"/>
        <v>0</v>
      </c>
      <c r="F142" s="60">
        <f t="shared" si="10"/>
        <v>0</v>
      </c>
      <c r="G142" s="60">
        <f t="shared" si="11"/>
        <v>0</v>
      </c>
    </row>
    <row r="143" spans="1:7" x14ac:dyDescent="0.2">
      <c r="A143" s="60">
        <f t="shared" si="13"/>
        <v>129</v>
      </c>
      <c r="B143" s="59">
        <f t="shared" si="14"/>
        <v>129</v>
      </c>
      <c r="C143" s="60">
        <f t="shared" si="12"/>
        <v>0</v>
      </c>
      <c r="D143" s="60">
        <f t="shared" ref="D143:D206" si="15">IF(C143=0,0,IF(PV($G$6,$F$9-B143,-$F$10)&gt;0,PV($G$6,$F$9-B143,-$F$10),0))</f>
        <v>0</v>
      </c>
      <c r="E143" s="60">
        <f t="shared" ref="E143:E206" si="16">IF(C143=0,0,+$F$10)</f>
        <v>0</v>
      </c>
      <c r="F143" s="60">
        <f t="shared" ref="F143:F206" si="17">C143-D143</f>
        <v>0</v>
      </c>
      <c r="G143" s="60">
        <f t="shared" ref="G143:G206" si="18">E143-F143</f>
        <v>0</v>
      </c>
    </row>
    <row r="144" spans="1:7" x14ac:dyDescent="0.2">
      <c r="A144" s="60">
        <f t="shared" si="13"/>
        <v>130</v>
      </c>
      <c r="B144" s="59">
        <f t="shared" si="14"/>
        <v>130</v>
      </c>
      <c r="C144" s="60">
        <f t="shared" ref="C144:C207" si="19">D143</f>
        <v>0</v>
      </c>
      <c r="D144" s="60">
        <f t="shared" si="15"/>
        <v>0</v>
      </c>
      <c r="E144" s="60">
        <f t="shared" si="16"/>
        <v>0</v>
      </c>
      <c r="F144" s="60">
        <f t="shared" si="17"/>
        <v>0</v>
      </c>
      <c r="G144" s="60">
        <f t="shared" si="18"/>
        <v>0</v>
      </c>
    </row>
    <row r="145" spans="1:7" x14ac:dyDescent="0.2">
      <c r="A145" s="60">
        <f t="shared" si="13"/>
        <v>131</v>
      </c>
      <c r="B145" s="59">
        <f t="shared" si="14"/>
        <v>131</v>
      </c>
      <c r="C145" s="60">
        <f t="shared" si="19"/>
        <v>0</v>
      </c>
      <c r="D145" s="60">
        <f t="shared" si="15"/>
        <v>0</v>
      </c>
      <c r="E145" s="60">
        <f t="shared" si="16"/>
        <v>0</v>
      </c>
      <c r="F145" s="60">
        <f t="shared" si="17"/>
        <v>0</v>
      </c>
      <c r="G145" s="60">
        <f t="shared" si="18"/>
        <v>0</v>
      </c>
    </row>
    <row r="146" spans="1:7" x14ac:dyDescent="0.2">
      <c r="A146" s="60">
        <f t="shared" si="13"/>
        <v>132</v>
      </c>
      <c r="B146" s="59">
        <f t="shared" si="14"/>
        <v>132</v>
      </c>
      <c r="C146" s="60">
        <f t="shared" si="19"/>
        <v>0</v>
      </c>
      <c r="D146" s="60">
        <f t="shared" si="15"/>
        <v>0</v>
      </c>
      <c r="E146" s="60">
        <f t="shared" si="16"/>
        <v>0</v>
      </c>
      <c r="F146" s="60">
        <f t="shared" si="17"/>
        <v>0</v>
      </c>
      <c r="G146" s="60">
        <f t="shared" si="18"/>
        <v>0</v>
      </c>
    </row>
    <row r="147" spans="1:7" x14ac:dyDescent="0.2">
      <c r="A147" s="60">
        <f t="shared" si="13"/>
        <v>133</v>
      </c>
      <c r="B147" s="59">
        <f t="shared" si="14"/>
        <v>133</v>
      </c>
      <c r="C147" s="60">
        <f t="shared" si="19"/>
        <v>0</v>
      </c>
      <c r="D147" s="60">
        <f t="shared" si="15"/>
        <v>0</v>
      </c>
      <c r="E147" s="60">
        <f t="shared" si="16"/>
        <v>0</v>
      </c>
      <c r="F147" s="60">
        <f t="shared" si="17"/>
        <v>0</v>
      </c>
      <c r="G147" s="60">
        <f t="shared" si="18"/>
        <v>0</v>
      </c>
    </row>
    <row r="148" spans="1:7" x14ac:dyDescent="0.2">
      <c r="A148" s="60">
        <f t="shared" si="13"/>
        <v>134</v>
      </c>
      <c r="B148" s="59">
        <f t="shared" si="14"/>
        <v>134</v>
      </c>
      <c r="C148" s="60">
        <f t="shared" si="19"/>
        <v>0</v>
      </c>
      <c r="D148" s="60">
        <f t="shared" si="15"/>
        <v>0</v>
      </c>
      <c r="E148" s="60">
        <f t="shared" si="16"/>
        <v>0</v>
      </c>
      <c r="F148" s="60">
        <f t="shared" si="17"/>
        <v>0</v>
      </c>
      <c r="G148" s="60">
        <f t="shared" si="18"/>
        <v>0</v>
      </c>
    </row>
    <row r="149" spans="1:7" x14ac:dyDescent="0.2">
      <c r="A149" s="60">
        <f t="shared" si="13"/>
        <v>135</v>
      </c>
      <c r="B149" s="59">
        <f t="shared" si="14"/>
        <v>135</v>
      </c>
      <c r="C149" s="60">
        <f t="shared" si="19"/>
        <v>0</v>
      </c>
      <c r="D149" s="60">
        <f t="shared" si="15"/>
        <v>0</v>
      </c>
      <c r="E149" s="60">
        <f t="shared" si="16"/>
        <v>0</v>
      </c>
      <c r="F149" s="60">
        <f t="shared" si="17"/>
        <v>0</v>
      </c>
      <c r="G149" s="60">
        <f t="shared" si="18"/>
        <v>0</v>
      </c>
    </row>
    <row r="150" spans="1:7" x14ac:dyDescent="0.2">
      <c r="A150" s="60">
        <f t="shared" si="13"/>
        <v>136</v>
      </c>
      <c r="B150" s="59">
        <f t="shared" si="14"/>
        <v>136</v>
      </c>
      <c r="C150" s="60">
        <f t="shared" si="19"/>
        <v>0</v>
      </c>
      <c r="D150" s="60">
        <f t="shared" si="15"/>
        <v>0</v>
      </c>
      <c r="E150" s="60">
        <f t="shared" si="16"/>
        <v>0</v>
      </c>
      <c r="F150" s="60">
        <f t="shared" si="17"/>
        <v>0</v>
      </c>
      <c r="G150" s="60">
        <f t="shared" si="18"/>
        <v>0</v>
      </c>
    </row>
    <row r="151" spans="1:7" x14ac:dyDescent="0.2">
      <c r="A151" s="60">
        <f t="shared" si="13"/>
        <v>137</v>
      </c>
      <c r="B151" s="59">
        <f t="shared" si="14"/>
        <v>137</v>
      </c>
      <c r="C151" s="60">
        <f t="shared" si="19"/>
        <v>0</v>
      </c>
      <c r="D151" s="60">
        <f t="shared" si="15"/>
        <v>0</v>
      </c>
      <c r="E151" s="60">
        <f t="shared" si="16"/>
        <v>0</v>
      </c>
      <c r="F151" s="60">
        <f t="shared" si="17"/>
        <v>0</v>
      </c>
      <c r="G151" s="60">
        <f t="shared" si="18"/>
        <v>0</v>
      </c>
    </row>
    <row r="152" spans="1:7" x14ac:dyDescent="0.2">
      <c r="A152" s="60">
        <f t="shared" si="13"/>
        <v>138</v>
      </c>
      <c r="B152" s="59">
        <f t="shared" si="14"/>
        <v>138</v>
      </c>
      <c r="C152" s="60">
        <f t="shared" si="19"/>
        <v>0</v>
      </c>
      <c r="D152" s="60">
        <f t="shared" si="15"/>
        <v>0</v>
      </c>
      <c r="E152" s="60">
        <f t="shared" si="16"/>
        <v>0</v>
      </c>
      <c r="F152" s="60">
        <f t="shared" si="17"/>
        <v>0</v>
      </c>
      <c r="G152" s="60">
        <f t="shared" si="18"/>
        <v>0</v>
      </c>
    </row>
    <row r="153" spans="1:7" x14ac:dyDescent="0.2">
      <c r="A153" s="60">
        <f t="shared" si="13"/>
        <v>139</v>
      </c>
      <c r="B153" s="59">
        <f t="shared" si="14"/>
        <v>139</v>
      </c>
      <c r="C153" s="60">
        <f t="shared" si="19"/>
        <v>0</v>
      </c>
      <c r="D153" s="60">
        <f t="shared" si="15"/>
        <v>0</v>
      </c>
      <c r="E153" s="60">
        <f t="shared" si="16"/>
        <v>0</v>
      </c>
      <c r="F153" s="60">
        <f t="shared" si="17"/>
        <v>0</v>
      </c>
      <c r="G153" s="60">
        <f t="shared" si="18"/>
        <v>0</v>
      </c>
    </row>
    <row r="154" spans="1:7" x14ac:dyDescent="0.2">
      <c r="A154" s="60">
        <f t="shared" si="13"/>
        <v>140</v>
      </c>
      <c r="B154" s="59">
        <f t="shared" si="14"/>
        <v>140</v>
      </c>
      <c r="C154" s="60">
        <f t="shared" si="19"/>
        <v>0</v>
      </c>
      <c r="D154" s="60">
        <f t="shared" si="15"/>
        <v>0</v>
      </c>
      <c r="E154" s="60">
        <f t="shared" si="16"/>
        <v>0</v>
      </c>
      <c r="F154" s="60">
        <f t="shared" si="17"/>
        <v>0</v>
      </c>
      <c r="G154" s="60">
        <f t="shared" si="18"/>
        <v>0</v>
      </c>
    </row>
    <row r="155" spans="1:7" x14ac:dyDescent="0.2">
      <c r="A155" s="60">
        <f t="shared" ref="A155:A218" si="20">CEILING((B155/(12/$F$7)),1)</f>
        <v>141</v>
      </c>
      <c r="B155" s="59">
        <f t="shared" si="14"/>
        <v>141</v>
      </c>
      <c r="C155" s="60">
        <f t="shared" si="19"/>
        <v>0</v>
      </c>
      <c r="D155" s="60">
        <f t="shared" si="15"/>
        <v>0</v>
      </c>
      <c r="E155" s="60">
        <f t="shared" si="16"/>
        <v>0</v>
      </c>
      <c r="F155" s="60">
        <f t="shared" si="17"/>
        <v>0</v>
      </c>
      <c r="G155" s="60">
        <f t="shared" si="18"/>
        <v>0</v>
      </c>
    </row>
    <row r="156" spans="1:7" x14ac:dyDescent="0.2">
      <c r="A156" s="60">
        <f t="shared" si="20"/>
        <v>142</v>
      </c>
      <c r="B156" s="59">
        <f t="shared" si="14"/>
        <v>142</v>
      </c>
      <c r="C156" s="60">
        <f t="shared" si="19"/>
        <v>0</v>
      </c>
      <c r="D156" s="60">
        <f t="shared" si="15"/>
        <v>0</v>
      </c>
      <c r="E156" s="60">
        <f t="shared" si="16"/>
        <v>0</v>
      </c>
      <c r="F156" s="60">
        <f t="shared" si="17"/>
        <v>0</v>
      </c>
      <c r="G156" s="60">
        <f t="shared" si="18"/>
        <v>0</v>
      </c>
    </row>
    <row r="157" spans="1:7" x14ac:dyDescent="0.2">
      <c r="A157" s="60">
        <f t="shared" si="20"/>
        <v>143</v>
      </c>
      <c r="B157" s="59">
        <f t="shared" si="14"/>
        <v>143</v>
      </c>
      <c r="C157" s="60">
        <f t="shared" si="19"/>
        <v>0</v>
      </c>
      <c r="D157" s="60">
        <f t="shared" si="15"/>
        <v>0</v>
      </c>
      <c r="E157" s="60">
        <f t="shared" si="16"/>
        <v>0</v>
      </c>
      <c r="F157" s="60">
        <f t="shared" si="17"/>
        <v>0</v>
      </c>
      <c r="G157" s="60">
        <f t="shared" si="18"/>
        <v>0</v>
      </c>
    </row>
    <row r="158" spans="1:7" x14ac:dyDescent="0.2">
      <c r="A158" s="60">
        <f t="shared" si="20"/>
        <v>144</v>
      </c>
      <c r="B158" s="59">
        <f t="shared" si="14"/>
        <v>144</v>
      </c>
      <c r="C158" s="60">
        <f t="shared" si="19"/>
        <v>0</v>
      </c>
      <c r="D158" s="60">
        <f t="shared" si="15"/>
        <v>0</v>
      </c>
      <c r="E158" s="60">
        <f t="shared" si="16"/>
        <v>0</v>
      </c>
      <c r="F158" s="60">
        <f t="shared" si="17"/>
        <v>0</v>
      </c>
      <c r="G158" s="60">
        <f t="shared" si="18"/>
        <v>0</v>
      </c>
    </row>
    <row r="159" spans="1:7" x14ac:dyDescent="0.2">
      <c r="A159" s="60">
        <f t="shared" si="20"/>
        <v>145</v>
      </c>
      <c r="B159" s="59">
        <f t="shared" si="14"/>
        <v>145</v>
      </c>
      <c r="C159" s="60">
        <f t="shared" si="19"/>
        <v>0</v>
      </c>
      <c r="D159" s="60">
        <f t="shared" si="15"/>
        <v>0</v>
      </c>
      <c r="E159" s="60">
        <f t="shared" si="16"/>
        <v>0</v>
      </c>
      <c r="F159" s="60">
        <f t="shared" si="17"/>
        <v>0</v>
      </c>
      <c r="G159" s="60">
        <f t="shared" si="18"/>
        <v>0</v>
      </c>
    </row>
    <row r="160" spans="1:7" x14ac:dyDescent="0.2">
      <c r="A160" s="60">
        <f t="shared" si="20"/>
        <v>146</v>
      </c>
      <c r="B160" s="59">
        <f t="shared" si="14"/>
        <v>146</v>
      </c>
      <c r="C160" s="60">
        <f t="shared" si="19"/>
        <v>0</v>
      </c>
      <c r="D160" s="60">
        <f t="shared" si="15"/>
        <v>0</v>
      </c>
      <c r="E160" s="60">
        <f t="shared" si="16"/>
        <v>0</v>
      </c>
      <c r="F160" s="60">
        <f t="shared" si="17"/>
        <v>0</v>
      </c>
      <c r="G160" s="60">
        <f t="shared" si="18"/>
        <v>0</v>
      </c>
    </row>
    <row r="161" spans="1:7" x14ac:dyDescent="0.2">
      <c r="A161" s="60">
        <f t="shared" si="20"/>
        <v>147</v>
      </c>
      <c r="B161" s="59">
        <f t="shared" si="14"/>
        <v>147</v>
      </c>
      <c r="C161" s="60">
        <f t="shared" si="19"/>
        <v>0</v>
      </c>
      <c r="D161" s="60">
        <f t="shared" si="15"/>
        <v>0</v>
      </c>
      <c r="E161" s="60">
        <f t="shared" si="16"/>
        <v>0</v>
      </c>
      <c r="F161" s="60">
        <f t="shared" si="17"/>
        <v>0</v>
      </c>
      <c r="G161" s="60">
        <f t="shared" si="18"/>
        <v>0</v>
      </c>
    </row>
    <row r="162" spans="1:7" x14ac:dyDescent="0.2">
      <c r="A162" s="60">
        <f t="shared" si="20"/>
        <v>148</v>
      </c>
      <c r="B162" s="59">
        <f t="shared" si="14"/>
        <v>148</v>
      </c>
      <c r="C162" s="60">
        <f t="shared" si="19"/>
        <v>0</v>
      </c>
      <c r="D162" s="60">
        <f t="shared" si="15"/>
        <v>0</v>
      </c>
      <c r="E162" s="60">
        <f t="shared" si="16"/>
        <v>0</v>
      </c>
      <c r="F162" s="60">
        <f t="shared" si="17"/>
        <v>0</v>
      </c>
      <c r="G162" s="60">
        <f t="shared" si="18"/>
        <v>0</v>
      </c>
    </row>
    <row r="163" spans="1:7" x14ac:dyDescent="0.2">
      <c r="A163" s="60">
        <f t="shared" si="20"/>
        <v>149</v>
      </c>
      <c r="B163" s="59">
        <f t="shared" si="14"/>
        <v>149</v>
      </c>
      <c r="C163" s="60">
        <f t="shared" si="19"/>
        <v>0</v>
      </c>
      <c r="D163" s="60">
        <f t="shared" si="15"/>
        <v>0</v>
      </c>
      <c r="E163" s="60">
        <f t="shared" si="16"/>
        <v>0</v>
      </c>
      <c r="F163" s="60">
        <f t="shared" si="17"/>
        <v>0</v>
      </c>
      <c r="G163" s="60">
        <f t="shared" si="18"/>
        <v>0</v>
      </c>
    </row>
    <row r="164" spans="1:7" x14ac:dyDescent="0.2">
      <c r="A164" s="60">
        <f t="shared" si="20"/>
        <v>150</v>
      </c>
      <c r="B164" s="59">
        <f t="shared" si="14"/>
        <v>150</v>
      </c>
      <c r="C164" s="60">
        <f t="shared" si="19"/>
        <v>0</v>
      </c>
      <c r="D164" s="60">
        <f t="shared" si="15"/>
        <v>0</v>
      </c>
      <c r="E164" s="60">
        <f t="shared" si="16"/>
        <v>0</v>
      </c>
      <c r="F164" s="60">
        <f t="shared" si="17"/>
        <v>0</v>
      </c>
      <c r="G164" s="60">
        <f t="shared" si="18"/>
        <v>0</v>
      </c>
    </row>
    <row r="165" spans="1:7" x14ac:dyDescent="0.2">
      <c r="A165" s="60">
        <f t="shared" si="20"/>
        <v>151</v>
      </c>
      <c r="B165" s="59">
        <f t="shared" si="14"/>
        <v>151</v>
      </c>
      <c r="C165" s="60">
        <f t="shared" si="19"/>
        <v>0</v>
      </c>
      <c r="D165" s="60">
        <f t="shared" si="15"/>
        <v>0</v>
      </c>
      <c r="E165" s="60">
        <f t="shared" si="16"/>
        <v>0</v>
      </c>
      <c r="F165" s="60">
        <f t="shared" si="17"/>
        <v>0</v>
      </c>
      <c r="G165" s="60">
        <f t="shared" si="18"/>
        <v>0</v>
      </c>
    </row>
    <row r="166" spans="1:7" x14ac:dyDescent="0.2">
      <c r="A166" s="60">
        <f t="shared" si="20"/>
        <v>152</v>
      </c>
      <c r="B166" s="59">
        <f t="shared" si="14"/>
        <v>152</v>
      </c>
      <c r="C166" s="60">
        <f t="shared" si="19"/>
        <v>0</v>
      </c>
      <c r="D166" s="60">
        <f t="shared" si="15"/>
        <v>0</v>
      </c>
      <c r="E166" s="60">
        <f t="shared" si="16"/>
        <v>0</v>
      </c>
      <c r="F166" s="60">
        <f t="shared" si="17"/>
        <v>0</v>
      </c>
      <c r="G166" s="60">
        <f t="shared" si="18"/>
        <v>0</v>
      </c>
    </row>
    <row r="167" spans="1:7" x14ac:dyDescent="0.2">
      <c r="A167" s="60">
        <f t="shared" si="20"/>
        <v>153</v>
      </c>
      <c r="B167" s="59">
        <f t="shared" si="14"/>
        <v>153</v>
      </c>
      <c r="C167" s="60">
        <f t="shared" si="19"/>
        <v>0</v>
      </c>
      <c r="D167" s="60">
        <f t="shared" si="15"/>
        <v>0</v>
      </c>
      <c r="E167" s="60">
        <f t="shared" si="16"/>
        <v>0</v>
      </c>
      <c r="F167" s="60">
        <f t="shared" si="17"/>
        <v>0</v>
      </c>
      <c r="G167" s="60">
        <f t="shared" si="18"/>
        <v>0</v>
      </c>
    </row>
    <row r="168" spans="1:7" x14ac:dyDescent="0.2">
      <c r="A168" s="60">
        <f t="shared" si="20"/>
        <v>154</v>
      </c>
      <c r="B168" s="59">
        <f t="shared" si="14"/>
        <v>154</v>
      </c>
      <c r="C168" s="60">
        <f t="shared" si="19"/>
        <v>0</v>
      </c>
      <c r="D168" s="60">
        <f t="shared" si="15"/>
        <v>0</v>
      </c>
      <c r="E168" s="60">
        <f t="shared" si="16"/>
        <v>0</v>
      </c>
      <c r="F168" s="60">
        <f t="shared" si="17"/>
        <v>0</v>
      </c>
      <c r="G168" s="60">
        <f t="shared" si="18"/>
        <v>0</v>
      </c>
    </row>
    <row r="169" spans="1:7" x14ac:dyDescent="0.2">
      <c r="A169" s="60">
        <f t="shared" si="20"/>
        <v>155</v>
      </c>
      <c r="B169" s="59">
        <f t="shared" si="14"/>
        <v>155</v>
      </c>
      <c r="C169" s="60">
        <f t="shared" si="19"/>
        <v>0</v>
      </c>
      <c r="D169" s="60">
        <f t="shared" si="15"/>
        <v>0</v>
      </c>
      <c r="E169" s="60">
        <f t="shared" si="16"/>
        <v>0</v>
      </c>
      <c r="F169" s="60">
        <f t="shared" si="17"/>
        <v>0</v>
      </c>
      <c r="G169" s="60">
        <f t="shared" si="18"/>
        <v>0</v>
      </c>
    </row>
    <row r="170" spans="1:7" x14ac:dyDescent="0.2">
      <c r="A170" s="60">
        <f t="shared" si="20"/>
        <v>156</v>
      </c>
      <c r="B170" s="59">
        <f t="shared" si="14"/>
        <v>156</v>
      </c>
      <c r="C170" s="60">
        <f t="shared" si="19"/>
        <v>0</v>
      </c>
      <c r="D170" s="60">
        <f t="shared" si="15"/>
        <v>0</v>
      </c>
      <c r="E170" s="60">
        <f t="shared" si="16"/>
        <v>0</v>
      </c>
      <c r="F170" s="60">
        <f t="shared" si="17"/>
        <v>0</v>
      </c>
      <c r="G170" s="60">
        <f t="shared" si="18"/>
        <v>0</v>
      </c>
    </row>
    <row r="171" spans="1:7" x14ac:dyDescent="0.2">
      <c r="A171" s="60">
        <f t="shared" si="20"/>
        <v>157</v>
      </c>
      <c r="B171" s="59">
        <f t="shared" si="14"/>
        <v>157</v>
      </c>
      <c r="C171" s="60">
        <f t="shared" si="19"/>
        <v>0</v>
      </c>
      <c r="D171" s="60">
        <f t="shared" si="15"/>
        <v>0</v>
      </c>
      <c r="E171" s="60">
        <f t="shared" si="16"/>
        <v>0</v>
      </c>
      <c r="F171" s="60">
        <f t="shared" si="17"/>
        <v>0</v>
      </c>
      <c r="G171" s="60">
        <f t="shared" si="18"/>
        <v>0</v>
      </c>
    </row>
    <row r="172" spans="1:7" x14ac:dyDescent="0.2">
      <c r="A172" s="60">
        <f t="shared" si="20"/>
        <v>158</v>
      </c>
      <c r="B172" s="59">
        <f t="shared" si="14"/>
        <v>158</v>
      </c>
      <c r="C172" s="60">
        <f t="shared" si="19"/>
        <v>0</v>
      </c>
      <c r="D172" s="60">
        <f t="shared" si="15"/>
        <v>0</v>
      </c>
      <c r="E172" s="60">
        <f t="shared" si="16"/>
        <v>0</v>
      </c>
      <c r="F172" s="60">
        <f t="shared" si="17"/>
        <v>0</v>
      </c>
      <c r="G172" s="60">
        <f t="shared" si="18"/>
        <v>0</v>
      </c>
    </row>
    <row r="173" spans="1:7" x14ac:dyDescent="0.2">
      <c r="A173" s="60">
        <f t="shared" si="20"/>
        <v>159</v>
      </c>
      <c r="B173" s="59">
        <f t="shared" si="14"/>
        <v>159</v>
      </c>
      <c r="C173" s="60">
        <f t="shared" si="19"/>
        <v>0</v>
      </c>
      <c r="D173" s="60">
        <f t="shared" si="15"/>
        <v>0</v>
      </c>
      <c r="E173" s="60">
        <f t="shared" si="16"/>
        <v>0</v>
      </c>
      <c r="F173" s="60">
        <f t="shared" si="17"/>
        <v>0</v>
      </c>
      <c r="G173" s="60">
        <f t="shared" si="18"/>
        <v>0</v>
      </c>
    </row>
    <row r="174" spans="1:7" x14ac:dyDescent="0.2">
      <c r="A174" s="60">
        <f t="shared" si="20"/>
        <v>160</v>
      </c>
      <c r="B174" s="59">
        <f t="shared" si="14"/>
        <v>160</v>
      </c>
      <c r="C174" s="60">
        <f t="shared" si="19"/>
        <v>0</v>
      </c>
      <c r="D174" s="60">
        <f t="shared" si="15"/>
        <v>0</v>
      </c>
      <c r="E174" s="60">
        <f t="shared" si="16"/>
        <v>0</v>
      </c>
      <c r="F174" s="60">
        <f t="shared" si="17"/>
        <v>0</v>
      </c>
      <c r="G174" s="60">
        <f t="shared" si="18"/>
        <v>0</v>
      </c>
    </row>
    <row r="175" spans="1:7" x14ac:dyDescent="0.2">
      <c r="A175" s="60">
        <f t="shared" si="20"/>
        <v>161</v>
      </c>
      <c r="B175" s="59">
        <f t="shared" si="14"/>
        <v>161</v>
      </c>
      <c r="C175" s="60">
        <f t="shared" si="19"/>
        <v>0</v>
      </c>
      <c r="D175" s="60">
        <f t="shared" si="15"/>
        <v>0</v>
      </c>
      <c r="E175" s="60">
        <f t="shared" si="16"/>
        <v>0</v>
      </c>
      <c r="F175" s="60">
        <f t="shared" si="17"/>
        <v>0</v>
      </c>
      <c r="G175" s="60">
        <f t="shared" si="18"/>
        <v>0</v>
      </c>
    </row>
    <row r="176" spans="1:7" x14ac:dyDescent="0.2">
      <c r="A176" s="60">
        <f t="shared" si="20"/>
        <v>162</v>
      </c>
      <c r="B176" s="59">
        <f t="shared" si="14"/>
        <v>162</v>
      </c>
      <c r="C176" s="60">
        <f t="shared" si="19"/>
        <v>0</v>
      </c>
      <c r="D176" s="60">
        <f t="shared" si="15"/>
        <v>0</v>
      </c>
      <c r="E176" s="60">
        <f t="shared" si="16"/>
        <v>0</v>
      </c>
      <c r="F176" s="60">
        <f t="shared" si="17"/>
        <v>0</v>
      </c>
      <c r="G176" s="60">
        <f t="shared" si="18"/>
        <v>0</v>
      </c>
    </row>
    <row r="177" spans="1:7" x14ac:dyDescent="0.2">
      <c r="A177" s="60">
        <f t="shared" si="20"/>
        <v>163</v>
      </c>
      <c r="B177" s="59">
        <f t="shared" si="14"/>
        <v>163</v>
      </c>
      <c r="C177" s="60">
        <f t="shared" si="19"/>
        <v>0</v>
      </c>
      <c r="D177" s="60">
        <f t="shared" si="15"/>
        <v>0</v>
      </c>
      <c r="E177" s="60">
        <f t="shared" si="16"/>
        <v>0</v>
      </c>
      <c r="F177" s="60">
        <f t="shared" si="17"/>
        <v>0</v>
      </c>
      <c r="G177" s="60">
        <f t="shared" si="18"/>
        <v>0</v>
      </c>
    </row>
    <row r="178" spans="1:7" x14ac:dyDescent="0.2">
      <c r="A178" s="60">
        <f t="shared" si="20"/>
        <v>164</v>
      </c>
      <c r="B178" s="59">
        <f t="shared" si="14"/>
        <v>164</v>
      </c>
      <c r="C178" s="60">
        <f t="shared" si="19"/>
        <v>0</v>
      </c>
      <c r="D178" s="60">
        <f t="shared" si="15"/>
        <v>0</v>
      </c>
      <c r="E178" s="60">
        <f t="shared" si="16"/>
        <v>0</v>
      </c>
      <c r="F178" s="60">
        <f t="shared" si="17"/>
        <v>0</v>
      </c>
      <c r="G178" s="60">
        <f t="shared" si="18"/>
        <v>0</v>
      </c>
    </row>
    <row r="179" spans="1:7" x14ac:dyDescent="0.2">
      <c r="A179" s="60">
        <f t="shared" si="20"/>
        <v>165</v>
      </c>
      <c r="B179" s="59">
        <f t="shared" si="14"/>
        <v>165</v>
      </c>
      <c r="C179" s="60">
        <f t="shared" si="19"/>
        <v>0</v>
      </c>
      <c r="D179" s="60">
        <f t="shared" si="15"/>
        <v>0</v>
      </c>
      <c r="E179" s="60">
        <f t="shared" si="16"/>
        <v>0</v>
      </c>
      <c r="F179" s="60">
        <f t="shared" si="17"/>
        <v>0</v>
      </c>
      <c r="G179" s="60">
        <f t="shared" si="18"/>
        <v>0</v>
      </c>
    </row>
    <row r="180" spans="1:7" x14ac:dyDescent="0.2">
      <c r="A180" s="60">
        <f t="shared" si="20"/>
        <v>166</v>
      </c>
      <c r="B180" s="59">
        <f t="shared" si="14"/>
        <v>166</v>
      </c>
      <c r="C180" s="60">
        <f t="shared" si="19"/>
        <v>0</v>
      </c>
      <c r="D180" s="60">
        <f t="shared" si="15"/>
        <v>0</v>
      </c>
      <c r="E180" s="60">
        <f t="shared" si="16"/>
        <v>0</v>
      </c>
      <c r="F180" s="60">
        <f t="shared" si="17"/>
        <v>0</v>
      </c>
      <c r="G180" s="60">
        <f t="shared" si="18"/>
        <v>0</v>
      </c>
    </row>
    <row r="181" spans="1:7" x14ac:dyDescent="0.2">
      <c r="A181" s="60">
        <f t="shared" si="20"/>
        <v>167</v>
      </c>
      <c r="B181" s="59">
        <f t="shared" si="14"/>
        <v>167</v>
      </c>
      <c r="C181" s="60">
        <f t="shared" si="19"/>
        <v>0</v>
      </c>
      <c r="D181" s="60">
        <f t="shared" si="15"/>
        <v>0</v>
      </c>
      <c r="E181" s="60">
        <f t="shared" si="16"/>
        <v>0</v>
      </c>
      <c r="F181" s="60">
        <f t="shared" si="17"/>
        <v>0</v>
      </c>
      <c r="G181" s="60">
        <f t="shared" si="18"/>
        <v>0</v>
      </c>
    </row>
    <row r="182" spans="1:7" x14ac:dyDescent="0.2">
      <c r="A182" s="60">
        <f t="shared" si="20"/>
        <v>168</v>
      </c>
      <c r="B182" s="59">
        <f t="shared" si="14"/>
        <v>168</v>
      </c>
      <c r="C182" s="60">
        <f t="shared" si="19"/>
        <v>0</v>
      </c>
      <c r="D182" s="60">
        <f t="shared" si="15"/>
        <v>0</v>
      </c>
      <c r="E182" s="60">
        <f t="shared" si="16"/>
        <v>0</v>
      </c>
      <c r="F182" s="60">
        <f t="shared" si="17"/>
        <v>0</v>
      </c>
      <c r="G182" s="60">
        <f t="shared" si="18"/>
        <v>0</v>
      </c>
    </row>
    <row r="183" spans="1:7" x14ac:dyDescent="0.2">
      <c r="A183" s="60">
        <f t="shared" si="20"/>
        <v>169</v>
      </c>
      <c r="B183" s="59">
        <f t="shared" si="14"/>
        <v>169</v>
      </c>
      <c r="C183" s="60">
        <f t="shared" si="19"/>
        <v>0</v>
      </c>
      <c r="D183" s="60">
        <f t="shared" si="15"/>
        <v>0</v>
      </c>
      <c r="E183" s="60">
        <f t="shared" si="16"/>
        <v>0</v>
      </c>
      <c r="F183" s="60">
        <f t="shared" si="17"/>
        <v>0</v>
      </c>
      <c r="G183" s="60">
        <f t="shared" si="18"/>
        <v>0</v>
      </c>
    </row>
    <row r="184" spans="1:7" x14ac:dyDescent="0.2">
      <c r="A184" s="60">
        <f t="shared" si="20"/>
        <v>170</v>
      </c>
      <c r="B184" s="59">
        <f t="shared" si="14"/>
        <v>170</v>
      </c>
      <c r="C184" s="60">
        <f t="shared" si="19"/>
        <v>0</v>
      </c>
      <c r="D184" s="60">
        <f t="shared" si="15"/>
        <v>0</v>
      </c>
      <c r="E184" s="60">
        <f t="shared" si="16"/>
        <v>0</v>
      </c>
      <c r="F184" s="60">
        <f t="shared" si="17"/>
        <v>0</v>
      </c>
      <c r="G184" s="60">
        <f t="shared" si="18"/>
        <v>0</v>
      </c>
    </row>
    <row r="185" spans="1:7" x14ac:dyDescent="0.2">
      <c r="A185" s="60">
        <f t="shared" si="20"/>
        <v>171</v>
      </c>
      <c r="B185" s="59">
        <f t="shared" si="14"/>
        <v>171</v>
      </c>
      <c r="C185" s="60">
        <f t="shared" si="19"/>
        <v>0</v>
      </c>
      <c r="D185" s="60">
        <f t="shared" si="15"/>
        <v>0</v>
      </c>
      <c r="E185" s="60">
        <f t="shared" si="16"/>
        <v>0</v>
      </c>
      <c r="F185" s="60">
        <f t="shared" si="17"/>
        <v>0</v>
      </c>
      <c r="G185" s="60">
        <f t="shared" si="18"/>
        <v>0</v>
      </c>
    </row>
    <row r="186" spans="1:7" x14ac:dyDescent="0.2">
      <c r="A186" s="60">
        <f t="shared" si="20"/>
        <v>172</v>
      </c>
      <c r="B186" s="59">
        <f t="shared" si="14"/>
        <v>172</v>
      </c>
      <c r="C186" s="60">
        <f t="shared" si="19"/>
        <v>0</v>
      </c>
      <c r="D186" s="60">
        <f t="shared" si="15"/>
        <v>0</v>
      </c>
      <c r="E186" s="60">
        <f t="shared" si="16"/>
        <v>0</v>
      </c>
      <c r="F186" s="60">
        <f t="shared" si="17"/>
        <v>0</v>
      </c>
      <c r="G186" s="60">
        <f t="shared" si="18"/>
        <v>0</v>
      </c>
    </row>
    <row r="187" spans="1:7" x14ac:dyDescent="0.2">
      <c r="A187" s="60">
        <f t="shared" si="20"/>
        <v>173</v>
      </c>
      <c r="B187" s="59">
        <f t="shared" si="14"/>
        <v>173</v>
      </c>
      <c r="C187" s="60">
        <f t="shared" si="19"/>
        <v>0</v>
      </c>
      <c r="D187" s="60">
        <f t="shared" si="15"/>
        <v>0</v>
      </c>
      <c r="E187" s="60">
        <f t="shared" si="16"/>
        <v>0</v>
      </c>
      <c r="F187" s="60">
        <f t="shared" si="17"/>
        <v>0</v>
      </c>
      <c r="G187" s="60">
        <f t="shared" si="18"/>
        <v>0</v>
      </c>
    </row>
    <row r="188" spans="1:7" x14ac:dyDescent="0.2">
      <c r="A188" s="60">
        <f t="shared" si="20"/>
        <v>174</v>
      </c>
      <c r="B188" s="59">
        <f t="shared" si="14"/>
        <v>174</v>
      </c>
      <c r="C188" s="60">
        <f t="shared" si="19"/>
        <v>0</v>
      </c>
      <c r="D188" s="60">
        <f t="shared" si="15"/>
        <v>0</v>
      </c>
      <c r="E188" s="60">
        <f t="shared" si="16"/>
        <v>0</v>
      </c>
      <c r="F188" s="60">
        <f t="shared" si="17"/>
        <v>0</v>
      </c>
      <c r="G188" s="60">
        <f t="shared" si="18"/>
        <v>0</v>
      </c>
    </row>
    <row r="189" spans="1:7" x14ac:dyDescent="0.2">
      <c r="A189" s="60">
        <f t="shared" si="20"/>
        <v>175</v>
      </c>
      <c r="B189" s="59">
        <f t="shared" si="14"/>
        <v>175</v>
      </c>
      <c r="C189" s="60">
        <f t="shared" si="19"/>
        <v>0</v>
      </c>
      <c r="D189" s="60">
        <f t="shared" si="15"/>
        <v>0</v>
      </c>
      <c r="E189" s="60">
        <f t="shared" si="16"/>
        <v>0</v>
      </c>
      <c r="F189" s="60">
        <f t="shared" si="17"/>
        <v>0</v>
      </c>
      <c r="G189" s="60">
        <f t="shared" si="18"/>
        <v>0</v>
      </c>
    </row>
    <row r="190" spans="1:7" x14ac:dyDescent="0.2">
      <c r="A190" s="60">
        <f t="shared" si="20"/>
        <v>176</v>
      </c>
      <c r="B190" s="59">
        <f t="shared" si="14"/>
        <v>176</v>
      </c>
      <c r="C190" s="60">
        <f t="shared" si="19"/>
        <v>0</v>
      </c>
      <c r="D190" s="60">
        <f t="shared" si="15"/>
        <v>0</v>
      </c>
      <c r="E190" s="60">
        <f t="shared" si="16"/>
        <v>0</v>
      </c>
      <c r="F190" s="60">
        <f t="shared" si="17"/>
        <v>0</v>
      </c>
      <c r="G190" s="60">
        <f t="shared" si="18"/>
        <v>0</v>
      </c>
    </row>
    <row r="191" spans="1:7" x14ac:dyDescent="0.2">
      <c r="A191" s="60">
        <f t="shared" si="20"/>
        <v>177</v>
      </c>
      <c r="B191" s="59">
        <f t="shared" si="14"/>
        <v>177</v>
      </c>
      <c r="C191" s="60">
        <f t="shared" si="19"/>
        <v>0</v>
      </c>
      <c r="D191" s="60">
        <f t="shared" si="15"/>
        <v>0</v>
      </c>
      <c r="E191" s="60">
        <f t="shared" si="16"/>
        <v>0</v>
      </c>
      <c r="F191" s="60">
        <f t="shared" si="17"/>
        <v>0</v>
      </c>
      <c r="G191" s="60">
        <f t="shared" si="18"/>
        <v>0</v>
      </c>
    </row>
    <row r="192" spans="1:7" x14ac:dyDescent="0.2">
      <c r="A192" s="60">
        <f t="shared" si="20"/>
        <v>178</v>
      </c>
      <c r="B192" s="59">
        <f t="shared" si="14"/>
        <v>178</v>
      </c>
      <c r="C192" s="60">
        <f t="shared" si="19"/>
        <v>0</v>
      </c>
      <c r="D192" s="60">
        <f t="shared" si="15"/>
        <v>0</v>
      </c>
      <c r="E192" s="60">
        <f t="shared" si="16"/>
        <v>0</v>
      </c>
      <c r="F192" s="60">
        <f t="shared" si="17"/>
        <v>0</v>
      </c>
      <c r="G192" s="60">
        <f t="shared" si="18"/>
        <v>0</v>
      </c>
    </row>
    <row r="193" spans="1:7" x14ac:dyDescent="0.2">
      <c r="A193" s="60">
        <f t="shared" si="20"/>
        <v>179</v>
      </c>
      <c r="B193" s="59">
        <f t="shared" si="14"/>
        <v>179</v>
      </c>
      <c r="C193" s="60">
        <f t="shared" si="19"/>
        <v>0</v>
      </c>
      <c r="D193" s="60">
        <f t="shared" si="15"/>
        <v>0</v>
      </c>
      <c r="E193" s="60">
        <f t="shared" si="16"/>
        <v>0</v>
      </c>
      <c r="F193" s="60">
        <f t="shared" si="17"/>
        <v>0</v>
      </c>
      <c r="G193" s="60">
        <f t="shared" si="18"/>
        <v>0</v>
      </c>
    </row>
    <row r="194" spans="1:7" x14ac:dyDescent="0.2">
      <c r="A194" s="60">
        <f t="shared" si="20"/>
        <v>180</v>
      </c>
      <c r="B194" s="59">
        <f t="shared" si="14"/>
        <v>180</v>
      </c>
      <c r="C194" s="60">
        <f t="shared" si="19"/>
        <v>0</v>
      </c>
      <c r="D194" s="60">
        <f t="shared" si="15"/>
        <v>0</v>
      </c>
      <c r="E194" s="60">
        <f t="shared" si="16"/>
        <v>0</v>
      </c>
      <c r="F194" s="60">
        <f t="shared" si="17"/>
        <v>0</v>
      </c>
      <c r="G194" s="60">
        <f t="shared" si="18"/>
        <v>0</v>
      </c>
    </row>
    <row r="195" spans="1:7" x14ac:dyDescent="0.2">
      <c r="A195" s="60">
        <f t="shared" si="20"/>
        <v>181</v>
      </c>
      <c r="B195" s="59">
        <f t="shared" si="14"/>
        <v>181</v>
      </c>
      <c r="C195" s="60">
        <f t="shared" si="19"/>
        <v>0</v>
      </c>
      <c r="D195" s="60">
        <f t="shared" si="15"/>
        <v>0</v>
      </c>
      <c r="E195" s="60">
        <f t="shared" si="16"/>
        <v>0</v>
      </c>
      <c r="F195" s="60">
        <f t="shared" si="17"/>
        <v>0</v>
      </c>
      <c r="G195" s="60">
        <f t="shared" si="18"/>
        <v>0</v>
      </c>
    </row>
    <row r="196" spans="1:7" x14ac:dyDescent="0.2">
      <c r="A196" s="60">
        <f t="shared" si="20"/>
        <v>182</v>
      </c>
      <c r="B196" s="59">
        <f t="shared" si="14"/>
        <v>182</v>
      </c>
      <c r="C196" s="60">
        <f t="shared" si="19"/>
        <v>0</v>
      </c>
      <c r="D196" s="60">
        <f t="shared" si="15"/>
        <v>0</v>
      </c>
      <c r="E196" s="60">
        <f t="shared" si="16"/>
        <v>0</v>
      </c>
      <c r="F196" s="60">
        <f t="shared" si="17"/>
        <v>0</v>
      </c>
      <c r="G196" s="60">
        <f t="shared" si="18"/>
        <v>0</v>
      </c>
    </row>
    <row r="197" spans="1:7" x14ac:dyDescent="0.2">
      <c r="A197" s="60">
        <f t="shared" si="20"/>
        <v>183</v>
      </c>
      <c r="B197" s="59">
        <f t="shared" si="14"/>
        <v>183</v>
      </c>
      <c r="C197" s="60">
        <f t="shared" si="19"/>
        <v>0</v>
      </c>
      <c r="D197" s="60">
        <f t="shared" si="15"/>
        <v>0</v>
      </c>
      <c r="E197" s="60">
        <f t="shared" si="16"/>
        <v>0</v>
      </c>
      <c r="F197" s="60">
        <f t="shared" si="17"/>
        <v>0</v>
      </c>
      <c r="G197" s="60">
        <f t="shared" si="18"/>
        <v>0</v>
      </c>
    </row>
    <row r="198" spans="1:7" x14ac:dyDescent="0.2">
      <c r="A198" s="60">
        <f t="shared" si="20"/>
        <v>184</v>
      </c>
      <c r="B198" s="59">
        <f t="shared" si="14"/>
        <v>184</v>
      </c>
      <c r="C198" s="60">
        <f t="shared" si="19"/>
        <v>0</v>
      </c>
      <c r="D198" s="60">
        <f t="shared" si="15"/>
        <v>0</v>
      </c>
      <c r="E198" s="60">
        <f t="shared" si="16"/>
        <v>0</v>
      </c>
      <c r="F198" s="60">
        <f t="shared" si="17"/>
        <v>0</v>
      </c>
      <c r="G198" s="60">
        <f t="shared" si="18"/>
        <v>0</v>
      </c>
    </row>
    <row r="199" spans="1:7" x14ac:dyDescent="0.2">
      <c r="A199" s="60">
        <f t="shared" si="20"/>
        <v>185</v>
      </c>
      <c r="B199" s="59">
        <f t="shared" si="14"/>
        <v>185</v>
      </c>
      <c r="C199" s="60">
        <f t="shared" si="19"/>
        <v>0</v>
      </c>
      <c r="D199" s="60">
        <f t="shared" si="15"/>
        <v>0</v>
      </c>
      <c r="E199" s="60">
        <f t="shared" si="16"/>
        <v>0</v>
      </c>
      <c r="F199" s="60">
        <f t="shared" si="17"/>
        <v>0</v>
      </c>
      <c r="G199" s="60">
        <f t="shared" si="18"/>
        <v>0</v>
      </c>
    </row>
    <row r="200" spans="1:7" x14ac:dyDescent="0.2">
      <c r="A200" s="60">
        <f t="shared" si="20"/>
        <v>186</v>
      </c>
      <c r="B200" s="59">
        <f t="shared" si="14"/>
        <v>186</v>
      </c>
      <c r="C200" s="60">
        <f t="shared" si="19"/>
        <v>0</v>
      </c>
      <c r="D200" s="60">
        <f t="shared" si="15"/>
        <v>0</v>
      </c>
      <c r="E200" s="60">
        <f t="shared" si="16"/>
        <v>0</v>
      </c>
      <c r="F200" s="60">
        <f t="shared" si="17"/>
        <v>0</v>
      </c>
      <c r="G200" s="60">
        <f t="shared" si="18"/>
        <v>0</v>
      </c>
    </row>
    <row r="201" spans="1:7" x14ac:dyDescent="0.2">
      <c r="A201" s="60">
        <f t="shared" si="20"/>
        <v>187</v>
      </c>
      <c r="B201" s="59">
        <f t="shared" si="14"/>
        <v>187</v>
      </c>
      <c r="C201" s="60">
        <f t="shared" si="19"/>
        <v>0</v>
      </c>
      <c r="D201" s="60">
        <f t="shared" si="15"/>
        <v>0</v>
      </c>
      <c r="E201" s="60">
        <f t="shared" si="16"/>
        <v>0</v>
      </c>
      <c r="F201" s="60">
        <f t="shared" si="17"/>
        <v>0</v>
      </c>
      <c r="G201" s="60">
        <f t="shared" si="18"/>
        <v>0</v>
      </c>
    </row>
    <row r="202" spans="1:7" x14ac:dyDescent="0.2">
      <c r="A202" s="60">
        <f t="shared" si="20"/>
        <v>188</v>
      </c>
      <c r="B202" s="59">
        <f t="shared" ref="B202:B265" si="21">+B201+1</f>
        <v>188</v>
      </c>
      <c r="C202" s="60">
        <f t="shared" si="19"/>
        <v>0</v>
      </c>
      <c r="D202" s="60">
        <f t="shared" si="15"/>
        <v>0</v>
      </c>
      <c r="E202" s="60">
        <f t="shared" si="16"/>
        <v>0</v>
      </c>
      <c r="F202" s="60">
        <f t="shared" si="17"/>
        <v>0</v>
      </c>
      <c r="G202" s="60">
        <f t="shared" si="18"/>
        <v>0</v>
      </c>
    </row>
    <row r="203" spans="1:7" x14ac:dyDescent="0.2">
      <c r="A203" s="60">
        <f t="shared" si="20"/>
        <v>189</v>
      </c>
      <c r="B203" s="59">
        <f t="shared" si="21"/>
        <v>189</v>
      </c>
      <c r="C203" s="60">
        <f t="shared" si="19"/>
        <v>0</v>
      </c>
      <c r="D203" s="60">
        <f t="shared" si="15"/>
        <v>0</v>
      </c>
      <c r="E203" s="60">
        <f t="shared" si="16"/>
        <v>0</v>
      </c>
      <c r="F203" s="60">
        <f t="shared" si="17"/>
        <v>0</v>
      </c>
      <c r="G203" s="60">
        <f t="shared" si="18"/>
        <v>0</v>
      </c>
    </row>
    <row r="204" spans="1:7" x14ac:dyDescent="0.2">
      <c r="A204" s="60">
        <f t="shared" si="20"/>
        <v>190</v>
      </c>
      <c r="B204" s="59">
        <f t="shared" si="21"/>
        <v>190</v>
      </c>
      <c r="C204" s="60">
        <f t="shared" si="19"/>
        <v>0</v>
      </c>
      <c r="D204" s="60">
        <f t="shared" si="15"/>
        <v>0</v>
      </c>
      <c r="E204" s="60">
        <f t="shared" si="16"/>
        <v>0</v>
      </c>
      <c r="F204" s="60">
        <f t="shared" si="17"/>
        <v>0</v>
      </c>
      <c r="G204" s="60">
        <f t="shared" si="18"/>
        <v>0</v>
      </c>
    </row>
    <row r="205" spans="1:7" x14ac:dyDescent="0.2">
      <c r="A205" s="60">
        <f t="shared" si="20"/>
        <v>191</v>
      </c>
      <c r="B205" s="59">
        <f t="shared" si="21"/>
        <v>191</v>
      </c>
      <c r="C205" s="60">
        <f t="shared" si="19"/>
        <v>0</v>
      </c>
      <c r="D205" s="60">
        <f t="shared" si="15"/>
        <v>0</v>
      </c>
      <c r="E205" s="60">
        <f t="shared" si="16"/>
        <v>0</v>
      </c>
      <c r="F205" s="60">
        <f t="shared" si="17"/>
        <v>0</v>
      </c>
      <c r="G205" s="60">
        <f t="shared" si="18"/>
        <v>0</v>
      </c>
    </row>
    <row r="206" spans="1:7" x14ac:dyDescent="0.2">
      <c r="A206" s="60">
        <f t="shared" si="20"/>
        <v>192</v>
      </c>
      <c r="B206" s="59">
        <f t="shared" si="21"/>
        <v>192</v>
      </c>
      <c r="C206" s="60">
        <f t="shared" si="19"/>
        <v>0</v>
      </c>
      <c r="D206" s="60">
        <f t="shared" si="15"/>
        <v>0</v>
      </c>
      <c r="E206" s="60">
        <f t="shared" si="16"/>
        <v>0</v>
      </c>
      <c r="F206" s="60">
        <f t="shared" si="17"/>
        <v>0</v>
      </c>
      <c r="G206" s="60">
        <f t="shared" si="18"/>
        <v>0</v>
      </c>
    </row>
    <row r="207" spans="1:7" x14ac:dyDescent="0.2">
      <c r="A207" s="60">
        <f t="shared" si="20"/>
        <v>193</v>
      </c>
      <c r="B207" s="59">
        <f t="shared" si="21"/>
        <v>193</v>
      </c>
      <c r="C207" s="60">
        <f t="shared" si="19"/>
        <v>0</v>
      </c>
      <c r="D207" s="60">
        <f t="shared" ref="D207:D270" si="22">IF(C207=0,0,IF(PV($G$6,$F$9-B207,-$F$10)&gt;0,PV($G$6,$F$9-B207,-$F$10),0))</f>
        <v>0</v>
      </c>
      <c r="E207" s="60">
        <f t="shared" ref="E207:E270" si="23">IF(C207=0,0,+$F$10)</f>
        <v>0</v>
      </c>
      <c r="F207" s="60">
        <f t="shared" ref="F207:F270" si="24">C207-D207</f>
        <v>0</v>
      </c>
      <c r="G207" s="60">
        <f t="shared" ref="G207:G270" si="25">E207-F207</f>
        <v>0</v>
      </c>
    </row>
    <row r="208" spans="1:7" x14ac:dyDescent="0.2">
      <c r="A208" s="60">
        <f t="shared" si="20"/>
        <v>194</v>
      </c>
      <c r="B208" s="59">
        <f t="shared" si="21"/>
        <v>194</v>
      </c>
      <c r="C208" s="60">
        <f t="shared" ref="C208:C271" si="26">D207</f>
        <v>0</v>
      </c>
      <c r="D208" s="60">
        <f t="shared" si="22"/>
        <v>0</v>
      </c>
      <c r="E208" s="60">
        <f t="shared" si="23"/>
        <v>0</v>
      </c>
      <c r="F208" s="60">
        <f t="shared" si="24"/>
        <v>0</v>
      </c>
      <c r="G208" s="60">
        <f t="shared" si="25"/>
        <v>0</v>
      </c>
    </row>
    <row r="209" spans="1:7" x14ac:dyDescent="0.2">
      <c r="A209" s="60">
        <f t="shared" si="20"/>
        <v>195</v>
      </c>
      <c r="B209" s="59">
        <f t="shared" si="21"/>
        <v>195</v>
      </c>
      <c r="C209" s="60">
        <f t="shared" si="26"/>
        <v>0</v>
      </c>
      <c r="D209" s="60">
        <f t="shared" si="22"/>
        <v>0</v>
      </c>
      <c r="E209" s="60">
        <f t="shared" si="23"/>
        <v>0</v>
      </c>
      <c r="F209" s="60">
        <f t="shared" si="24"/>
        <v>0</v>
      </c>
      <c r="G209" s="60">
        <f t="shared" si="25"/>
        <v>0</v>
      </c>
    </row>
    <row r="210" spans="1:7" x14ac:dyDescent="0.2">
      <c r="A210" s="60">
        <f t="shared" si="20"/>
        <v>196</v>
      </c>
      <c r="B210" s="59">
        <f t="shared" si="21"/>
        <v>196</v>
      </c>
      <c r="C210" s="60">
        <f t="shared" si="26"/>
        <v>0</v>
      </c>
      <c r="D210" s="60">
        <f t="shared" si="22"/>
        <v>0</v>
      </c>
      <c r="E210" s="60">
        <f t="shared" si="23"/>
        <v>0</v>
      </c>
      <c r="F210" s="60">
        <f t="shared" si="24"/>
        <v>0</v>
      </c>
      <c r="G210" s="60">
        <f t="shared" si="25"/>
        <v>0</v>
      </c>
    </row>
    <row r="211" spans="1:7" x14ac:dyDescent="0.2">
      <c r="A211" s="60">
        <f t="shared" si="20"/>
        <v>197</v>
      </c>
      <c r="B211" s="59">
        <f t="shared" si="21"/>
        <v>197</v>
      </c>
      <c r="C211" s="60">
        <f t="shared" si="26"/>
        <v>0</v>
      </c>
      <c r="D211" s="60">
        <f t="shared" si="22"/>
        <v>0</v>
      </c>
      <c r="E211" s="60">
        <f t="shared" si="23"/>
        <v>0</v>
      </c>
      <c r="F211" s="60">
        <f t="shared" si="24"/>
        <v>0</v>
      </c>
      <c r="G211" s="60">
        <f t="shared" si="25"/>
        <v>0</v>
      </c>
    </row>
    <row r="212" spans="1:7" x14ac:dyDescent="0.2">
      <c r="A212" s="60">
        <f t="shared" si="20"/>
        <v>198</v>
      </c>
      <c r="B212" s="59">
        <f t="shared" si="21"/>
        <v>198</v>
      </c>
      <c r="C212" s="60">
        <f t="shared" si="26"/>
        <v>0</v>
      </c>
      <c r="D212" s="60">
        <f t="shared" si="22"/>
        <v>0</v>
      </c>
      <c r="E212" s="60">
        <f t="shared" si="23"/>
        <v>0</v>
      </c>
      <c r="F212" s="60">
        <f t="shared" si="24"/>
        <v>0</v>
      </c>
      <c r="G212" s="60">
        <f t="shared" si="25"/>
        <v>0</v>
      </c>
    </row>
    <row r="213" spans="1:7" x14ac:dyDescent="0.2">
      <c r="A213" s="60">
        <f t="shared" si="20"/>
        <v>199</v>
      </c>
      <c r="B213" s="59">
        <f t="shared" si="21"/>
        <v>199</v>
      </c>
      <c r="C213" s="60">
        <f t="shared" si="26"/>
        <v>0</v>
      </c>
      <c r="D213" s="60">
        <f t="shared" si="22"/>
        <v>0</v>
      </c>
      <c r="E213" s="60">
        <f t="shared" si="23"/>
        <v>0</v>
      </c>
      <c r="F213" s="60">
        <f t="shared" si="24"/>
        <v>0</v>
      </c>
      <c r="G213" s="60">
        <f t="shared" si="25"/>
        <v>0</v>
      </c>
    </row>
    <row r="214" spans="1:7" x14ac:dyDescent="0.2">
      <c r="A214" s="60">
        <f t="shared" si="20"/>
        <v>200</v>
      </c>
      <c r="B214" s="59">
        <f t="shared" si="21"/>
        <v>200</v>
      </c>
      <c r="C214" s="60">
        <f t="shared" si="26"/>
        <v>0</v>
      </c>
      <c r="D214" s="60">
        <f t="shared" si="22"/>
        <v>0</v>
      </c>
      <c r="E214" s="60">
        <f t="shared" si="23"/>
        <v>0</v>
      </c>
      <c r="F214" s="60">
        <f t="shared" si="24"/>
        <v>0</v>
      </c>
      <c r="G214" s="60">
        <f t="shared" si="25"/>
        <v>0</v>
      </c>
    </row>
    <row r="215" spans="1:7" x14ac:dyDescent="0.2">
      <c r="A215" s="60">
        <f t="shared" si="20"/>
        <v>201</v>
      </c>
      <c r="B215" s="59">
        <f t="shared" si="21"/>
        <v>201</v>
      </c>
      <c r="C215" s="60">
        <f t="shared" si="26"/>
        <v>0</v>
      </c>
      <c r="D215" s="60">
        <f t="shared" si="22"/>
        <v>0</v>
      </c>
      <c r="E215" s="60">
        <f t="shared" si="23"/>
        <v>0</v>
      </c>
      <c r="F215" s="60">
        <f t="shared" si="24"/>
        <v>0</v>
      </c>
      <c r="G215" s="60">
        <f t="shared" si="25"/>
        <v>0</v>
      </c>
    </row>
    <row r="216" spans="1:7" x14ac:dyDescent="0.2">
      <c r="A216" s="60">
        <f t="shared" si="20"/>
        <v>202</v>
      </c>
      <c r="B216" s="59">
        <f t="shared" si="21"/>
        <v>202</v>
      </c>
      <c r="C216" s="60">
        <f t="shared" si="26"/>
        <v>0</v>
      </c>
      <c r="D216" s="60">
        <f t="shared" si="22"/>
        <v>0</v>
      </c>
      <c r="E216" s="60">
        <f t="shared" si="23"/>
        <v>0</v>
      </c>
      <c r="F216" s="60">
        <f t="shared" si="24"/>
        <v>0</v>
      </c>
      <c r="G216" s="60">
        <f t="shared" si="25"/>
        <v>0</v>
      </c>
    </row>
    <row r="217" spans="1:7" x14ac:dyDescent="0.2">
      <c r="A217" s="60">
        <f t="shared" si="20"/>
        <v>203</v>
      </c>
      <c r="B217" s="59">
        <f t="shared" si="21"/>
        <v>203</v>
      </c>
      <c r="C217" s="60">
        <f t="shared" si="26"/>
        <v>0</v>
      </c>
      <c r="D217" s="60">
        <f t="shared" si="22"/>
        <v>0</v>
      </c>
      <c r="E217" s="60">
        <f t="shared" si="23"/>
        <v>0</v>
      </c>
      <c r="F217" s="60">
        <f t="shared" si="24"/>
        <v>0</v>
      </c>
      <c r="G217" s="60">
        <f t="shared" si="25"/>
        <v>0</v>
      </c>
    </row>
    <row r="218" spans="1:7" x14ac:dyDescent="0.2">
      <c r="A218" s="60">
        <f t="shared" si="20"/>
        <v>204</v>
      </c>
      <c r="B218" s="59">
        <f t="shared" si="21"/>
        <v>204</v>
      </c>
      <c r="C218" s="60">
        <f t="shared" si="26"/>
        <v>0</v>
      </c>
      <c r="D218" s="60">
        <f t="shared" si="22"/>
        <v>0</v>
      </c>
      <c r="E218" s="60">
        <f t="shared" si="23"/>
        <v>0</v>
      </c>
      <c r="F218" s="60">
        <f t="shared" si="24"/>
        <v>0</v>
      </c>
      <c r="G218" s="60">
        <f t="shared" si="25"/>
        <v>0</v>
      </c>
    </row>
    <row r="219" spans="1:7" x14ac:dyDescent="0.2">
      <c r="A219" s="60">
        <f t="shared" ref="A219:A282" si="27">CEILING((B219/(12/$F$7)),1)</f>
        <v>205</v>
      </c>
      <c r="B219" s="59">
        <f t="shared" si="21"/>
        <v>205</v>
      </c>
      <c r="C219" s="60">
        <f t="shared" si="26"/>
        <v>0</v>
      </c>
      <c r="D219" s="60">
        <f t="shared" si="22"/>
        <v>0</v>
      </c>
      <c r="E219" s="60">
        <f t="shared" si="23"/>
        <v>0</v>
      </c>
      <c r="F219" s="60">
        <f t="shared" si="24"/>
        <v>0</v>
      </c>
      <c r="G219" s="60">
        <f t="shared" si="25"/>
        <v>0</v>
      </c>
    </row>
    <row r="220" spans="1:7" x14ac:dyDescent="0.2">
      <c r="A220" s="60">
        <f t="shared" si="27"/>
        <v>206</v>
      </c>
      <c r="B220" s="59">
        <f t="shared" si="21"/>
        <v>206</v>
      </c>
      <c r="C220" s="60">
        <f t="shared" si="26"/>
        <v>0</v>
      </c>
      <c r="D220" s="60">
        <f t="shared" si="22"/>
        <v>0</v>
      </c>
      <c r="E220" s="60">
        <f t="shared" si="23"/>
        <v>0</v>
      </c>
      <c r="F220" s="60">
        <f t="shared" si="24"/>
        <v>0</v>
      </c>
      <c r="G220" s="60">
        <f t="shared" si="25"/>
        <v>0</v>
      </c>
    </row>
    <row r="221" spans="1:7" x14ac:dyDescent="0.2">
      <c r="A221" s="60">
        <f t="shared" si="27"/>
        <v>207</v>
      </c>
      <c r="B221" s="59">
        <f t="shared" si="21"/>
        <v>207</v>
      </c>
      <c r="C221" s="60">
        <f t="shared" si="26"/>
        <v>0</v>
      </c>
      <c r="D221" s="60">
        <f t="shared" si="22"/>
        <v>0</v>
      </c>
      <c r="E221" s="60">
        <f t="shared" si="23"/>
        <v>0</v>
      </c>
      <c r="F221" s="60">
        <f t="shared" si="24"/>
        <v>0</v>
      </c>
      <c r="G221" s="60">
        <f t="shared" si="25"/>
        <v>0</v>
      </c>
    </row>
    <row r="222" spans="1:7" x14ac:dyDescent="0.2">
      <c r="A222" s="60">
        <f t="shared" si="27"/>
        <v>208</v>
      </c>
      <c r="B222" s="59">
        <f t="shared" si="21"/>
        <v>208</v>
      </c>
      <c r="C222" s="60">
        <f t="shared" si="26"/>
        <v>0</v>
      </c>
      <c r="D222" s="60">
        <f t="shared" si="22"/>
        <v>0</v>
      </c>
      <c r="E222" s="60">
        <f t="shared" si="23"/>
        <v>0</v>
      </c>
      <c r="F222" s="60">
        <f t="shared" si="24"/>
        <v>0</v>
      </c>
      <c r="G222" s="60">
        <f t="shared" si="25"/>
        <v>0</v>
      </c>
    </row>
    <row r="223" spans="1:7" x14ac:dyDescent="0.2">
      <c r="A223" s="60">
        <f t="shared" si="27"/>
        <v>209</v>
      </c>
      <c r="B223" s="59">
        <f t="shared" si="21"/>
        <v>209</v>
      </c>
      <c r="C223" s="60">
        <f t="shared" si="26"/>
        <v>0</v>
      </c>
      <c r="D223" s="60">
        <f t="shared" si="22"/>
        <v>0</v>
      </c>
      <c r="E223" s="60">
        <f t="shared" si="23"/>
        <v>0</v>
      </c>
      <c r="F223" s="60">
        <f t="shared" si="24"/>
        <v>0</v>
      </c>
      <c r="G223" s="60">
        <f t="shared" si="25"/>
        <v>0</v>
      </c>
    </row>
    <row r="224" spans="1:7" x14ac:dyDescent="0.2">
      <c r="A224" s="60">
        <f t="shared" si="27"/>
        <v>210</v>
      </c>
      <c r="B224" s="59">
        <f t="shared" si="21"/>
        <v>210</v>
      </c>
      <c r="C224" s="60">
        <f t="shared" si="26"/>
        <v>0</v>
      </c>
      <c r="D224" s="60">
        <f t="shared" si="22"/>
        <v>0</v>
      </c>
      <c r="E224" s="60">
        <f t="shared" si="23"/>
        <v>0</v>
      </c>
      <c r="F224" s="60">
        <f t="shared" si="24"/>
        <v>0</v>
      </c>
      <c r="G224" s="60">
        <f t="shared" si="25"/>
        <v>0</v>
      </c>
    </row>
    <row r="225" spans="1:7" x14ac:dyDescent="0.2">
      <c r="A225" s="60">
        <f t="shared" si="27"/>
        <v>211</v>
      </c>
      <c r="B225" s="59">
        <f t="shared" si="21"/>
        <v>211</v>
      </c>
      <c r="C225" s="60">
        <f t="shared" si="26"/>
        <v>0</v>
      </c>
      <c r="D225" s="60">
        <f t="shared" si="22"/>
        <v>0</v>
      </c>
      <c r="E225" s="60">
        <f t="shared" si="23"/>
        <v>0</v>
      </c>
      <c r="F225" s="60">
        <f t="shared" si="24"/>
        <v>0</v>
      </c>
      <c r="G225" s="60">
        <f t="shared" si="25"/>
        <v>0</v>
      </c>
    </row>
    <row r="226" spans="1:7" x14ac:dyDescent="0.2">
      <c r="A226" s="60">
        <f t="shared" si="27"/>
        <v>212</v>
      </c>
      <c r="B226" s="59">
        <f t="shared" si="21"/>
        <v>212</v>
      </c>
      <c r="C226" s="60">
        <f t="shared" si="26"/>
        <v>0</v>
      </c>
      <c r="D226" s="60">
        <f t="shared" si="22"/>
        <v>0</v>
      </c>
      <c r="E226" s="60">
        <f t="shared" si="23"/>
        <v>0</v>
      </c>
      <c r="F226" s="60">
        <f t="shared" si="24"/>
        <v>0</v>
      </c>
      <c r="G226" s="60">
        <f t="shared" si="25"/>
        <v>0</v>
      </c>
    </row>
    <row r="227" spans="1:7" x14ac:dyDescent="0.2">
      <c r="A227" s="60">
        <f t="shared" si="27"/>
        <v>213</v>
      </c>
      <c r="B227" s="59">
        <f t="shared" si="21"/>
        <v>213</v>
      </c>
      <c r="C227" s="60">
        <f t="shared" si="26"/>
        <v>0</v>
      </c>
      <c r="D227" s="60">
        <f t="shared" si="22"/>
        <v>0</v>
      </c>
      <c r="E227" s="60">
        <f t="shared" si="23"/>
        <v>0</v>
      </c>
      <c r="F227" s="60">
        <f t="shared" si="24"/>
        <v>0</v>
      </c>
      <c r="G227" s="60">
        <f t="shared" si="25"/>
        <v>0</v>
      </c>
    </row>
    <row r="228" spans="1:7" x14ac:dyDescent="0.2">
      <c r="A228" s="60">
        <f t="shared" si="27"/>
        <v>214</v>
      </c>
      <c r="B228" s="59">
        <f t="shared" si="21"/>
        <v>214</v>
      </c>
      <c r="C228" s="60">
        <f t="shared" si="26"/>
        <v>0</v>
      </c>
      <c r="D228" s="60">
        <f t="shared" si="22"/>
        <v>0</v>
      </c>
      <c r="E228" s="60">
        <f t="shared" si="23"/>
        <v>0</v>
      </c>
      <c r="F228" s="60">
        <f t="shared" si="24"/>
        <v>0</v>
      </c>
      <c r="G228" s="60">
        <f t="shared" si="25"/>
        <v>0</v>
      </c>
    </row>
    <row r="229" spans="1:7" x14ac:dyDescent="0.2">
      <c r="A229" s="60">
        <f t="shared" si="27"/>
        <v>215</v>
      </c>
      <c r="B229" s="59">
        <f t="shared" si="21"/>
        <v>215</v>
      </c>
      <c r="C229" s="60">
        <f t="shared" si="26"/>
        <v>0</v>
      </c>
      <c r="D229" s="60">
        <f t="shared" si="22"/>
        <v>0</v>
      </c>
      <c r="E229" s="60">
        <f t="shared" si="23"/>
        <v>0</v>
      </c>
      <c r="F229" s="60">
        <f t="shared" si="24"/>
        <v>0</v>
      </c>
      <c r="G229" s="60">
        <f t="shared" si="25"/>
        <v>0</v>
      </c>
    </row>
    <row r="230" spans="1:7" x14ac:dyDescent="0.2">
      <c r="A230" s="60">
        <f t="shared" si="27"/>
        <v>216</v>
      </c>
      <c r="B230" s="59">
        <f t="shared" si="21"/>
        <v>216</v>
      </c>
      <c r="C230" s="60">
        <f t="shared" si="26"/>
        <v>0</v>
      </c>
      <c r="D230" s="60">
        <f t="shared" si="22"/>
        <v>0</v>
      </c>
      <c r="E230" s="60">
        <f t="shared" si="23"/>
        <v>0</v>
      </c>
      <c r="F230" s="60">
        <f t="shared" si="24"/>
        <v>0</v>
      </c>
      <c r="G230" s="60">
        <f t="shared" si="25"/>
        <v>0</v>
      </c>
    </row>
    <row r="231" spans="1:7" x14ac:dyDescent="0.2">
      <c r="A231" s="60">
        <f t="shared" si="27"/>
        <v>217</v>
      </c>
      <c r="B231" s="59">
        <f t="shared" si="21"/>
        <v>217</v>
      </c>
      <c r="C231" s="60">
        <f t="shared" si="26"/>
        <v>0</v>
      </c>
      <c r="D231" s="60">
        <f t="shared" si="22"/>
        <v>0</v>
      </c>
      <c r="E231" s="60">
        <f t="shared" si="23"/>
        <v>0</v>
      </c>
      <c r="F231" s="60">
        <f t="shared" si="24"/>
        <v>0</v>
      </c>
      <c r="G231" s="60">
        <f t="shared" si="25"/>
        <v>0</v>
      </c>
    </row>
    <row r="232" spans="1:7" x14ac:dyDescent="0.2">
      <c r="A232" s="60">
        <f t="shared" si="27"/>
        <v>218</v>
      </c>
      <c r="B232" s="59">
        <f t="shared" si="21"/>
        <v>218</v>
      </c>
      <c r="C232" s="60">
        <f t="shared" si="26"/>
        <v>0</v>
      </c>
      <c r="D232" s="60">
        <f t="shared" si="22"/>
        <v>0</v>
      </c>
      <c r="E232" s="60">
        <f t="shared" si="23"/>
        <v>0</v>
      </c>
      <c r="F232" s="60">
        <f t="shared" si="24"/>
        <v>0</v>
      </c>
      <c r="G232" s="60">
        <f t="shared" si="25"/>
        <v>0</v>
      </c>
    </row>
    <row r="233" spans="1:7" x14ac:dyDescent="0.2">
      <c r="A233" s="60">
        <f t="shared" si="27"/>
        <v>219</v>
      </c>
      <c r="B233" s="59">
        <f t="shared" si="21"/>
        <v>219</v>
      </c>
      <c r="C233" s="60">
        <f t="shared" si="26"/>
        <v>0</v>
      </c>
      <c r="D233" s="60">
        <f t="shared" si="22"/>
        <v>0</v>
      </c>
      <c r="E233" s="60">
        <f t="shared" si="23"/>
        <v>0</v>
      </c>
      <c r="F233" s="60">
        <f t="shared" si="24"/>
        <v>0</v>
      </c>
      <c r="G233" s="60">
        <f t="shared" si="25"/>
        <v>0</v>
      </c>
    </row>
    <row r="234" spans="1:7" x14ac:dyDescent="0.2">
      <c r="A234" s="60">
        <f t="shared" si="27"/>
        <v>220</v>
      </c>
      <c r="B234" s="59">
        <f t="shared" si="21"/>
        <v>220</v>
      </c>
      <c r="C234" s="60">
        <f t="shared" si="26"/>
        <v>0</v>
      </c>
      <c r="D234" s="60">
        <f t="shared" si="22"/>
        <v>0</v>
      </c>
      <c r="E234" s="60">
        <f t="shared" si="23"/>
        <v>0</v>
      </c>
      <c r="F234" s="60">
        <f t="shared" si="24"/>
        <v>0</v>
      </c>
      <c r="G234" s="60">
        <f t="shared" si="25"/>
        <v>0</v>
      </c>
    </row>
    <row r="235" spans="1:7" x14ac:dyDescent="0.2">
      <c r="A235" s="60">
        <f t="shared" si="27"/>
        <v>221</v>
      </c>
      <c r="B235" s="59">
        <f t="shared" si="21"/>
        <v>221</v>
      </c>
      <c r="C235" s="60">
        <f t="shared" si="26"/>
        <v>0</v>
      </c>
      <c r="D235" s="60">
        <f t="shared" si="22"/>
        <v>0</v>
      </c>
      <c r="E235" s="60">
        <f t="shared" si="23"/>
        <v>0</v>
      </c>
      <c r="F235" s="60">
        <f t="shared" si="24"/>
        <v>0</v>
      </c>
      <c r="G235" s="60">
        <f t="shared" si="25"/>
        <v>0</v>
      </c>
    </row>
    <row r="236" spans="1:7" x14ac:dyDescent="0.2">
      <c r="A236" s="60">
        <f t="shared" si="27"/>
        <v>222</v>
      </c>
      <c r="B236" s="59">
        <f t="shared" si="21"/>
        <v>222</v>
      </c>
      <c r="C236" s="60">
        <f t="shared" si="26"/>
        <v>0</v>
      </c>
      <c r="D236" s="60">
        <f t="shared" si="22"/>
        <v>0</v>
      </c>
      <c r="E236" s="60">
        <f t="shared" si="23"/>
        <v>0</v>
      </c>
      <c r="F236" s="60">
        <f t="shared" si="24"/>
        <v>0</v>
      </c>
      <c r="G236" s="60">
        <f t="shared" si="25"/>
        <v>0</v>
      </c>
    </row>
    <row r="237" spans="1:7" x14ac:dyDescent="0.2">
      <c r="A237" s="60">
        <f t="shared" si="27"/>
        <v>223</v>
      </c>
      <c r="B237" s="59">
        <f t="shared" si="21"/>
        <v>223</v>
      </c>
      <c r="C237" s="60">
        <f t="shared" si="26"/>
        <v>0</v>
      </c>
      <c r="D237" s="60">
        <f t="shared" si="22"/>
        <v>0</v>
      </c>
      <c r="E237" s="60">
        <f t="shared" si="23"/>
        <v>0</v>
      </c>
      <c r="F237" s="60">
        <f t="shared" si="24"/>
        <v>0</v>
      </c>
      <c r="G237" s="60">
        <f t="shared" si="25"/>
        <v>0</v>
      </c>
    </row>
    <row r="238" spans="1:7" x14ac:dyDescent="0.2">
      <c r="A238" s="60">
        <f t="shared" si="27"/>
        <v>224</v>
      </c>
      <c r="B238" s="59">
        <f t="shared" si="21"/>
        <v>224</v>
      </c>
      <c r="C238" s="60">
        <f t="shared" si="26"/>
        <v>0</v>
      </c>
      <c r="D238" s="60">
        <f t="shared" si="22"/>
        <v>0</v>
      </c>
      <c r="E238" s="60">
        <f t="shared" si="23"/>
        <v>0</v>
      </c>
      <c r="F238" s="60">
        <f t="shared" si="24"/>
        <v>0</v>
      </c>
      <c r="G238" s="60">
        <f t="shared" si="25"/>
        <v>0</v>
      </c>
    </row>
    <row r="239" spans="1:7" x14ac:dyDescent="0.2">
      <c r="A239" s="60">
        <f t="shared" si="27"/>
        <v>225</v>
      </c>
      <c r="B239" s="59">
        <f t="shared" si="21"/>
        <v>225</v>
      </c>
      <c r="C239" s="60">
        <f t="shared" si="26"/>
        <v>0</v>
      </c>
      <c r="D239" s="60">
        <f t="shared" si="22"/>
        <v>0</v>
      </c>
      <c r="E239" s="60">
        <f t="shared" si="23"/>
        <v>0</v>
      </c>
      <c r="F239" s="60">
        <f t="shared" si="24"/>
        <v>0</v>
      </c>
      <c r="G239" s="60">
        <f t="shared" si="25"/>
        <v>0</v>
      </c>
    </row>
    <row r="240" spans="1:7" x14ac:dyDescent="0.2">
      <c r="A240" s="60">
        <f t="shared" si="27"/>
        <v>226</v>
      </c>
      <c r="B240" s="59">
        <f t="shared" si="21"/>
        <v>226</v>
      </c>
      <c r="C240" s="60">
        <f t="shared" si="26"/>
        <v>0</v>
      </c>
      <c r="D240" s="60">
        <f t="shared" si="22"/>
        <v>0</v>
      </c>
      <c r="E240" s="60">
        <f t="shared" si="23"/>
        <v>0</v>
      </c>
      <c r="F240" s="60">
        <f t="shared" si="24"/>
        <v>0</v>
      </c>
      <c r="G240" s="60">
        <f t="shared" si="25"/>
        <v>0</v>
      </c>
    </row>
    <row r="241" spans="1:7" x14ac:dyDescent="0.2">
      <c r="A241" s="60">
        <f t="shared" si="27"/>
        <v>227</v>
      </c>
      <c r="B241" s="59">
        <f t="shared" si="21"/>
        <v>227</v>
      </c>
      <c r="C241" s="60">
        <f t="shared" si="26"/>
        <v>0</v>
      </c>
      <c r="D241" s="60">
        <f t="shared" si="22"/>
        <v>0</v>
      </c>
      <c r="E241" s="60">
        <f t="shared" si="23"/>
        <v>0</v>
      </c>
      <c r="F241" s="60">
        <f t="shared" si="24"/>
        <v>0</v>
      </c>
      <c r="G241" s="60">
        <f t="shared" si="25"/>
        <v>0</v>
      </c>
    </row>
    <row r="242" spans="1:7" x14ac:dyDescent="0.2">
      <c r="A242" s="60">
        <f t="shared" si="27"/>
        <v>228</v>
      </c>
      <c r="B242" s="59">
        <f t="shared" si="21"/>
        <v>228</v>
      </c>
      <c r="C242" s="60">
        <f t="shared" si="26"/>
        <v>0</v>
      </c>
      <c r="D242" s="60">
        <f t="shared" si="22"/>
        <v>0</v>
      </c>
      <c r="E242" s="60">
        <f t="shared" si="23"/>
        <v>0</v>
      </c>
      <c r="F242" s="60">
        <f t="shared" si="24"/>
        <v>0</v>
      </c>
      <c r="G242" s="60">
        <f t="shared" si="25"/>
        <v>0</v>
      </c>
    </row>
    <row r="243" spans="1:7" x14ac:dyDescent="0.2">
      <c r="A243" s="60">
        <f t="shared" si="27"/>
        <v>229</v>
      </c>
      <c r="B243" s="59">
        <f t="shared" si="21"/>
        <v>229</v>
      </c>
      <c r="C243" s="60">
        <f t="shared" si="26"/>
        <v>0</v>
      </c>
      <c r="D243" s="60">
        <f t="shared" si="22"/>
        <v>0</v>
      </c>
      <c r="E243" s="60">
        <f t="shared" si="23"/>
        <v>0</v>
      </c>
      <c r="F243" s="60">
        <f t="shared" si="24"/>
        <v>0</v>
      </c>
      <c r="G243" s="60">
        <f t="shared" si="25"/>
        <v>0</v>
      </c>
    </row>
    <row r="244" spans="1:7" x14ac:dyDescent="0.2">
      <c r="A244" s="60">
        <f t="shared" si="27"/>
        <v>230</v>
      </c>
      <c r="B244" s="59">
        <f t="shared" si="21"/>
        <v>230</v>
      </c>
      <c r="C244" s="60">
        <f t="shared" si="26"/>
        <v>0</v>
      </c>
      <c r="D244" s="60">
        <f t="shared" si="22"/>
        <v>0</v>
      </c>
      <c r="E244" s="60">
        <f t="shared" si="23"/>
        <v>0</v>
      </c>
      <c r="F244" s="60">
        <f t="shared" si="24"/>
        <v>0</v>
      </c>
      <c r="G244" s="60">
        <f t="shared" si="25"/>
        <v>0</v>
      </c>
    </row>
    <row r="245" spans="1:7" x14ac:dyDescent="0.2">
      <c r="A245" s="60">
        <f t="shared" si="27"/>
        <v>231</v>
      </c>
      <c r="B245" s="59">
        <f t="shared" si="21"/>
        <v>231</v>
      </c>
      <c r="C245" s="60">
        <f t="shared" si="26"/>
        <v>0</v>
      </c>
      <c r="D245" s="60">
        <f t="shared" si="22"/>
        <v>0</v>
      </c>
      <c r="E245" s="60">
        <f t="shared" si="23"/>
        <v>0</v>
      </c>
      <c r="F245" s="60">
        <f t="shared" si="24"/>
        <v>0</v>
      </c>
      <c r="G245" s="60">
        <f t="shared" si="25"/>
        <v>0</v>
      </c>
    </row>
    <row r="246" spans="1:7" x14ac:dyDescent="0.2">
      <c r="A246" s="60">
        <f t="shared" si="27"/>
        <v>232</v>
      </c>
      <c r="B246" s="59">
        <f t="shared" si="21"/>
        <v>232</v>
      </c>
      <c r="C246" s="60">
        <f t="shared" si="26"/>
        <v>0</v>
      </c>
      <c r="D246" s="60">
        <f t="shared" si="22"/>
        <v>0</v>
      </c>
      <c r="E246" s="60">
        <f t="shared" si="23"/>
        <v>0</v>
      </c>
      <c r="F246" s="60">
        <f t="shared" si="24"/>
        <v>0</v>
      </c>
      <c r="G246" s="60">
        <f t="shared" si="25"/>
        <v>0</v>
      </c>
    </row>
    <row r="247" spans="1:7" x14ac:dyDescent="0.2">
      <c r="A247" s="60">
        <f t="shared" si="27"/>
        <v>233</v>
      </c>
      <c r="B247" s="59">
        <f t="shared" si="21"/>
        <v>233</v>
      </c>
      <c r="C247" s="60">
        <f t="shared" si="26"/>
        <v>0</v>
      </c>
      <c r="D247" s="60">
        <f t="shared" si="22"/>
        <v>0</v>
      </c>
      <c r="E247" s="60">
        <f t="shared" si="23"/>
        <v>0</v>
      </c>
      <c r="F247" s="60">
        <f t="shared" si="24"/>
        <v>0</v>
      </c>
      <c r="G247" s="60">
        <f t="shared" si="25"/>
        <v>0</v>
      </c>
    </row>
    <row r="248" spans="1:7" x14ac:dyDescent="0.2">
      <c r="A248" s="60">
        <f t="shared" si="27"/>
        <v>234</v>
      </c>
      <c r="B248" s="59">
        <f t="shared" si="21"/>
        <v>234</v>
      </c>
      <c r="C248" s="60">
        <f t="shared" si="26"/>
        <v>0</v>
      </c>
      <c r="D248" s="60">
        <f t="shared" si="22"/>
        <v>0</v>
      </c>
      <c r="E248" s="60">
        <f t="shared" si="23"/>
        <v>0</v>
      </c>
      <c r="F248" s="60">
        <f t="shared" si="24"/>
        <v>0</v>
      </c>
      <c r="G248" s="60">
        <f t="shared" si="25"/>
        <v>0</v>
      </c>
    </row>
    <row r="249" spans="1:7" x14ac:dyDescent="0.2">
      <c r="A249" s="60">
        <f t="shared" si="27"/>
        <v>235</v>
      </c>
      <c r="B249" s="59">
        <f t="shared" si="21"/>
        <v>235</v>
      </c>
      <c r="C249" s="60">
        <f t="shared" si="26"/>
        <v>0</v>
      </c>
      <c r="D249" s="60">
        <f t="shared" si="22"/>
        <v>0</v>
      </c>
      <c r="E249" s="60">
        <f t="shared" si="23"/>
        <v>0</v>
      </c>
      <c r="F249" s="60">
        <f t="shared" si="24"/>
        <v>0</v>
      </c>
      <c r="G249" s="60">
        <f t="shared" si="25"/>
        <v>0</v>
      </c>
    </row>
    <row r="250" spans="1:7" x14ac:dyDescent="0.2">
      <c r="A250" s="60">
        <f t="shared" si="27"/>
        <v>236</v>
      </c>
      <c r="B250" s="59">
        <f t="shared" si="21"/>
        <v>236</v>
      </c>
      <c r="C250" s="60">
        <f t="shared" si="26"/>
        <v>0</v>
      </c>
      <c r="D250" s="60">
        <f t="shared" si="22"/>
        <v>0</v>
      </c>
      <c r="E250" s="60">
        <f t="shared" si="23"/>
        <v>0</v>
      </c>
      <c r="F250" s="60">
        <f t="shared" si="24"/>
        <v>0</v>
      </c>
      <c r="G250" s="60">
        <f t="shared" si="25"/>
        <v>0</v>
      </c>
    </row>
    <row r="251" spans="1:7" x14ac:dyDescent="0.2">
      <c r="A251" s="60">
        <f t="shared" si="27"/>
        <v>237</v>
      </c>
      <c r="B251" s="59">
        <f t="shared" si="21"/>
        <v>237</v>
      </c>
      <c r="C251" s="60">
        <f t="shared" si="26"/>
        <v>0</v>
      </c>
      <c r="D251" s="60">
        <f t="shared" si="22"/>
        <v>0</v>
      </c>
      <c r="E251" s="60">
        <f t="shared" si="23"/>
        <v>0</v>
      </c>
      <c r="F251" s="60">
        <f t="shared" si="24"/>
        <v>0</v>
      </c>
      <c r="G251" s="60">
        <f t="shared" si="25"/>
        <v>0</v>
      </c>
    </row>
    <row r="252" spans="1:7" x14ac:dyDescent="0.2">
      <c r="A252" s="60">
        <f t="shared" si="27"/>
        <v>238</v>
      </c>
      <c r="B252" s="59">
        <f t="shared" si="21"/>
        <v>238</v>
      </c>
      <c r="C252" s="60">
        <f t="shared" si="26"/>
        <v>0</v>
      </c>
      <c r="D252" s="60">
        <f t="shared" si="22"/>
        <v>0</v>
      </c>
      <c r="E252" s="60">
        <f t="shared" si="23"/>
        <v>0</v>
      </c>
      <c r="F252" s="60">
        <f t="shared" si="24"/>
        <v>0</v>
      </c>
      <c r="G252" s="60">
        <f t="shared" si="25"/>
        <v>0</v>
      </c>
    </row>
    <row r="253" spans="1:7" x14ac:dyDescent="0.2">
      <c r="A253" s="60">
        <f t="shared" si="27"/>
        <v>239</v>
      </c>
      <c r="B253" s="59">
        <f t="shared" si="21"/>
        <v>239</v>
      </c>
      <c r="C253" s="60">
        <f t="shared" si="26"/>
        <v>0</v>
      </c>
      <c r="D253" s="60">
        <f t="shared" si="22"/>
        <v>0</v>
      </c>
      <c r="E253" s="60">
        <f t="shared" si="23"/>
        <v>0</v>
      </c>
      <c r="F253" s="60">
        <f t="shared" si="24"/>
        <v>0</v>
      </c>
      <c r="G253" s="60">
        <f t="shared" si="25"/>
        <v>0</v>
      </c>
    </row>
    <row r="254" spans="1:7" x14ac:dyDescent="0.2">
      <c r="A254" s="60">
        <f t="shared" si="27"/>
        <v>240</v>
      </c>
      <c r="B254" s="59">
        <f t="shared" si="21"/>
        <v>240</v>
      </c>
      <c r="C254" s="60">
        <f t="shared" si="26"/>
        <v>0</v>
      </c>
      <c r="D254" s="60">
        <f t="shared" si="22"/>
        <v>0</v>
      </c>
      <c r="E254" s="60">
        <f t="shared" si="23"/>
        <v>0</v>
      </c>
      <c r="F254" s="60">
        <f t="shared" si="24"/>
        <v>0</v>
      </c>
      <c r="G254" s="60">
        <f t="shared" si="25"/>
        <v>0</v>
      </c>
    </row>
    <row r="255" spans="1:7" x14ac:dyDescent="0.2">
      <c r="A255" s="60">
        <f t="shared" si="27"/>
        <v>241</v>
      </c>
      <c r="B255" s="59">
        <f t="shared" si="21"/>
        <v>241</v>
      </c>
      <c r="C255" s="60">
        <f t="shared" si="26"/>
        <v>0</v>
      </c>
      <c r="D255" s="60">
        <f t="shared" si="22"/>
        <v>0</v>
      </c>
      <c r="E255" s="60">
        <f t="shared" si="23"/>
        <v>0</v>
      </c>
      <c r="F255" s="60">
        <f t="shared" si="24"/>
        <v>0</v>
      </c>
      <c r="G255" s="60">
        <f t="shared" si="25"/>
        <v>0</v>
      </c>
    </row>
    <row r="256" spans="1:7" x14ac:dyDescent="0.2">
      <c r="A256" s="60">
        <f t="shared" si="27"/>
        <v>242</v>
      </c>
      <c r="B256" s="59">
        <f t="shared" si="21"/>
        <v>242</v>
      </c>
      <c r="C256" s="60">
        <f t="shared" si="26"/>
        <v>0</v>
      </c>
      <c r="D256" s="60">
        <f t="shared" si="22"/>
        <v>0</v>
      </c>
      <c r="E256" s="60">
        <f t="shared" si="23"/>
        <v>0</v>
      </c>
      <c r="F256" s="60">
        <f t="shared" si="24"/>
        <v>0</v>
      </c>
      <c r="G256" s="60">
        <f t="shared" si="25"/>
        <v>0</v>
      </c>
    </row>
    <row r="257" spans="1:7" x14ac:dyDescent="0.2">
      <c r="A257" s="60">
        <f t="shared" si="27"/>
        <v>243</v>
      </c>
      <c r="B257" s="59">
        <f t="shared" si="21"/>
        <v>243</v>
      </c>
      <c r="C257" s="60">
        <f t="shared" si="26"/>
        <v>0</v>
      </c>
      <c r="D257" s="60">
        <f t="shared" si="22"/>
        <v>0</v>
      </c>
      <c r="E257" s="60">
        <f t="shared" si="23"/>
        <v>0</v>
      </c>
      <c r="F257" s="60">
        <f t="shared" si="24"/>
        <v>0</v>
      </c>
      <c r="G257" s="60">
        <f t="shared" si="25"/>
        <v>0</v>
      </c>
    </row>
    <row r="258" spans="1:7" x14ac:dyDescent="0.2">
      <c r="A258" s="60">
        <f t="shared" si="27"/>
        <v>244</v>
      </c>
      <c r="B258" s="59">
        <f t="shared" si="21"/>
        <v>244</v>
      </c>
      <c r="C258" s="60">
        <f t="shared" si="26"/>
        <v>0</v>
      </c>
      <c r="D258" s="60">
        <f t="shared" si="22"/>
        <v>0</v>
      </c>
      <c r="E258" s="60">
        <f t="shared" si="23"/>
        <v>0</v>
      </c>
      <c r="F258" s="60">
        <f t="shared" si="24"/>
        <v>0</v>
      </c>
      <c r="G258" s="60">
        <f t="shared" si="25"/>
        <v>0</v>
      </c>
    </row>
    <row r="259" spans="1:7" x14ac:dyDescent="0.2">
      <c r="A259" s="60">
        <f t="shared" si="27"/>
        <v>245</v>
      </c>
      <c r="B259" s="59">
        <f t="shared" si="21"/>
        <v>245</v>
      </c>
      <c r="C259" s="60">
        <f t="shared" si="26"/>
        <v>0</v>
      </c>
      <c r="D259" s="60">
        <f t="shared" si="22"/>
        <v>0</v>
      </c>
      <c r="E259" s="60">
        <f t="shared" si="23"/>
        <v>0</v>
      </c>
      <c r="F259" s="60">
        <f t="shared" si="24"/>
        <v>0</v>
      </c>
      <c r="G259" s="60">
        <f t="shared" si="25"/>
        <v>0</v>
      </c>
    </row>
    <row r="260" spans="1:7" x14ac:dyDescent="0.2">
      <c r="A260" s="60">
        <f t="shared" si="27"/>
        <v>246</v>
      </c>
      <c r="B260" s="59">
        <f t="shared" si="21"/>
        <v>246</v>
      </c>
      <c r="C260" s="60">
        <f t="shared" si="26"/>
        <v>0</v>
      </c>
      <c r="D260" s="60">
        <f t="shared" si="22"/>
        <v>0</v>
      </c>
      <c r="E260" s="60">
        <f t="shared" si="23"/>
        <v>0</v>
      </c>
      <c r="F260" s="60">
        <f t="shared" si="24"/>
        <v>0</v>
      </c>
      <c r="G260" s="60">
        <f t="shared" si="25"/>
        <v>0</v>
      </c>
    </row>
    <row r="261" spans="1:7" x14ac:dyDescent="0.2">
      <c r="A261" s="60">
        <f t="shared" si="27"/>
        <v>247</v>
      </c>
      <c r="B261" s="59">
        <f t="shared" si="21"/>
        <v>247</v>
      </c>
      <c r="C261" s="60">
        <f t="shared" si="26"/>
        <v>0</v>
      </c>
      <c r="D261" s="60">
        <f t="shared" si="22"/>
        <v>0</v>
      </c>
      <c r="E261" s="60">
        <f t="shared" si="23"/>
        <v>0</v>
      </c>
      <c r="F261" s="60">
        <f t="shared" si="24"/>
        <v>0</v>
      </c>
      <c r="G261" s="60">
        <f t="shared" si="25"/>
        <v>0</v>
      </c>
    </row>
    <row r="262" spans="1:7" x14ac:dyDescent="0.2">
      <c r="A262" s="60">
        <f t="shared" si="27"/>
        <v>248</v>
      </c>
      <c r="B262" s="59">
        <f t="shared" si="21"/>
        <v>248</v>
      </c>
      <c r="C262" s="60">
        <f t="shared" si="26"/>
        <v>0</v>
      </c>
      <c r="D262" s="60">
        <f t="shared" si="22"/>
        <v>0</v>
      </c>
      <c r="E262" s="60">
        <f t="shared" si="23"/>
        <v>0</v>
      </c>
      <c r="F262" s="60">
        <f t="shared" si="24"/>
        <v>0</v>
      </c>
      <c r="G262" s="60">
        <f t="shared" si="25"/>
        <v>0</v>
      </c>
    </row>
    <row r="263" spans="1:7" x14ac:dyDescent="0.2">
      <c r="A263" s="60">
        <f t="shared" si="27"/>
        <v>249</v>
      </c>
      <c r="B263" s="59">
        <f t="shared" si="21"/>
        <v>249</v>
      </c>
      <c r="C263" s="60">
        <f t="shared" si="26"/>
        <v>0</v>
      </c>
      <c r="D263" s="60">
        <f t="shared" si="22"/>
        <v>0</v>
      </c>
      <c r="E263" s="60">
        <f t="shared" si="23"/>
        <v>0</v>
      </c>
      <c r="F263" s="60">
        <f t="shared" si="24"/>
        <v>0</v>
      </c>
      <c r="G263" s="60">
        <f t="shared" si="25"/>
        <v>0</v>
      </c>
    </row>
    <row r="264" spans="1:7" x14ac:dyDescent="0.2">
      <c r="A264" s="60">
        <f t="shared" si="27"/>
        <v>250</v>
      </c>
      <c r="B264" s="59">
        <f t="shared" si="21"/>
        <v>250</v>
      </c>
      <c r="C264" s="60">
        <f t="shared" si="26"/>
        <v>0</v>
      </c>
      <c r="D264" s="60">
        <f t="shared" si="22"/>
        <v>0</v>
      </c>
      <c r="E264" s="60">
        <f t="shared" si="23"/>
        <v>0</v>
      </c>
      <c r="F264" s="60">
        <f t="shared" si="24"/>
        <v>0</v>
      </c>
      <c r="G264" s="60">
        <f t="shared" si="25"/>
        <v>0</v>
      </c>
    </row>
    <row r="265" spans="1:7" x14ac:dyDescent="0.2">
      <c r="A265" s="60">
        <f t="shared" si="27"/>
        <v>251</v>
      </c>
      <c r="B265" s="59">
        <f t="shared" si="21"/>
        <v>251</v>
      </c>
      <c r="C265" s="60">
        <f t="shared" si="26"/>
        <v>0</v>
      </c>
      <c r="D265" s="60">
        <f t="shared" si="22"/>
        <v>0</v>
      </c>
      <c r="E265" s="60">
        <f t="shared" si="23"/>
        <v>0</v>
      </c>
      <c r="F265" s="60">
        <f t="shared" si="24"/>
        <v>0</v>
      </c>
      <c r="G265" s="60">
        <f t="shared" si="25"/>
        <v>0</v>
      </c>
    </row>
    <row r="266" spans="1:7" x14ac:dyDescent="0.2">
      <c r="A266" s="60">
        <f t="shared" si="27"/>
        <v>252</v>
      </c>
      <c r="B266" s="59">
        <f t="shared" ref="B266:B329" si="28">+B265+1</f>
        <v>252</v>
      </c>
      <c r="C266" s="60">
        <f t="shared" si="26"/>
        <v>0</v>
      </c>
      <c r="D266" s="60">
        <f t="shared" si="22"/>
        <v>0</v>
      </c>
      <c r="E266" s="60">
        <f t="shared" si="23"/>
        <v>0</v>
      </c>
      <c r="F266" s="60">
        <f t="shared" si="24"/>
        <v>0</v>
      </c>
      <c r="G266" s="60">
        <f t="shared" si="25"/>
        <v>0</v>
      </c>
    </row>
    <row r="267" spans="1:7" x14ac:dyDescent="0.2">
      <c r="A267" s="60">
        <f t="shared" si="27"/>
        <v>253</v>
      </c>
      <c r="B267" s="59">
        <f t="shared" si="28"/>
        <v>253</v>
      </c>
      <c r="C267" s="60">
        <f t="shared" si="26"/>
        <v>0</v>
      </c>
      <c r="D267" s="60">
        <f t="shared" si="22"/>
        <v>0</v>
      </c>
      <c r="E267" s="60">
        <f t="shared" si="23"/>
        <v>0</v>
      </c>
      <c r="F267" s="60">
        <f t="shared" si="24"/>
        <v>0</v>
      </c>
      <c r="G267" s="60">
        <f t="shared" si="25"/>
        <v>0</v>
      </c>
    </row>
    <row r="268" spans="1:7" x14ac:dyDescent="0.2">
      <c r="A268" s="60">
        <f t="shared" si="27"/>
        <v>254</v>
      </c>
      <c r="B268" s="59">
        <f t="shared" si="28"/>
        <v>254</v>
      </c>
      <c r="C268" s="60">
        <f t="shared" si="26"/>
        <v>0</v>
      </c>
      <c r="D268" s="60">
        <f t="shared" si="22"/>
        <v>0</v>
      </c>
      <c r="E268" s="60">
        <f t="shared" si="23"/>
        <v>0</v>
      </c>
      <c r="F268" s="60">
        <f t="shared" si="24"/>
        <v>0</v>
      </c>
      <c r="G268" s="60">
        <f t="shared" si="25"/>
        <v>0</v>
      </c>
    </row>
    <row r="269" spans="1:7" x14ac:dyDescent="0.2">
      <c r="A269" s="60">
        <f t="shared" si="27"/>
        <v>255</v>
      </c>
      <c r="B269" s="59">
        <f t="shared" si="28"/>
        <v>255</v>
      </c>
      <c r="C269" s="60">
        <f t="shared" si="26"/>
        <v>0</v>
      </c>
      <c r="D269" s="60">
        <f t="shared" si="22"/>
        <v>0</v>
      </c>
      <c r="E269" s="60">
        <f t="shared" si="23"/>
        <v>0</v>
      </c>
      <c r="F269" s="60">
        <f t="shared" si="24"/>
        <v>0</v>
      </c>
      <c r="G269" s="60">
        <f t="shared" si="25"/>
        <v>0</v>
      </c>
    </row>
    <row r="270" spans="1:7" x14ac:dyDescent="0.2">
      <c r="A270" s="60">
        <f t="shared" si="27"/>
        <v>256</v>
      </c>
      <c r="B270" s="59">
        <f t="shared" si="28"/>
        <v>256</v>
      </c>
      <c r="C270" s="60">
        <f t="shared" si="26"/>
        <v>0</v>
      </c>
      <c r="D270" s="60">
        <f t="shared" si="22"/>
        <v>0</v>
      </c>
      <c r="E270" s="60">
        <f t="shared" si="23"/>
        <v>0</v>
      </c>
      <c r="F270" s="60">
        <f t="shared" si="24"/>
        <v>0</v>
      </c>
      <c r="G270" s="60">
        <f t="shared" si="25"/>
        <v>0</v>
      </c>
    </row>
    <row r="271" spans="1:7" x14ac:dyDescent="0.2">
      <c r="A271" s="60">
        <f t="shared" si="27"/>
        <v>257</v>
      </c>
      <c r="B271" s="59">
        <f t="shared" si="28"/>
        <v>257</v>
      </c>
      <c r="C271" s="60">
        <f t="shared" si="26"/>
        <v>0</v>
      </c>
      <c r="D271" s="60">
        <f t="shared" ref="D271:D334" si="29">IF(C271=0,0,IF(PV($G$6,$F$9-B271,-$F$10)&gt;0,PV($G$6,$F$9-B271,-$F$10),0))</f>
        <v>0</v>
      </c>
      <c r="E271" s="60">
        <f t="shared" ref="E271:E334" si="30">IF(C271=0,0,+$F$10)</f>
        <v>0</v>
      </c>
      <c r="F271" s="60">
        <f t="shared" ref="F271:F334" si="31">C271-D271</f>
        <v>0</v>
      </c>
      <c r="G271" s="60">
        <f t="shared" ref="G271:G334" si="32">E271-F271</f>
        <v>0</v>
      </c>
    </row>
    <row r="272" spans="1:7" x14ac:dyDescent="0.2">
      <c r="A272" s="60">
        <f t="shared" si="27"/>
        <v>258</v>
      </c>
      <c r="B272" s="59">
        <f t="shared" si="28"/>
        <v>258</v>
      </c>
      <c r="C272" s="60">
        <f t="shared" ref="C272:C335" si="33">D271</f>
        <v>0</v>
      </c>
      <c r="D272" s="60">
        <f t="shared" si="29"/>
        <v>0</v>
      </c>
      <c r="E272" s="60">
        <f t="shared" si="30"/>
        <v>0</v>
      </c>
      <c r="F272" s="60">
        <f t="shared" si="31"/>
        <v>0</v>
      </c>
      <c r="G272" s="60">
        <f t="shared" si="32"/>
        <v>0</v>
      </c>
    </row>
    <row r="273" spans="1:7" x14ac:dyDescent="0.2">
      <c r="A273" s="60">
        <f t="shared" si="27"/>
        <v>259</v>
      </c>
      <c r="B273" s="59">
        <f t="shared" si="28"/>
        <v>259</v>
      </c>
      <c r="C273" s="60">
        <f t="shared" si="33"/>
        <v>0</v>
      </c>
      <c r="D273" s="60">
        <f t="shared" si="29"/>
        <v>0</v>
      </c>
      <c r="E273" s="60">
        <f t="shared" si="30"/>
        <v>0</v>
      </c>
      <c r="F273" s="60">
        <f t="shared" si="31"/>
        <v>0</v>
      </c>
      <c r="G273" s="60">
        <f t="shared" si="32"/>
        <v>0</v>
      </c>
    </row>
    <row r="274" spans="1:7" x14ac:dyDescent="0.2">
      <c r="A274" s="60">
        <f t="shared" si="27"/>
        <v>260</v>
      </c>
      <c r="B274" s="59">
        <f t="shared" si="28"/>
        <v>260</v>
      </c>
      <c r="C274" s="60">
        <f t="shared" si="33"/>
        <v>0</v>
      </c>
      <c r="D274" s="60">
        <f t="shared" si="29"/>
        <v>0</v>
      </c>
      <c r="E274" s="60">
        <f t="shared" si="30"/>
        <v>0</v>
      </c>
      <c r="F274" s="60">
        <f t="shared" si="31"/>
        <v>0</v>
      </c>
      <c r="G274" s="60">
        <f t="shared" si="32"/>
        <v>0</v>
      </c>
    </row>
    <row r="275" spans="1:7" x14ac:dyDescent="0.2">
      <c r="A275" s="60">
        <f t="shared" si="27"/>
        <v>261</v>
      </c>
      <c r="B275" s="59">
        <f t="shared" si="28"/>
        <v>261</v>
      </c>
      <c r="C275" s="60">
        <f t="shared" si="33"/>
        <v>0</v>
      </c>
      <c r="D275" s="60">
        <f t="shared" si="29"/>
        <v>0</v>
      </c>
      <c r="E275" s="60">
        <f t="shared" si="30"/>
        <v>0</v>
      </c>
      <c r="F275" s="60">
        <f t="shared" si="31"/>
        <v>0</v>
      </c>
      <c r="G275" s="60">
        <f t="shared" si="32"/>
        <v>0</v>
      </c>
    </row>
    <row r="276" spans="1:7" x14ac:dyDescent="0.2">
      <c r="A276" s="60">
        <f t="shared" si="27"/>
        <v>262</v>
      </c>
      <c r="B276" s="59">
        <f t="shared" si="28"/>
        <v>262</v>
      </c>
      <c r="C276" s="60">
        <f t="shared" si="33"/>
        <v>0</v>
      </c>
      <c r="D276" s="60">
        <f t="shared" si="29"/>
        <v>0</v>
      </c>
      <c r="E276" s="60">
        <f t="shared" si="30"/>
        <v>0</v>
      </c>
      <c r="F276" s="60">
        <f t="shared" si="31"/>
        <v>0</v>
      </c>
      <c r="G276" s="60">
        <f t="shared" si="32"/>
        <v>0</v>
      </c>
    </row>
    <row r="277" spans="1:7" x14ac:dyDescent="0.2">
      <c r="A277" s="60">
        <f t="shared" si="27"/>
        <v>263</v>
      </c>
      <c r="B277" s="59">
        <f t="shared" si="28"/>
        <v>263</v>
      </c>
      <c r="C277" s="60">
        <f t="shared" si="33"/>
        <v>0</v>
      </c>
      <c r="D277" s="60">
        <f t="shared" si="29"/>
        <v>0</v>
      </c>
      <c r="E277" s="60">
        <f t="shared" si="30"/>
        <v>0</v>
      </c>
      <c r="F277" s="60">
        <f t="shared" si="31"/>
        <v>0</v>
      </c>
      <c r="G277" s="60">
        <f t="shared" si="32"/>
        <v>0</v>
      </c>
    </row>
    <row r="278" spans="1:7" x14ac:dyDescent="0.2">
      <c r="A278" s="60">
        <f t="shared" si="27"/>
        <v>264</v>
      </c>
      <c r="B278" s="59">
        <f t="shared" si="28"/>
        <v>264</v>
      </c>
      <c r="C278" s="60">
        <f t="shared" si="33"/>
        <v>0</v>
      </c>
      <c r="D278" s="60">
        <f t="shared" si="29"/>
        <v>0</v>
      </c>
      <c r="E278" s="60">
        <f t="shared" si="30"/>
        <v>0</v>
      </c>
      <c r="F278" s="60">
        <f t="shared" si="31"/>
        <v>0</v>
      </c>
      <c r="G278" s="60">
        <f t="shared" si="32"/>
        <v>0</v>
      </c>
    </row>
    <row r="279" spans="1:7" x14ac:dyDescent="0.2">
      <c r="A279" s="60">
        <f t="shared" si="27"/>
        <v>265</v>
      </c>
      <c r="B279" s="59">
        <f t="shared" si="28"/>
        <v>265</v>
      </c>
      <c r="C279" s="60">
        <f t="shared" si="33"/>
        <v>0</v>
      </c>
      <c r="D279" s="60">
        <f t="shared" si="29"/>
        <v>0</v>
      </c>
      <c r="E279" s="60">
        <f t="shared" si="30"/>
        <v>0</v>
      </c>
      <c r="F279" s="60">
        <f t="shared" si="31"/>
        <v>0</v>
      </c>
      <c r="G279" s="60">
        <f t="shared" si="32"/>
        <v>0</v>
      </c>
    </row>
    <row r="280" spans="1:7" x14ac:dyDescent="0.2">
      <c r="A280" s="60">
        <f t="shared" si="27"/>
        <v>266</v>
      </c>
      <c r="B280" s="59">
        <f t="shared" si="28"/>
        <v>266</v>
      </c>
      <c r="C280" s="60">
        <f t="shared" si="33"/>
        <v>0</v>
      </c>
      <c r="D280" s="60">
        <f t="shared" si="29"/>
        <v>0</v>
      </c>
      <c r="E280" s="60">
        <f t="shared" si="30"/>
        <v>0</v>
      </c>
      <c r="F280" s="60">
        <f t="shared" si="31"/>
        <v>0</v>
      </c>
      <c r="G280" s="60">
        <f t="shared" si="32"/>
        <v>0</v>
      </c>
    </row>
    <row r="281" spans="1:7" x14ac:dyDescent="0.2">
      <c r="A281" s="60">
        <f t="shared" si="27"/>
        <v>267</v>
      </c>
      <c r="B281" s="59">
        <f t="shared" si="28"/>
        <v>267</v>
      </c>
      <c r="C281" s="60">
        <f t="shared" si="33"/>
        <v>0</v>
      </c>
      <c r="D281" s="60">
        <f t="shared" si="29"/>
        <v>0</v>
      </c>
      <c r="E281" s="60">
        <f t="shared" si="30"/>
        <v>0</v>
      </c>
      <c r="F281" s="60">
        <f t="shared" si="31"/>
        <v>0</v>
      </c>
      <c r="G281" s="60">
        <f t="shared" si="32"/>
        <v>0</v>
      </c>
    </row>
    <row r="282" spans="1:7" x14ac:dyDescent="0.2">
      <c r="A282" s="60">
        <f t="shared" si="27"/>
        <v>268</v>
      </c>
      <c r="B282" s="59">
        <f t="shared" si="28"/>
        <v>268</v>
      </c>
      <c r="C282" s="60">
        <f t="shared" si="33"/>
        <v>0</v>
      </c>
      <c r="D282" s="60">
        <f t="shared" si="29"/>
        <v>0</v>
      </c>
      <c r="E282" s="60">
        <f t="shared" si="30"/>
        <v>0</v>
      </c>
      <c r="F282" s="60">
        <f t="shared" si="31"/>
        <v>0</v>
      </c>
      <c r="G282" s="60">
        <f t="shared" si="32"/>
        <v>0</v>
      </c>
    </row>
    <row r="283" spans="1:7" x14ac:dyDescent="0.2">
      <c r="A283" s="60">
        <f t="shared" ref="A283:A346" si="34">CEILING((B283/(12/$F$7)),1)</f>
        <v>269</v>
      </c>
      <c r="B283" s="59">
        <f t="shared" si="28"/>
        <v>269</v>
      </c>
      <c r="C283" s="60">
        <f t="shared" si="33"/>
        <v>0</v>
      </c>
      <c r="D283" s="60">
        <f t="shared" si="29"/>
        <v>0</v>
      </c>
      <c r="E283" s="60">
        <f t="shared" si="30"/>
        <v>0</v>
      </c>
      <c r="F283" s="60">
        <f t="shared" si="31"/>
        <v>0</v>
      </c>
      <c r="G283" s="60">
        <f t="shared" si="32"/>
        <v>0</v>
      </c>
    </row>
    <row r="284" spans="1:7" x14ac:dyDescent="0.2">
      <c r="A284" s="60">
        <f t="shared" si="34"/>
        <v>270</v>
      </c>
      <c r="B284" s="59">
        <f t="shared" si="28"/>
        <v>270</v>
      </c>
      <c r="C284" s="60">
        <f t="shared" si="33"/>
        <v>0</v>
      </c>
      <c r="D284" s="60">
        <f t="shared" si="29"/>
        <v>0</v>
      </c>
      <c r="E284" s="60">
        <f t="shared" si="30"/>
        <v>0</v>
      </c>
      <c r="F284" s="60">
        <f t="shared" si="31"/>
        <v>0</v>
      </c>
      <c r="G284" s="60">
        <f t="shared" si="32"/>
        <v>0</v>
      </c>
    </row>
    <row r="285" spans="1:7" x14ac:dyDescent="0.2">
      <c r="A285" s="60">
        <f t="shared" si="34"/>
        <v>271</v>
      </c>
      <c r="B285" s="59">
        <f t="shared" si="28"/>
        <v>271</v>
      </c>
      <c r="C285" s="60">
        <f t="shared" si="33"/>
        <v>0</v>
      </c>
      <c r="D285" s="60">
        <f t="shared" si="29"/>
        <v>0</v>
      </c>
      <c r="E285" s="60">
        <f t="shared" si="30"/>
        <v>0</v>
      </c>
      <c r="F285" s="60">
        <f t="shared" si="31"/>
        <v>0</v>
      </c>
      <c r="G285" s="60">
        <f t="shared" si="32"/>
        <v>0</v>
      </c>
    </row>
    <row r="286" spans="1:7" x14ac:dyDescent="0.2">
      <c r="A286" s="60">
        <f t="shared" si="34"/>
        <v>272</v>
      </c>
      <c r="B286" s="59">
        <f t="shared" si="28"/>
        <v>272</v>
      </c>
      <c r="C286" s="60">
        <f t="shared" si="33"/>
        <v>0</v>
      </c>
      <c r="D286" s="60">
        <f t="shared" si="29"/>
        <v>0</v>
      </c>
      <c r="E286" s="60">
        <f t="shared" si="30"/>
        <v>0</v>
      </c>
      <c r="F286" s="60">
        <f t="shared" si="31"/>
        <v>0</v>
      </c>
      <c r="G286" s="60">
        <f t="shared" si="32"/>
        <v>0</v>
      </c>
    </row>
    <row r="287" spans="1:7" x14ac:dyDescent="0.2">
      <c r="A287" s="60">
        <f t="shared" si="34"/>
        <v>273</v>
      </c>
      <c r="B287" s="59">
        <f t="shared" si="28"/>
        <v>273</v>
      </c>
      <c r="C287" s="60">
        <f t="shared" si="33"/>
        <v>0</v>
      </c>
      <c r="D287" s="60">
        <f t="shared" si="29"/>
        <v>0</v>
      </c>
      <c r="E287" s="60">
        <f t="shared" si="30"/>
        <v>0</v>
      </c>
      <c r="F287" s="60">
        <f t="shared" si="31"/>
        <v>0</v>
      </c>
      <c r="G287" s="60">
        <f t="shared" si="32"/>
        <v>0</v>
      </c>
    </row>
    <row r="288" spans="1:7" x14ac:dyDescent="0.2">
      <c r="A288" s="60">
        <f t="shared" si="34"/>
        <v>274</v>
      </c>
      <c r="B288" s="59">
        <f t="shared" si="28"/>
        <v>274</v>
      </c>
      <c r="C288" s="60">
        <f t="shared" si="33"/>
        <v>0</v>
      </c>
      <c r="D288" s="60">
        <f t="shared" si="29"/>
        <v>0</v>
      </c>
      <c r="E288" s="60">
        <f t="shared" si="30"/>
        <v>0</v>
      </c>
      <c r="F288" s="60">
        <f t="shared" si="31"/>
        <v>0</v>
      </c>
      <c r="G288" s="60">
        <f t="shared" si="32"/>
        <v>0</v>
      </c>
    </row>
    <row r="289" spans="1:7" x14ac:dyDescent="0.2">
      <c r="A289" s="60">
        <f t="shared" si="34"/>
        <v>275</v>
      </c>
      <c r="B289" s="59">
        <f t="shared" si="28"/>
        <v>275</v>
      </c>
      <c r="C289" s="60">
        <f t="shared" si="33"/>
        <v>0</v>
      </c>
      <c r="D289" s="60">
        <f t="shared" si="29"/>
        <v>0</v>
      </c>
      <c r="E289" s="60">
        <f t="shared" si="30"/>
        <v>0</v>
      </c>
      <c r="F289" s="60">
        <f t="shared" si="31"/>
        <v>0</v>
      </c>
      <c r="G289" s="60">
        <f t="shared" si="32"/>
        <v>0</v>
      </c>
    </row>
    <row r="290" spans="1:7" x14ac:dyDescent="0.2">
      <c r="A290" s="60">
        <f t="shared" si="34"/>
        <v>276</v>
      </c>
      <c r="B290" s="59">
        <f t="shared" si="28"/>
        <v>276</v>
      </c>
      <c r="C290" s="60">
        <f t="shared" si="33"/>
        <v>0</v>
      </c>
      <c r="D290" s="60">
        <f t="shared" si="29"/>
        <v>0</v>
      </c>
      <c r="E290" s="60">
        <f t="shared" si="30"/>
        <v>0</v>
      </c>
      <c r="F290" s="60">
        <f t="shared" si="31"/>
        <v>0</v>
      </c>
      <c r="G290" s="60">
        <f t="shared" si="32"/>
        <v>0</v>
      </c>
    </row>
    <row r="291" spans="1:7" x14ac:dyDescent="0.2">
      <c r="A291" s="60">
        <f t="shared" si="34"/>
        <v>277</v>
      </c>
      <c r="B291" s="59">
        <f t="shared" si="28"/>
        <v>277</v>
      </c>
      <c r="C291" s="60">
        <f t="shared" si="33"/>
        <v>0</v>
      </c>
      <c r="D291" s="60">
        <f t="shared" si="29"/>
        <v>0</v>
      </c>
      <c r="E291" s="60">
        <f t="shared" si="30"/>
        <v>0</v>
      </c>
      <c r="F291" s="60">
        <f t="shared" si="31"/>
        <v>0</v>
      </c>
      <c r="G291" s="60">
        <f t="shared" si="32"/>
        <v>0</v>
      </c>
    </row>
    <row r="292" spans="1:7" x14ac:dyDescent="0.2">
      <c r="A292" s="60">
        <f t="shared" si="34"/>
        <v>278</v>
      </c>
      <c r="B292" s="59">
        <f t="shared" si="28"/>
        <v>278</v>
      </c>
      <c r="C292" s="60">
        <f t="shared" si="33"/>
        <v>0</v>
      </c>
      <c r="D292" s="60">
        <f t="shared" si="29"/>
        <v>0</v>
      </c>
      <c r="E292" s="60">
        <f t="shared" si="30"/>
        <v>0</v>
      </c>
      <c r="F292" s="60">
        <f t="shared" si="31"/>
        <v>0</v>
      </c>
      <c r="G292" s="60">
        <f t="shared" si="32"/>
        <v>0</v>
      </c>
    </row>
    <row r="293" spans="1:7" x14ac:dyDescent="0.2">
      <c r="A293" s="60">
        <f t="shared" si="34"/>
        <v>279</v>
      </c>
      <c r="B293" s="59">
        <f t="shared" si="28"/>
        <v>279</v>
      </c>
      <c r="C293" s="60">
        <f t="shared" si="33"/>
        <v>0</v>
      </c>
      <c r="D293" s="60">
        <f t="shared" si="29"/>
        <v>0</v>
      </c>
      <c r="E293" s="60">
        <f t="shared" si="30"/>
        <v>0</v>
      </c>
      <c r="F293" s="60">
        <f t="shared" si="31"/>
        <v>0</v>
      </c>
      <c r="G293" s="60">
        <f t="shared" si="32"/>
        <v>0</v>
      </c>
    </row>
    <row r="294" spans="1:7" x14ac:dyDescent="0.2">
      <c r="A294" s="60">
        <f t="shared" si="34"/>
        <v>280</v>
      </c>
      <c r="B294" s="59">
        <f t="shared" si="28"/>
        <v>280</v>
      </c>
      <c r="C294" s="60">
        <f t="shared" si="33"/>
        <v>0</v>
      </c>
      <c r="D294" s="60">
        <f t="shared" si="29"/>
        <v>0</v>
      </c>
      <c r="E294" s="60">
        <f t="shared" si="30"/>
        <v>0</v>
      </c>
      <c r="F294" s="60">
        <f t="shared" si="31"/>
        <v>0</v>
      </c>
      <c r="G294" s="60">
        <f t="shared" si="32"/>
        <v>0</v>
      </c>
    </row>
    <row r="295" spans="1:7" x14ac:dyDescent="0.2">
      <c r="A295" s="60">
        <f t="shared" si="34"/>
        <v>281</v>
      </c>
      <c r="B295" s="59">
        <f t="shared" si="28"/>
        <v>281</v>
      </c>
      <c r="C295" s="60">
        <f t="shared" si="33"/>
        <v>0</v>
      </c>
      <c r="D295" s="60">
        <f t="shared" si="29"/>
        <v>0</v>
      </c>
      <c r="E295" s="60">
        <f t="shared" si="30"/>
        <v>0</v>
      </c>
      <c r="F295" s="60">
        <f t="shared" si="31"/>
        <v>0</v>
      </c>
      <c r="G295" s="60">
        <f t="shared" si="32"/>
        <v>0</v>
      </c>
    </row>
    <row r="296" spans="1:7" x14ac:dyDescent="0.2">
      <c r="A296" s="60">
        <f t="shared" si="34"/>
        <v>282</v>
      </c>
      <c r="B296" s="59">
        <f t="shared" si="28"/>
        <v>282</v>
      </c>
      <c r="C296" s="60">
        <f t="shared" si="33"/>
        <v>0</v>
      </c>
      <c r="D296" s="60">
        <f t="shared" si="29"/>
        <v>0</v>
      </c>
      <c r="E296" s="60">
        <f t="shared" si="30"/>
        <v>0</v>
      </c>
      <c r="F296" s="60">
        <f t="shared" si="31"/>
        <v>0</v>
      </c>
      <c r="G296" s="60">
        <f t="shared" si="32"/>
        <v>0</v>
      </c>
    </row>
    <row r="297" spans="1:7" x14ac:dyDescent="0.2">
      <c r="A297" s="60">
        <f t="shared" si="34"/>
        <v>283</v>
      </c>
      <c r="B297" s="59">
        <f t="shared" si="28"/>
        <v>283</v>
      </c>
      <c r="C297" s="60">
        <f t="shared" si="33"/>
        <v>0</v>
      </c>
      <c r="D297" s="60">
        <f t="shared" si="29"/>
        <v>0</v>
      </c>
      <c r="E297" s="60">
        <f t="shared" si="30"/>
        <v>0</v>
      </c>
      <c r="F297" s="60">
        <f t="shared" si="31"/>
        <v>0</v>
      </c>
      <c r="G297" s="60">
        <f t="shared" si="32"/>
        <v>0</v>
      </c>
    </row>
    <row r="298" spans="1:7" x14ac:dyDescent="0.2">
      <c r="A298" s="60">
        <f t="shared" si="34"/>
        <v>284</v>
      </c>
      <c r="B298" s="59">
        <f t="shared" si="28"/>
        <v>284</v>
      </c>
      <c r="C298" s="60">
        <f t="shared" si="33"/>
        <v>0</v>
      </c>
      <c r="D298" s="60">
        <f t="shared" si="29"/>
        <v>0</v>
      </c>
      <c r="E298" s="60">
        <f t="shared" si="30"/>
        <v>0</v>
      </c>
      <c r="F298" s="60">
        <f t="shared" si="31"/>
        <v>0</v>
      </c>
      <c r="G298" s="60">
        <f t="shared" si="32"/>
        <v>0</v>
      </c>
    </row>
    <row r="299" spans="1:7" x14ac:dyDescent="0.2">
      <c r="A299" s="60">
        <f t="shared" si="34"/>
        <v>285</v>
      </c>
      <c r="B299" s="59">
        <f t="shared" si="28"/>
        <v>285</v>
      </c>
      <c r="C299" s="60">
        <f t="shared" si="33"/>
        <v>0</v>
      </c>
      <c r="D299" s="60">
        <f t="shared" si="29"/>
        <v>0</v>
      </c>
      <c r="E299" s="60">
        <f t="shared" si="30"/>
        <v>0</v>
      </c>
      <c r="F299" s="60">
        <f t="shared" si="31"/>
        <v>0</v>
      </c>
      <c r="G299" s="60">
        <f t="shared" si="32"/>
        <v>0</v>
      </c>
    </row>
    <row r="300" spans="1:7" x14ac:dyDescent="0.2">
      <c r="A300" s="60">
        <f t="shared" si="34"/>
        <v>286</v>
      </c>
      <c r="B300" s="59">
        <f t="shared" si="28"/>
        <v>286</v>
      </c>
      <c r="C300" s="60">
        <f t="shared" si="33"/>
        <v>0</v>
      </c>
      <c r="D300" s="60">
        <f t="shared" si="29"/>
        <v>0</v>
      </c>
      <c r="E300" s="60">
        <f t="shared" si="30"/>
        <v>0</v>
      </c>
      <c r="F300" s="60">
        <f t="shared" si="31"/>
        <v>0</v>
      </c>
      <c r="G300" s="60">
        <f t="shared" si="32"/>
        <v>0</v>
      </c>
    </row>
    <row r="301" spans="1:7" x14ac:dyDescent="0.2">
      <c r="A301" s="60">
        <f t="shared" si="34"/>
        <v>287</v>
      </c>
      <c r="B301" s="59">
        <f t="shared" si="28"/>
        <v>287</v>
      </c>
      <c r="C301" s="60">
        <f t="shared" si="33"/>
        <v>0</v>
      </c>
      <c r="D301" s="60">
        <f t="shared" si="29"/>
        <v>0</v>
      </c>
      <c r="E301" s="60">
        <f t="shared" si="30"/>
        <v>0</v>
      </c>
      <c r="F301" s="60">
        <f t="shared" si="31"/>
        <v>0</v>
      </c>
      <c r="G301" s="60">
        <f t="shared" si="32"/>
        <v>0</v>
      </c>
    </row>
    <row r="302" spans="1:7" x14ac:dyDescent="0.2">
      <c r="A302" s="60">
        <f t="shared" si="34"/>
        <v>288</v>
      </c>
      <c r="B302" s="59">
        <f t="shared" si="28"/>
        <v>288</v>
      </c>
      <c r="C302" s="60">
        <f t="shared" si="33"/>
        <v>0</v>
      </c>
      <c r="D302" s="60">
        <f t="shared" si="29"/>
        <v>0</v>
      </c>
      <c r="E302" s="60">
        <f t="shared" si="30"/>
        <v>0</v>
      </c>
      <c r="F302" s="60">
        <f t="shared" si="31"/>
        <v>0</v>
      </c>
      <c r="G302" s="60">
        <f t="shared" si="32"/>
        <v>0</v>
      </c>
    </row>
    <row r="303" spans="1:7" x14ac:dyDescent="0.2">
      <c r="A303" s="60">
        <f t="shared" si="34"/>
        <v>289</v>
      </c>
      <c r="B303" s="59">
        <f t="shared" si="28"/>
        <v>289</v>
      </c>
      <c r="C303" s="60">
        <f t="shared" si="33"/>
        <v>0</v>
      </c>
      <c r="D303" s="60">
        <f t="shared" si="29"/>
        <v>0</v>
      </c>
      <c r="E303" s="60">
        <f t="shared" si="30"/>
        <v>0</v>
      </c>
      <c r="F303" s="60">
        <f t="shared" si="31"/>
        <v>0</v>
      </c>
      <c r="G303" s="60">
        <f t="shared" si="32"/>
        <v>0</v>
      </c>
    </row>
    <row r="304" spans="1:7" x14ac:dyDescent="0.2">
      <c r="A304" s="60">
        <f t="shared" si="34"/>
        <v>290</v>
      </c>
      <c r="B304" s="59">
        <f t="shared" si="28"/>
        <v>290</v>
      </c>
      <c r="C304" s="60">
        <f t="shared" si="33"/>
        <v>0</v>
      </c>
      <c r="D304" s="60">
        <f t="shared" si="29"/>
        <v>0</v>
      </c>
      <c r="E304" s="60">
        <f t="shared" si="30"/>
        <v>0</v>
      </c>
      <c r="F304" s="60">
        <f t="shared" si="31"/>
        <v>0</v>
      </c>
      <c r="G304" s="60">
        <f t="shared" si="32"/>
        <v>0</v>
      </c>
    </row>
    <row r="305" spans="1:7" x14ac:dyDescent="0.2">
      <c r="A305" s="60">
        <f t="shared" si="34"/>
        <v>291</v>
      </c>
      <c r="B305" s="59">
        <f t="shared" si="28"/>
        <v>291</v>
      </c>
      <c r="C305" s="60">
        <f t="shared" si="33"/>
        <v>0</v>
      </c>
      <c r="D305" s="60">
        <f t="shared" si="29"/>
        <v>0</v>
      </c>
      <c r="E305" s="60">
        <f t="shared" si="30"/>
        <v>0</v>
      </c>
      <c r="F305" s="60">
        <f t="shared" si="31"/>
        <v>0</v>
      </c>
      <c r="G305" s="60">
        <f t="shared" si="32"/>
        <v>0</v>
      </c>
    </row>
    <row r="306" spans="1:7" x14ac:dyDescent="0.2">
      <c r="A306" s="60">
        <f t="shared" si="34"/>
        <v>292</v>
      </c>
      <c r="B306" s="59">
        <f t="shared" si="28"/>
        <v>292</v>
      </c>
      <c r="C306" s="60">
        <f t="shared" si="33"/>
        <v>0</v>
      </c>
      <c r="D306" s="60">
        <f t="shared" si="29"/>
        <v>0</v>
      </c>
      <c r="E306" s="60">
        <f t="shared" si="30"/>
        <v>0</v>
      </c>
      <c r="F306" s="60">
        <f t="shared" si="31"/>
        <v>0</v>
      </c>
      <c r="G306" s="60">
        <f t="shared" si="32"/>
        <v>0</v>
      </c>
    </row>
    <row r="307" spans="1:7" x14ac:dyDescent="0.2">
      <c r="A307" s="60">
        <f t="shared" si="34"/>
        <v>293</v>
      </c>
      <c r="B307" s="59">
        <f t="shared" si="28"/>
        <v>293</v>
      </c>
      <c r="C307" s="60">
        <f t="shared" si="33"/>
        <v>0</v>
      </c>
      <c r="D307" s="60">
        <f t="shared" si="29"/>
        <v>0</v>
      </c>
      <c r="E307" s="60">
        <f t="shared" si="30"/>
        <v>0</v>
      </c>
      <c r="F307" s="60">
        <f t="shared" si="31"/>
        <v>0</v>
      </c>
      <c r="G307" s="60">
        <f t="shared" si="32"/>
        <v>0</v>
      </c>
    </row>
    <row r="308" spans="1:7" x14ac:dyDescent="0.2">
      <c r="A308" s="60">
        <f t="shared" si="34"/>
        <v>294</v>
      </c>
      <c r="B308" s="59">
        <f t="shared" si="28"/>
        <v>294</v>
      </c>
      <c r="C308" s="60">
        <f t="shared" si="33"/>
        <v>0</v>
      </c>
      <c r="D308" s="60">
        <f t="shared" si="29"/>
        <v>0</v>
      </c>
      <c r="E308" s="60">
        <f t="shared" si="30"/>
        <v>0</v>
      </c>
      <c r="F308" s="60">
        <f t="shared" si="31"/>
        <v>0</v>
      </c>
      <c r="G308" s="60">
        <f t="shared" si="32"/>
        <v>0</v>
      </c>
    </row>
    <row r="309" spans="1:7" x14ac:dyDescent="0.2">
      <c r="A309" s="60">
        <f t="shared" si="34"/>
        <v>295</v>
      </c>
      <c r="B309" s="59">
        <f t="shared" si="28"/>
        <v>295</v>
      </c>
      <c r="C309" s="60">
        <f t="shared" si="33"/>
        <v>0</v>
      </c>
      <c r="D309" s="60">
        <f t="shared" si="29"/>
        <v>0</v>
      </c>
      <c r="E309" s="60">
        <f t="shared" si="30"/>
        <v>0</v>
      </c>
      <c r="F309" s="60">
        <f t="shared" si="31"/>
        <v>0</v>
      </c>
      <c r="G309" s="60">
        <f t="shared" si="32"/>
        <v>0</v>
      </c>
    </row>
    <row r="310" spans="1:7" x14ac:dyDescent="0.2">
      <c r="A310" s="60">
        <f t="shared" si="34"/>
        <v>296</v>
      </c>
      <c r="B310" s="59">
        <f t="shared" si="28"/>
        <v>296</v>
      </c>
      <c r="C310" s="60">
        <f t="shared" si="33"/>
        <v>0</v>
      </c>
      <c r="D310" s="60">
        <f t="shared" si="29"/>
        <v>0</v>
      </c>
      <c r="E310" s="60">
        <f t="shared" si="30"/>
        <v>0</v>
      </c>
      <c r="F310" s="60">
        <f t="shared" si="31"/>
        <v>0</v>
      </c>
      <c r="G310" s="60">
        <f t="shared" si="32"/>
        <v>0</v>
      </c>
    </row>
    <row r="311" spans="1:7" x14ac:dyDescent="0.2">
      <c r="A311" s="60">
        <f t="shared" si="34"/>
        <v>297</v>
      </c>
      <c r="B311" s="59">
        <f t="shared" si="28"/>
        <v>297</v>
      </c>
      <c r="C311" s="60">
        <f t="shared" si="33"/>
        <v>0</v>
      </c>
      <c r="D311" s="60">
        <f t="shared" si="29"/>
        <v>0</v>
      </c>
      <c r="E311" s="60">
        <f t="shared" si="30"/>
        <v>0</v>
      </c>
      <c r="F311" s="60">
        <f t="shared" si="31"/>
        <v>0</v>
      </c>
      <c r="G311" s="60">
        <f t="shared" si="32"/>
        <v>0</v>
      </c>
    </row>
    <row r="312" spans="1:7" x14ac:dyDescent="0.2">
      <c r="A312" s="60">
        <f t="shared" si="34"/>
        <v>298</v>
      </c>
      <c r="B312" s="59">
        <f t="shared" si="28"/>
        <v>298</v>
      </c>
      <c r="C312" s="60">
        <f t="shared" si="33"/>
        <v>0</v>
      </c>
      <c r="D312" s="60">
        <f t="shared" si="29"/>
        <v>0</v>
      </c>
      <c r="E312" s="60">
        <f t="shared" si="30"/>
        <v>0</v>
      </c>
      <c r="F312" s="60">
        <f t="shared" si="31"/>
        <v>0</v>
      </c>
      <c r="G312" s="60">
        <f t="shared" si="32"/>
        <v>0</v>
      </c>
    </row>
    <row r="313" spans="1:7" x14ac:dyDescent="0.2">
      <c r="A313" s="60">
        <f t="shared" si="34"/>
        <v>299</v>
      </c>
      <c r="B313" s="59">
        <f t="shared" si="28"/>
        <v>299</v>
      </c>
      <c r="C313" s="60">
        <f t="shared" si="33"/>
        <v>0</v>
      </c>
      <c r="D313" s="60">
        <f t="shared" si="29"/>
        <v>0</v>
      </c>
      <c r="E313" s="60">
        <f t="shared" si="30"/>
        <v>0</v>
      </c>
      <c r="F313" s="60">
        <f t="shared" si="31"/>
        <v>0</v>
      </c>
      <c r="G313" s="60">
        <f t="shared" si="32"/>
        <v>0</v>
      </c>
    </row>
    <row r="314" spans="1:7" x14ac:dyDescent="0.2">
      <c r="A314" s="60">
        <f t="shared" si="34"/>
        <v>300</v>
      </c>
      <c r="B314" s="59">
        <f t="shared" si="28"/>
        <v>300</v>
      </c>
      <c r="C314" s="60">
        <f t="shared" si="33"/>
        <v>0</v>
      </c>
      <c r="D314" s="60">
        <f t="shared" si="29"/>
        <v>0</v>
      </c>
      <c r="E314" s="60">
        <f t="shared" si="30"/>
        <v>0</v>
      </c>
      <c r="F314" s="60">
        <f t="shared" si="31"/>
        <v>0</v>
      </c>
      <c r="G314" s="60">
        <f t="shared" si="32"/>
        <v>0</v>
      </c>
    </row>
    <row r="315" spans="1:7" x14ac:dyDescent="0.2">
      <c r="A315" s="60">
        <f t="shared" si="34"/>
        <v>301</v>
      </c>
      <c r="B315" s="59">
        <f t="shared" si="28"/>
        <v>301</v>
      </c>
      <c r="C315" s="60">
        <f t="shared" si="33"/>
        <v>0</v>
      </c>
      <c r="D315" s="60">
        <f t="shared" si="29"/>
        <v>0</v>
      </c>
      <c r="E315" s="60">
        <f t="shared" si="30"/>
        <v>0</v>
      </c>
      <c r="F315" s="60">
        <f t="shared" si="31"/>
        <v>0</v>
      </c>
      <c r="G315" s="60">
        <f t="shared" si="32"/>
        <v>0</v>
      </c>
    </row>
    <row r="316" spans="1:7" x14ac:dyDescent="0.2">
      <c r="A316" s="60">
        <f t="shared" si="34"/>
        <v>302</v>
      </c>
      <c r="B316" s="59">
        <f t="shared" si="28"/>
        <v>302</v>
      </c>
      <c r="C316" s="60">
        <f t="shared" si="33"/>
        <v>0</v>
      </c>
      <c r="D316" s="60">
        <f t="shared" si="29"/>
        <v>0</v>
      </c>
      <c r="E316" s="60">
        <f t="shared" si="30"/>
        <v>0</v>
      </c>
      <c r="F316" s="60">
        <f t="shared" si="31"/>
        <v>0</v>
      </c>
      <c r="G316" s="60">
        <f t="shared" si="32"/>
        <v>0</v>
      </c>
    </row>
    <row r="317" spans="1:7" x14ac:dyDescent="0.2">
      <c r="A317" s="60">
        <f t="shared" si="34"/>
        <v>303</v>
      </c>
      <c r="B317" s="59">
        <f t="shared" si="28"/>
        <v>303</v>
      </c>
      <c r="C317" s="60">
        <f t="shared" si="33"/>
        <v>0</v>
      </c>
      <c r="D317" s="60">
        <f t="shared" si="29"/>
        <v>0</v>
      </c>
      <c r="E317" s="60">
        <f t="shared" si="30"/>
        <v>0</v>
      </c>
      <c r="F317" s="60">
        <f t="shared" si="31"/>
        <v>0</v>
      </c>
      <c r="G317" s="60">
        <f t="shared" si="32"/>
        <v>0</v>
      </c>
    </row>
    <row r="318" spans="1:7" x14ac:dyDescent="0.2">
      <c r="A318" s="60">
        <f t="shared" si="34"/>
        <v>304</v>
      </c>
      <c r="B318" s="59">
        <f t="shared" si="28"/>
        <v>304</v>
      </c>
      <c r="C318" s="60">
        <f t="shared" si="33"/>
        <v>0</v>
      </c>
      <c r="D318" s="60">
        <f t="shared" si="29"/>
        <v>0</v>
      </c>
      <c r="E318" s="60">
        <f t="shared" si="30"/>
        <v>0</v>
      </c>
      <c r="F318" s="60">
        <f t="shared" si="31"/>
        <v>0</v>
      </c>
      <c r="G318" s="60">
        <f t="shared" si="32"/>
        <v>0</v>
      </c>
    </row>
    <row r="319" spans="1:7" x14ac:dyDescent="0.2">
      <c r="A319" s="60">
        <f t="shared" si="34"/>
        <v>305</v>
      </c>
      <c r="B319" s="59">
        <f t="shared" si="28"/>
        <v>305</v>
      </c>
      <c r="C319" s="60">
        <f t="shared" si="33"/>
        <v>0</v>
      </c>
      <c r="D319" s="60">
        <f t="shared" si="29"/>
        <v>0</v>
      </c>
      <c r="E319" s="60">
        <f t="shared" si="30"/>
        <v>0</v>
      </c>
      <c r="F319" s="60">
        <f t="shared" si="31"/>
        <v>0</v>
      </c>
      <c r="G319" s="60">
        <f t="shared" si="32"/>
        <v>0</v>
      </c>
    </row>
    <row r="320" spans="1:7" x14ac:dyDescent="0.2">
      <c r="A320" s="60">
        <f t="shared" si="34"/>
        <v>306</v>
      </c>
      <c r="B320" s="59">
        <f t="shared" si="28"/>
        <v>306</v>
      </c>
      <c r="C320" s="60">
        <f t="shared" si="33"/>
        <v>0</v>
      </c>
      <c r="D320" s="60">
        <f t="shared" si="29"/>
        <v>0</v>
      </c>
      <c r="E320" s="60">
        <f t="shared" si="30"/>
        <v>0</v>
      </c>
      <c r="F320" s="60">
        <f t="shared" si="31"/>
        <v>0</v>
      </c>
      <c r="G320" s="60">
        <f t="shared" si="32"/>
        <v>0</v>
      </c>
    </row>
    <row r="321" spans="1:7" x14ac:dyDescent="0.2">
      <c r="A321" s="60">
        <f t="shared" si="34"/>
        <v>307</v>
      </c>
      <c r="B321" s="59">
        <f t="shared" si="28"/>
        <v>307</v>
      </c>
      <c r="C321" s="60">
        <f t="shared" si="33"/>
        <v>0</v>
      </c>
      <c r="D321" s="60">
        <f t="shared" si="29"/>
        <v>0</v>
      </c>
      <c r="E321" s="60">
        <f t="shared" si="30"/>
        <v>0</v>
      </c>
      <c r="F321" s="60">
        <f t="shared" si="31"/>
        <v>0</v>
      </c>
      <c r="G321" s="60">
        <f t="shared" si="32"/>
        <v>0</v>
      </c>
    </row>
    <row r="322" spans="1:7" x14ac:dyDescent="0.2">
      <c r="A322" s="60">
        <f t="shared" si="34"/>
        <v>308</v>
      </c>
      <c r="B322" s="59">
        <f t="shared" si="28"/>
        <v>308</v>
      </c>
      <c r="C322" s="60">
        <f t="shared" si="33"/>
        <v>0</v>
      </c>
      <c r="D322" s="60">
        <f t="shared" si="29"/>
        <v>0</v>
      </c>
      <c r="E322" s="60">
        <f t="shared" si="30"/>
        <v>0</v>
      </c>
      <c r="F322" s="60">
        <f t="shared" si="31"/>
        <v>0</v>
      </c>
      <c r="G322" s="60">
        <f t="shared" si="32"/>
        <v>0</v>
      </c>
    </row>
    <row r="323" spans="1:7" x14ac:dyDescent="0.2">
      <c r="A323" s="60">
        <f t="shared" si="34"/>
        <v>309</v>
      </c>
      <c r="B323" s="59">
        <f t="shared" si="28"/>
        <v>309</v>
      </c>
      <c r="C323" s="60">
        <f t="shared" si="33"/>
        <v>0</v>
      </c>
      <c r="D323" s="60">
        <f t="shared" si="29"/>
        <v>0</v>
      </c>
      <c r="E323" s="60">
        <f t="shared" si="30"/>
        <v>0</v>
      </c>
      <c r="F323" s="60">
        <f t="shared" si="31"/>
        <v>0</v>
      </c>
      <c r="G323" s="60">
        <f t="shared" si="32"/>
        <v>0</v>
      </c>
    </row>
    <row r="324" spans="1:7" x14ac:dyDescent="0.2">
      <c r="A324" s="60">
        <f t="shared" si="34"/>
        <v>310</v>
      </c>
      <c r="B324" s="59">
        <f t="shared" si="28"/>
        <v>310</v>
      </c>
      <c r="C324" s="60">
        <f t="shared" si="33"/>
        <v>0</v>
      </c>
      <c r="D324" s="60">
        <f t="shared" si="29"/>
        <v>0</v>
      </c>
      <c r="E324" s="60">
        <f t="shared" si="30"/>
        <v>0</v>
      </c>
      <c r="F324" s="60">
        <f t="shared" si="31"/>
        <v>0</v>
      </c>
      <c r="G324" s="60">
        <f t="shared" si="32"/>
        <v>0</v>
      </c>
    </row>
    <row r="325" spans="1:7" x14ac:dyDescent="0.2">
      <c r="A325" s="60">
        <f t="shared" si="34"/>
        <v>311</v>
      </c>
      <c r="B325" s="59">
        <f t="shared" si="28"/>
        <v>311</v>
      </c>
      <c r="C325" s="60">
        <f t="shared" si="33"/>
        <v>0</v>
      </c>
      <c r="D325" s="60">
        <f t="shared" si="29"/>
        <v>0</v>
      </c>
      <c r="E325" s="60">
        <f t="shared" si="30"/>
        <v>0</v>
      </c>
      <c r="F325" s="60">
        <f t="shared" si="31"/>
        <v>0</v>
      </c>
      <c r="G325" s="60">
        <f t="shared" si="32"/>
        <v>0</v>
      </c>
    </row>
    <row r="326" spans="1:7" x14ac:dyDescent="0.2">
      <c r="A326" s="60">
        <f t="shared" si="34"/>
        <v>312</v>
      </c>
      <c r="B326" s="59">
        <f t="shared" si="28"/>
        <v>312</v>
      </c>
      <c r="C326" s="60">
        <f t="shared" si="33"/>
        <v>0</v>
      </c>
      <c r="D326" s="60">
        <f t="shared" si="29"/>
        <v>0</v>
      </c>
      <c r="E326" s="60">
        <f t="shared" si="30"/>
        <v>0</v>
      </c>
      <c r="F326" s="60">
        <f t="shared" si="31"/>
        <v>0</v>
      </c>
      <c r="G326" s="60">
        <f t="shared" si="32"/>
        <v>0</v>
      </c>
    </row>
    <row r="327" spans="1:7" x14ac:dyDescent="0.2">
      <c r="A327" s="60">
        <f t="shared" si="34"/>
        <v>313</v>
      </c>
      <c r="B327" s="59">
        <f t="shared" si="28"/>
        <v>313</v>
      </c>
      <c r="C327" s="60">
        <f t="shared" si="33"/>
        <v>0</v>
      </c>
      <c r="D327" s="60">
        <f t="shared" si="29"/>
        <v>0</v>
      </c>
      <c r="E327" s="60">
        <f t="shared" si="30"/>
        <v>0</v>
      </c>
      <c r="F327" s="60">
        <f t="shared" si="31"/>
        <v>0</v>
      </c>
      <c r="G327" s="60">
        <f t="shared" si="32"/>
        <v>0</v>
      </c>
    </row>
    <row r="328" spans="1:7" x14ac:dyDescent="0.2">
      <c r="A328" s="60">
        <f t="shared" si="34"/>
        <v>314</v>
      </c>
      <c r="B328" s="59">
        <f t="shared" si="28"/>
        <v>314</v>
      </c>
      <c r="C328" s="60">
        <f t="shared" si="33"/>
        <v>0</v>
      </c>
      <c r="D328" s="60">
        <f t="shared" si="29"/>
        <v>0</v>
      </c>
      <c r="E328" s="60">
        <f t="shared" si="30"/>
        <v>0</v>
      </c>
      <c r="F328" s="60">
        <f t="shared" si="31"/>
        <v>0</v>
      </c>
      <c r="G328" s="60">
        <f t="shared" si="32"/>
        <v>0</v>
      </c>
    </row>
    <row r="329" spans="1:7" x14ac:dyDescent="0.2">
      <c r="A329" s="60">
        <f t="shared" si="34"/>
        <v>315</v>
      </c>
      <c r="B329" s="59">
        <f t="shared" si="28"/>
        <v>315</v>
      </c>
      <c r="C329" s="60">
        <f t="shared" si="33"/>
        <v>0</v>
      </c>
      <c r="D329" s="60">
        <f t="shared" si="29"/>
        <v>0</v>
      </c>
      <c r="E329" s="60">
        <f t="shared" si="30"/>
        <v>0</v>
      </c>
      <c r="F329" s="60">
        <f t="shared" si="31"/>
        <v>0</v>
      </c>
      <c r="G329" s="60">
        <f t="shared" si="32"/>
        <v>0</v>
      </c>
    </row>
    <row r="330" spans="1:7" x14ac:dyDescent="0.2">
      <c r="A330" s="60">
        <f t="shared" si="34"/>
        <v>316</v>
      </c>
      <c r="B330" s="59">
        <f t="shared" ref="B330:B374" si="35">+B329+1</f>
        <v>316</v>
      </c>
      <c r="C330" s="60">
        <f t="shared" si="33"/>
        <v>0</v>
      </c>
      <c r="D330" s="60">
        <f t="shared" si="29"/>
        <v>0</v>
      </c>
      <c r="E330" s="60">
        <f t="shared" si="30"/>
        <v>0</v>
      </c>
      <c r="F330" s="60">
        <f t="shared" si="31"/>
        <v>0</v>
      </c>
      <c r="G330" s="60">
        <f t="shared" si="32"/>
        <v>0</v>
      </c>
    </row>
    <row r="331" spans="1:7" x14ac:dyDescent="0.2">
      <c r="A331" s="60">
        <f t="shared" si="34"/>
        <v>317</v>
      </c>
      <c r="B331" s="59">
        <f t="shared" si="35"/>
        <v>317</v>
      </c>
      <c r="C331" s="60">
        <f t="shared" si="33"/>
        <v>0</v>
      </c>
      <c r="D331" s="60">
        <f t="shared" si="29"/>
        <v>0</v>
      </c>
      <c r="E331" s="60">
        <f t="shared" si="30"/>
        <v>0</v>
      </c>
      <c r="F331" s="60">
        <f t="shared" si="31"/>
        <v>0</v>
      </c>
      <c r="G331" s="60">
        <f t="shared" si="32"/>
        <v>0</v>
      </c>
    </row>
    <row r="332" spans="1:7" x14ac:dyDescent="0.2">
      <c r="A332" s="60">
        <f t="shared" si="34"/>
        <v>318</v>
      </c>
      <c r="B332" s="59">
        <f t="shared" si="35"/>
        <v>318</v>
      </c>
      <c r="C332" s="60">
        <f t="shared" si="33"/>
        <v>0</v>
      </c>
      <c r="D332" s="60">
        <f t="shared" si="29"/>
        <v>0</v>
      </c>
      <c r="E332" s="60">
        <f t="shared" si="30"/>
        <v>0</v>
      </c>
      <c r="F332" s="60">
        <f t="shared" si="31"/>
        <v>0</v>
      </c>
      <c r="G332" s="60">
        <f t="shared" si="32"/>
        <v>0</v>
      </c>
    </row>
    <row r="333" spans="1:7" x14ac:dyDescent="0.2">
      <c r="A333" s="60">
        <f t="shared" si="34"/>
        <v>319</v>
      </c>
      <c r="B333" s="59">
        <f t="shared" si="35"/>
        <v>319</v>
      </c>
      <c r="C333" s="60">
        <f t="shared" si="33"/>
        <v>0</v>
      </c>
      <c r="D333" s="60">
        <f t="shared" si="29"/>
        <v>0</v>
      </c>
      <c r="E333" s="60">
        <f t="shared" si="30"/>
        <v>0</v>
      </c>
      <c r="F333" s="60">
        <f t="shared" si="31"/>
        <v>0</v>
      </c>
      <c r="G333" s="60">
        <f t="shared" si="32"/>
        <v>0</v>
      </c>
    </row>
    <row r="334" spans="1:7" x14ac:dyDescent="0.2">
      <c r="A334" s="60">
        <f t="shared" si="34"/>
        <v>320</v>
      </c>
      <c r="B334" s="59">
        <f t="shared" si="35"/>
        <v>320</v>
      </c>
      <c r="C334" s="60">
        <f t="shared" si="33"/>
        <v>0</v>
      </c>
      <c r="D334" s="60">
        <f t="shared" si="29"/>
        <v>0</v>
      </c>
      <c r="E334" s="60">
        <f t="shared" si="30"/>
        <v>0</v>
      </c>
      <c r="F334" s="60">
        <f t="shared" si="31"/>
        <v>0</v>
      </c>
      <c r="G334" s="60">
        <f t="shared" si="32"/>
        <v>0</v>
      </c>
    </row>
    <row r="335" spans="1:7" x14ac:dyDescent="0.2">
      <c r="A335" s="60">
        <f t="shared" si="34"/>
        <v>321</v>
      </c>
      <c r="B335" s="59">
        <f t="shared" si="35"/>
        <v>321</v>
      </c>
      <c r="C335" s="60">
        <f t="shared" si="33"/>
        <v>0</v>
      </c>
      <c r="D335" s="60">
        <f t="shared" ref="D335:D374" si="36">IF(C335=0,0,IF(PV($G$6,$F$9-B335,-$F$10)&gt;0,PV($G$6,$F$9-B335,-$F$10),0))</f>
        <v>0</v>
      </c>
      <c r="E335" s="60">
        <f t="shared" ref="E335:E374" si="37">IF(C335=0,0,+$F$10)</f>
        <v>0</v>
      </c>
      <c r="F335" s="60">
        <f t="shared" ref="F335:F374" si="38">C335-D335</f>
        <v>0</v>
      </c>
      <c r="G335" s="60">
        <f t="shared" ref="G335:G374" si="39">E335-F335</f>
        <v>0</v>
      </c>
    </row>
    <row r="336" spans="1:7" x14ac:dyDescent="0.2">
      <c r="A336" s="60">
        <f t="shared" si="34"/>
        <v>322</v>
      </c>
      <c r="B336" s="59">
        <f t="shared" si="35"/>
        <v>322</v>
      </c>
      <c r="C336" s="60">
        <f t="shared" ref="C336:C374" si="40">D335</f>
        <v>0</v>
      </c>
      <c r="D336" s="60">
        <f t="shared" si="36"/>
        <v>0</v>
      </c>
      <c r="E336" s="60">
        <f t="shared" si="37"/>
        <v>0</v>
      </c>
      <c r="F336" s="60">
        <f t="shared" si="38"/>
        <v>0</v>
      </c>
      <c r="G336" s="60">
        <f t="shared" si="39"/>
        <v>0</v>
      </c>
    </row>
    <row r="337" spans="1:7" x14ac:dyDescent="0.2">
      <c r="A337" s="60">
        <f t="shared" si="34"/>
        <v>323</v>
      </c>
      <c r="B337" s="59">
        <f t="shared" si="35"/>
        <v>323</v>
      </c>
      <c r="C337" s="60">
        <f t="shared" si="40"/>
        <v>0</v>
      </c>
      <c r="D337" s="60">
        <f t="shared" si="36"/>
        <v>0</v>
      </c>
      <c r="E337" s="60">
        <f t="shared" si="37"/>
        <v>0</v>
      </c>
      <c r="F337" s="60">
        <f t="shared" si="38"/>
        <v>0</v>
      </c>
      <c r="G337" s="60">
        <f t="shared" si="39"/>
        <v>0</v>
      </c>
    </row>
    <row r="338" spans="1:7" x14ac:dyDescent="0.2">
      <c r="A338" s="60">
        <f t="shared" si="34"/>
        <v>324</v>
      </c>
      <c r="B338" s="59">
        <f t="shared" si="35"/>
        <v>324</v>
      </c>
      <c r="C338" s="60">
        <f t="shared" si="40"/>
        <v>0</v>
      </c>
      <c r="D338" s="60">
        <f t="shared" si="36"/>
        <v>0</v>
      </c>
      <c r="E338" s="60">
        <f t="shared" si="37"/>
        <v>0</v>
      </c>
      <c r="F338" s="60">
        <f t="shared" si="38"/>
        <v>0</v>
      </c>
      <c r="G338" s="60">
        <f t="shared" si="39"/>
        <v>0</v>
      </c>
    </row>
    <row r="339" spans="1:7" x14ac:dyDescent="0.2">
      <c r="A339" s="60">
        <f t="shared" si="34"/>
        <v>325</v>
      </c>
      <c r="B339" s="59">
        <f t="shared" si="35"/>
        <v>325</v>
      </c>
      <c r="C339" s="60">
        <f t="shared" si="40"/>
        <v>0</v>
      </c>
      <c r="D339" s="60">
        <f t="shared" si="36"/>
        <v>0</v>
      </c>
      <c r="E339" s="60">
        <f t="shared" si="37"/>
        <v>0</v>
      </c>
      <c r="F339" s="60">
        <f t="shared" si="38"/>
        <v>0</v>
      </c>
      <c r="G339" s="60">
        <f t="shared" si="39"/>
        <v>0</v>
      </c>
    </row>
    <row r="340" spans="1:7" x14ac:dyDescent="0.2">
      <c r="A340" s="60">
        <f t="shared" si="34"/>
        <v>326</v>
      </c>
      <c r="B340" s="59">
        <f t="shared" si="35"/>
        <v>326</v>
      </c>
      <c r="C340" s="60">
        <f t="shared" si="40"/>
        <v>0</v>
      </c>
      <c r="D340" s="60">
        <f t="shared" si="36"/>
        <v>0</v>
      </c>
      <c r="E340" s="60">
        <f t="shared" si="37"/>
        <v>0</v>
      </c>
      <c r="F340" s="60">
        <f t="shared" si="38"/>
        <v>0</v>
      </c>
      <c r="G340" s="60">
        <f t="shared" si="39"/>
        <v>0</v>
      </c>
    </row>
    <row r="341" spans="1:7" x14ac:dyDescent="0.2">
      <c r="A341" s="60">
        <f t="shared" si="34"/>
        <v>327</v>
      </c>
      <c r="B341" s="59">
        <f t="shared" si="35"/>
        <v>327</v>
      </c>
      <c r="C341" s="60">
        <f t="shared" si="40"/>
        <v>0</v>
      </c>
      <c r="D341" s="60">
        <f t="shared" si="36"/>
        <v>0</v>
      </c>
      <c r="E341" s="60">
        <f t="shared" si="37"/>
        <v>0</v>
      </c>
      <c r="F341" s="60">
        <f t="shared" si="38"/>
        <v>0</v>
      </c>
      <c r="G341" s="60">
        <f t="shared" si="39"/>
        <v>0</v>
      </c>
    </row>
    <row r="342" spans="1:7" x14ac:dyDescent="0.2">
      <c r="A342" s="60">
        <f t="shared" si="34"/>
        <v>328</v>
      </c>
      <c r="B342" s="59">
        <f t="shared" si="35"/>
        <v>328</v>
      </c>
      <c r="C342" s="60">
        <f t="shared" si="40"/>
        <v>0</v>
      </c>
      <c r="D342" s="60">
        <f t="shared" si="36"/>
        <v>0</v>
      </c>
      <c r="E342" s="60">
        <f t="shared" si="37"/>
        <v>0</v>
      </c>
      <c r="F342" s="60">
        <f t="shared" si="38"/>
        <v>0</v>
      </c>
      <c r="G342" s="60">
        <f t="shared" si="39"/>
        <v>0</v>
      </c>
    </row>
    <row r="343" spans="1:7" x14ac:dyDescent="0.2">
      <c r="A343" s="60">
        <f t="shared" si="34"/>
        <v>329</v>
      </c>
      <c r="B343" s="59">
        <f t="shared" si="35"/>
        <v>329</v>
      </c>
      <c r="C343" s="60">
        <f t="shared" si="40"/>
        <v>0</v>
      </c>
      <c r="D343" s="60">
        <f t="shared" si="36"/>
        <v>0</v>
      </c>
      <c r="E343" s="60">
        <f t="shared" si="37"/>
        <v>0</v>
      </c>
      <c r="F343" s="60">
        <f t="shared" si="38"/>
        <v>0</v>
      </c>
      <c r="G343" s="60">
        <f t="shared" si="39"/>
        <v>0</v>
      </c>
    </row>
    <row r="344" spans="1:7" x14ac:dyDescent="0.2">
      <c r="A344" s="60">
        <f t="shared" si="34"/>
        <v>330</v>
      </c>
      <c r="B344" s="59">
        <f t="shared" si="35"/>
        <v>330</v>
      </c>
      <c r="C344" s="60">
        <f t="shared" si="40"/>
        <v>0</v>
      </c>
      <c r="D344" s="60">
        <f t="shared" si="36"/>
        <v>0</v>
      </c>
      <c r="E344" s="60">
        <f t="shared" si="37"/>
        <v>0</v>
      </c>
      <c r="F344" s="60">
        <f t="shared" si="38"/>
        <v>0</v>
      </c>
      <c r="G344" s="60">
        <f t="shared" si="39"/>
        <v>0</v>
      </c>
    </row>
    <row r="345" spans="1:7" x14ac:dyDescent="0.2">
      <c r="A345" s="60">
        <f t="shared" si="34"/>
        <v>331</v>
      </c>
      <c r="B345" s="59">
        <f t="shared" si="35"/>
        <v>331</v>
      </c>
      <c r="C345" s="60">
        <f t="shared" si="40"/>
        <v>0</v>
      </c>
      <c r="D345" s="60">
        <f t="shared" si="36"/>
        <v>0</v>
      </c>
      <c r="E345" s="60">
        <f t="shared" si="37"/>
        <v>0</v>
      </c>
      <c r="F345" s="60">
        <f t="shared" si="38"/>
        <v>0</v>
      </c>
      <c r="G345" s="60">
        <f t="shared" si="39"/>
        <v>0</v>
      </c>
    </row>
    <row r="346" spans="1:7" x14ac:dyDescent="0.2">
      <c r="A346" s="60">
        <f t="shared" si="34"/>
        <v>332</v>
      </c>
      <c r="B346" s="59">
        <f t="shared" si="35"/>
        <v>332</v>
      </c>
      <c r="C346" s="60">
        <f t="shared" si="40"/>
        <v>0</v>
      </c>
      <c r="D346" s="60">
        <f t="shared" si="36"/>
        <v>0</v>
      </c>
      <c r="E346" s="60">
        <f t="shared" si="37"/>
        <v>0</v>
      </c>
      <c r="F346" s="60">
        <f t="shared" si="38"/>
        <v>0</v>
      </c>
      <c r="G346" s="60">
        <f t="shared" si="39"/>
        <v>0</v>
      </c>
    </row>
    <row r="347" spans="1:7" x14ac:dyDescent="0.2">
      <c r="A347" s="60">
        <f t="shared" ref="A347:A374" si="41">CEILING((B347/(12/$F$7)),1)</f>
        <v>333</v>
      </c>
      <c r="B347" s="59">
        <f t="shared" si="35"/>
        <v>333</v>
      </c>
      <c r="C347" s="60">
        <f t="shared" si="40"/>
        <v>0</v>
      </c>
      <c r="D347" s="60">
        <f t="shared" si="36"/>
        <v>0</v>
      </c>
      <c r="E347" s="60">
        <f t="shared" si="37"/>
        <v>0</v>
      </c>
      <c r="F347" s="60">
        <f t="shared" si="38"/>
        <v>0</v>
      </c>
      <c r="G347" s="60">
        <f t="shared" si="39"/>
        <v>0</v>
      </c>
    </row>
    <row r="348" spans="1:7" x14ac:dyDescent="0.2">
      <c r="A348" s="60">
        <f t="shared" si="41"/>
        <v>334</v>
      </c>
      <c r="B348" s="59">
        <f t="shared" si="35"/>
        <v>334</v>
      </c>
      <c r="C348" s="60">
        <f t="shared" si="40"/>
        <v>0</v>
      </c>
      <c r="D348" s="60">
        <f t="shared" si="36"/>
        <v>0</v>
      </c>
      <c r="E348" s="60">
        <f t="shared" si="37"/>
        <v>0</v>
      </c>
      <c r="F348" s="60">
        <f t="shared" si="38"/>
        <v>0</v>
      </c>
      <c r="G348" s="60">
        <f t="shared" si="39"/>
        <v>0</v>
      </c>
    </row>
    <row r="349" spans="1:7" x14ac:dyDescent="0.2">
      <c r="A349" s="60">
        <f t="shared" si="41"/>
        <v>335</v>
      </c>
      <c r="B349" s="59">
        <f t="shared" si="35"/>
        <v>335</v>
      </c>
      <c r="C349" s="60">
        <f t="shared" si="40"/>
        <v>0</v>
      </c>
      <c r="D349" s="60">
        <f t="shared" si="36"/>
        <v>0</v>
      </c>
      <c r="E349" s="60">
        <f t="shared" si="37"/>
        <v>0</v>
      </c>
      <c r="F349" s="60">
        <f t="shared" si="38"/>
        <v>0</v>
      </c>
      <c r="G349" s="60">
        <f t="shared" si="39"/>
        <v>0</v>
      </c>
    </row>
    <row r="350" spans="1:7" x14ac:dyDescent="0.2">
      <c r="A350" s="60">
        <f t="shared" si="41"/>
        <v>336</v>
      </c>
      <c r="B350" s="59">
        <f t="shared" si="35"/>
        <v>336</v>
      </c>
      <c r="C350" s="60">
        <f t="shared" si="40"/>
        <v>0</v>
      </c>
      <c r="D350" s="60">
        <f t="shared" si="36"/>
        <v>0</v>
      </c>
      <c r="E350" s="60">
        <f t="shared" si="37"/>
        <v>0</v>
      </c>
      <c r="F350" s="60">
        <f t="shared" si="38"/>
        <v>0</v>
      </c>
      <c r="G350" s="60">
        <f t="shared" si="39"/>
        <v>0</v>
      </c>
    </row>
    <row r="351" spans="1:7" x14ac:dyDescent="0.2">
      <c r="A351" s="60">
        <f t="shared" si="41"/>
        <v>337</v>
      </c>
      <c r="B351" s="59">
        <f t="shared" si="35"/>
        <v>337</v>
      </c>
      <c r="C351" s="60">
        <f t="shared" si="40"/>
        <v>0</v>
      </c>
      <c r="D351" s="60">
        <f t="shared" si="36"/>
        <v>0</v>
      </c>
      <c r="E351" s="60">
        <f t="shared" si="37"/>
        <v>0</v>
      </c>
      <c r="F351" s="60">
        <f t="shared" si="38"/>
        <v>0</v>
      </c>
      <c r="G351" s="60">
        <f t="shared" si="39"/>
        <v>0</v>
      </c>
    </row>
    <row r="352" spans="1:7" x14ac:dyDescent="0.2">
      <c r="A352" s="60">
        <f t="shared" si="41"/>
        <v>338</v>
      </c>
      <c r="B352" s="59">
        <f t="shared" si="35"/>
        <v>338</v>
      </c>
      <c r="C352" s="60">
        <f t="shared" si="40"/>
        <v>0</v>
      </c>
      <c r="D352" s="60">
        <f t="shared" si="36"/>
        <v>0</v>
      </c>
      <c r="E352" s="60">
        <f t="shared" si="37"/>
        <v>0</v>
      </c>
      <c r="F352" s="60">
        <f t="shared" si="38"/>
        <v>0</v>
      </c>
      <c r="G352" s="60">
        <f t="shared" si="39"/>
        <v>0</v>
      </c>
    </row>
    <row r="353" spans="1:7" x14ac:dyDescent="0.2">
      <c r="A353" s="60">
        <f t="shared" si="41"/>
        <v>339</v>
      </c>
      <c r="B353" s="59">
        <f t="shared" si="35"/>
        <v>339</v>
      </c>
      <c r="C353" s="60">
        <f t="shared" si="40"/>
        <v>0</v>
      </c>
      <c r="D353" s="60">
        <f t="shared" si="36"/>
        <v>0</v>
      </c>
      <c r="E353" s="60">
        <f t="shared" si="37"/>
        <v>0</v>
      </c>
      <c r="F353" s="60">
        <f t="shared" si="38"/>
        <v>0</v>
      </c>
      <c r="G353" s="60">
        <f t="shared" si="39"/>
        <v>0</v>
      </c>
    </row>
    <row r="354" spans="1:7" x14ac:dyDescent="0.2">
      <c r="A354" s="60">
        <f t="shared" si="41"/>
        <v>340</v>
      </c>
      <c r="B354" s="59">
        <f t="shared" si="35"/>
        <v>340</v>
      </c>
      <c r="C354" s="60">
        <f t="shared" si="40"/>
        <v>0</v>
      </c>
      <c r="D354" s="60">
        <f t="shared" si="36"/>
        <v>0</v>
      </c>
      <c r="E354" s="60">
        <f t="shared" si="37"/>
        <v>0</v>
      </c>
      <c r="F354" s="60">
        <f t="shared" si="38"/>
        <v>0</v>
      </c>
      <c r="G354" s="60">
        <f t="shared" si="39"/>
        <v>0</v>
      </c>
    </row>
    <row r="355" spans="1:7" x14ac:dyDescent="0.2">
      <c r="A355" s="60">
        <f t="shared" si="41"/>
        <v>341</v>
      </c>
      <c r="B355" s="59">
        <f t="shared" si="35"/>
        <v>341</v>
      </c>
      <c r="C355" s="60">
        <f t="shared" si="40"/>
        <v>0</v>
      </c>
      <c r="D355" s="60">
        <f t="shared" si="36"/>
        <v>0</v>
      </c>
      <c r="E355" s="60">
        <f t="shared" si="37"/>
        <v>0</v>
      </c>
      <c r="F355" s="60">
        <f t="shared" si="38"/>
        <v>0</v>
      </c>
      <c r="G355" s="60">
        <f t="shared" si="39"/>
        <v>0</v>
      </c>
    </row>
    <row r="356" spans="1:7" x14ac:dyDescent="0.2">
      <c r="A356" s="60">
        <f t="shared" si="41"/>
        <v>342</v>
      </c>
      <c r="B356" s="59">
        <f t="shared" si="35"/>
        <v>342</v>
      </c>
      <c r="C356" s="60">
        <f t="shared" si="40"/>
        <v>0</v>
      </c>
      <c r="D356" s="60">
        <f t="shared" si="36"/>
        <v>0</v>
      </c>
      <c r="E356" s="60">
        <f t="shared" si="37"/>
        <v>0</v>
      </c>
      <c r="F356" s="60">
        <f t="shared" si="38"/>
        <v>0</v>
      </c>
      <c r="G356" s="60">
        <f t="shared" si="39"/>
        <v>0</v>
      </c>
    </row>
    <row r="357" spans="1:7" x14ac:dyDescent="0.2">
      <c r="A357" s="60">
        <f t="shared" si="41"/>
        <v>343</v>
      </c>
      <c r="B357" s="59">
        <f t="shared" si="35"/>
        <v>343</v>
      </c>
      <c r="C357" s="60">
        <f t="shared" si="40"/>
        <v>0</v>
      </c>
      <c r="D357" s="60">
        <f t="shared" si="36"/>
        <v>0</v>
      </c>
      <c r="E357" s="60">
        <f t="shared" si="37"/>
        <v>0</v>
      </c>
      <c r="F357" s="60">
        <f t="shared" si="38"/>
        <v>0</v>
      </c>
      <c r="G357" s="60">
        <f t="shared" si="39"/>
        <v>0</v>
      </c>
    </row>
    <row r="358" spans="1:7" x14ac:dyDescent="0.2">
      <c r="A358" s="60">
        <f t="shared" si="41"/>
        <v>344</v>
      </c>
      <c r="B358" s="59">
        <f t="shared" si="35"/>
        <v>344</v>
      </c>
      <c r="C358" s="60">
        <f t="shared" si="40"/>
        <v>0</v>
      </c>
      <c r="D358" s="60">
        <f t="shared" si="36"/>
        <v>0</v>
      </c>
      <c r="E358" s="60">
        <f t="shared" si="37"/>
        <v>0</v>
      </c>
      <c r="F358" s="60">
        <f t="shared" si="38"/>
        <v>0</v>
      </c>
      <c r="G358" s="60">
        <f t="shared" si="39"/>
        <v>0</v>
      </c>
    </row>
    <row r="359" spans="1:7" x14ac:dyDescent="0.2">
      <c r="A359" s="60">
        <f t="shared" si="41"/>
        <v>345</v>
      </c>
      <c r="B359" s="59">
        <f t="shared" si="35"/>
        <v>345</v>
      </c>
      <c r="C359" s="60">
        <f t="shared" si="40"/>
        <v>0</v>
      </c>
      <c r="D359" s="60">
        <f t="shared" si="36"/>
        <v>0</v>
      </c>
      <c r="E359" s="60">
        <f t="shared" si="37"/>
        <v>0</v>
      </c>
      <c r="F359" s="60">
        <f t="shared" si="38"/>
        <v>0</v>
      </c>
      <c r="G359" s="60">
        <f t="shared" si="39"/>
        <v>0</v>
      </c>
    </row>
    <row r="360" spans="1:7" x14ac:dyDescent="0.2">
      <c r="A360" s="60">
        <f t="shared" si="41"/>
        <v>346</v>
      </c>
      <c r="B360" s="59">
        <f t="shared" si="35"/>
        <v>346</v>
      </c>
      <c r="C360" s="60">
        <f t="shared" si="40"/>
        <v>0</v>
      </c>
      <c r="D360" s="60">
        <f t="shared" si="36"/>
        <v>0</v>
      </c>
      <c r="E360" s="60">
        <f t="shared" si="37"/>
        <v>0</v>
      </c>
      <c r="F360" s="60">
        <f t="shared" si="38"/>
        <v>0</v>
      </c>
      <c r="G360" s="60">
        <f t="shared" si="39"/>
        <v>0</v>
      </c>
    </row>
    <row r="361" spans="1:7" x14ac:dyDescent="0.2">
      <c r="A361" s="60">
        <f t="shared" si="41"/>
        <v>347</v>
      </c>
      <c r="B361" s="59">
        <f t="shared" si="35"/>
        <v>347</v>
      </c>
      <c r="C361" s="60">
        <f t="shared" si="40"/>
        <v>0</v>
      </c>
      <c r="D361" s="60">
        <f t="shared" si="36"/>
        <v>0</v>
      </c>
      <c r="E361" s="60">
        <f t="shared" si="37"/>
        <v>0</v>
      </c>
      <c r="F361" s="60">
        <f t="shared" si="38"/>
        <v>0</v>
      </c>
      <c r="G361" s="60">
        <f t="shared" si="39"/>
        <v>0</v>
      </c>
    </row>
    <row r="362" spans="1:7" x14ac:dyDescent="0.2">
      <c r="A362" s="60">
        <f t="shared" si="41"/>
        <v>348</v>
      </c>
      <c r="B362" s="59">
        <f t="shared" si="35"/>
        <v>348</v>
      </c>
      <c r="C362" s="60">
        <f t="shared" si="40"/>
        <v>0</v>
      </c>
      <c r="D362" s="60">
        <f t="shared" si="36"/>
        <v>0</v>
      </c>
      <c r="E362" s="60">
        <f t="shared" si="37"/>
        <v>0</v>
      </c>
      <c r="F362" s="60">
        <f t="shared" si="38"/>
        <v>0</v>
      </c>
      <c r="G362" s="60">
        <f t="shared" si="39"/>
        <v>0</v>
      </c>
    </row>
    <row r="363" spans="1:7" x14ac:dyDescent="0.2">
      <c r="A363" s="60">
        <f t="shared" si="41"/>
        <v>349</v>
      </c>
      <c r="B363" s="59">
        <f t="shared" si="35"/>
        <v>349</v>
      </c>
      <c r="C363" s="60">
        <f t="shared" si="40"/>
        <v>0</v>
      </c>
      <c r="D363" s="60">
        <f t="shared" si="36"/>
        <v>0</v>
      </c>
      <c r="E363" s="60">
        <f t="shared" si="37"/>
        <v>0</v>
      </c>
      <c r="F363" s="60">
        <f t="shared" si="38"/>
        <v>0</v>
      </c>
      <c r="G363" s="60">
        <f t="shared" si="39"/>
        <v>0</v>
      </c>
    </row>
    <row r="364" spans="1:7" x14ac:dyDescent="0.2">
      <c r="A364" s="60">
        <f t="shared" si="41"/>
        <v>350</v>
      </c>
      <c r="B364" s="59">
        <f t="shared" si="35"/>
        <v>350</v>
      </c>
      <c r="C364" s="60">
        <f t="shared" si="40"/>
        <v>0</v>
      </c>
      <c r="D364" s="60">
        <f t="shared" si="36"/>
        <v>0</v>
      </c>
      <c r="E364" s="60">
        <f t="shared" si="37"/>
        <v>0</v>
      </c>
      <c r="F364" s="60">
        <f t="shared" si="38"/>
        <v>0</v>
      </c>
      <c r="G364" s="60">
        <f t="shared" si="39"/>
        <v>0</v>
      </c>
    </row>
    <row r="365" spans="1:7" x14ac:dyDescent="0.2">
      <c r="A365" s="60">
        <f t="shared" si="41"/>
        <v>351</v>
      </c>
      <c r="B365" s="59">
        <f t="shared" si="35"/>
        <v>351</v>
      </c>
      <c r="C365" s="60">
        <f t="shared" si="40"/>
        <v>0</v>
      </c>
      <c r="D365" s="60">
        <f t="shared" si="36"/>
        <v>0</v>
      </c>
      <c r="E365" s="60">
        <f t="shared" si="37"/>
        <v>0</v>
      </c>
      <c r="F365" s="60">
        <f t="shared" si="38"/>
        <v>0</v>
      </c>
      <c r="G365" s="60">
        <f t="shared" si="39"/>
        <v>0</v>
      </c>
    </row>
    <row r="366" spans="1:7" x14ac:dyDescent="0.2">
      <c r="A366" s="60">
        <f t="shared" si="41"/>
        <v>352</v>
      </c>
      <c r="B366" s="59">
        <f t="shared" si="35"/>
        <v>352</v>
      </c>
      <c r="C366" s="60">
        <f t="shared" si="40"/>
        <v>0</v>
      </c>
      <c r="D366" s="60">
        <f t="shared" si="36"/>
        <v>0</v>
      </c>
      <c r="E366" s="60">
        <f t="shared" si="37"/>
        <v>0</v>
      </c>
      <c r="F366" s="60">
        <f t="shared" si="38"/>
        <v>0</v>
      </c>
      <c r="G366" s="60">
        <f t="shared" si="39"/>
        <v>0</v>
      </c>
    </row>
    <row r="367" spans="1:7" x14ac:dyDescent="0.2">
      <c r="A367" s="60">
        <f t="shared" si="41"/>
        <v>353</v>
      </c>
      <c r="B367" s="59">
        <f t="shared" si="35"/>
        <v>353</v>
      </c>
      <c r="C367" s="60">
        <f t="shared" si="40"/>
        <v>0</v>
      </c>
      <c r="D367" s="60">
        <f t="shared" si="36"/>
        <v>0</v>
      </c>
      <c r="E367" s="60">
        <f t="shared" si="37"/>
        <v>0</v>
      </c>
      <c r="F367" s="60">
        <f t="shared" si="38"/>
        <v>0</v>
      </c>
      <c r="G367" s="60">
        <f t="shared" si="39"/>
        <v>0</v>
      </c>
    </row>
    <row r="368" spans="1:7" x14ac:dyDescent="0.2">
      <c r="A368" s="60">
        <f t="shared" si="41"/>
        <v>354</v>
      </c>
      <c r="B368" s="59">
        <f t="shared" si="35"/>
        <v>354</v>
      </c>
      <c r="C368" s="60">
        <f t="shared" si="40"/>
        <v>0</v>
      </c>
      <c r="D368" s="60">
        <f t="shared" si="36"/>
        <v>0</v>
      </c>
      <c r="E368" s="60">
        <f t="shared" si="37"/>
        <v>0</v>
      </c>
      <c r="F368" s="60">
        <f t="shared" si="38"/>
        <v>0</v>
      </c>
      <c r="G368" s="60">
        <f t="shared" si="39"/>
        <v>0</v>
      </c>
    </row>
    <row r="369" spans="1:7" x14ac:dyDescent="0.2">
      <c r="A369" s="60">
        <f t="shared" si="41"/>
        <v>355</v>
      </c>
      <c r="B369" s="59">
        <f t="shared" si="35"/>
        <v>355</v>
      </c>
      <c r="C369" s="60">
        <f t="shared" si="40"/>
        <v>0</v>
      </c>
      <c r="D369" s="60">
        <f t="shared" si="36"/>
        <v>0</v>
      </c>
      <c r="E369" s="60">
        <f t="shared" si="37"/>
        <v>0</v>
      </c>
      <c r="F369" s="60">
        <f t="shared" si="38"/>
        <v>0</v>
      </c>
      <c r="G369" s="60">
        <f t="shared" si="39"/>
        <v>0</v>
      </c>
    </row>
    <row r="370" spans="1:7" x14ac:dyDescent="0.2">
      <c r="A370" s="60">
        <f t="shared" si="41"/>
        <v>356</v>
      </c>
      <c r="B370" s="59">
        <f t="shared" si="35"/>
        <v>356</v>
      </c>
      <c r="C370" s="60">
        <f t="shared" si="40"/>
        <v>0</v>
      </c>
      <c r="D370" s="60">
        <f t="shared" si="36"/>
        <v>0</v>
      </c>
      <c r="E370" s="60">
        <f t="shared" si="37"/>
        <v>0</v>
      </c>
      <c r="F370" s="60">
        <f t="shared" si="38"/>
        <v>0</v>
      </c>
      <c r="G370" s="60">
        <f t="shared" si="39"/>
        <v>0</v>
      </c>
    </row>
    <row r="371" spans="1:7" x14ac:dyDescent="0.2">
      <c r="A371" s="60">
        <f t="shared" si="41"/>
        <v>357</v>
      </c>
      <c r="B371" s="59">
        <f t="shared" si="35"/>
        <v>357</v>
      </c>
      <c r="C371" s="60">
        <f t="shared" si="40"/>
        <v>0</v>
      </c>
      <c r="D371" s="60">
        <f t="shared" si="36"/>
        <v>0</v>
      </c>
      <c r="E371" s="60">
        <f t="shared" si="37"/>
        <v>0</v>
      </c>
      <c r="F371" s="60">
        <f t="shared" si="38"/>
        <v>0</v>
      </c>
      <c r="G371" s="60">
        <f t="shared" si="39"/>
        <v>0</v>
      </c>
    </row>
    <row r="372" spans="1:7" x14ac:dyDescent="0.2">
      <c r="A372" s="60">
        <f t="shared" si="41"/>
        <v>358</v>
      </c>
      <c r="B372" s="59">
        <f t="shared" si="35"/>
        <v>358</v>
      </c>
      <c r="C372" s="60">
        <f t="shared" si="40"/>
        <v>0</v>
      </c>
      <c r="D372" s="60">
        <f t="shared" si="36"/>
        <v>0</v>
      </c>
      <c r="E372" s="60">
        <f t="shared" si="37"/>
        <v>0</v>
      </c>
      <c r="F372" s="60">
        <f t="shared" si="38"/>
        <v>0</v>
      </c>
      <c r="G372" s="60">
        <f t="shared" si="39"/>
        <v>0</v>
      </c>
    </row>
    <row r="373" spans="1:7" x14ac:dyDescent="0.2">
      <c r="A373" s="60">
        <f t="shared" si="41"/>
        <v>359</v>
      </c>
      <c r="B373" s="59">
        <f t="shared" si="35"/>
        <v>359</v>
      </c>
      <c r="C373" s="60">
        <f t="shared" si="40"/>
        <v>0</v>
      </c>
      <c r="D373" s="60">
        <f t="shared" si="36"/>
        <v>0</v>
      </c>
      <c r="E373" s="60">
        <f t="shared" si="37"/>
        <v>0</v>
      </c>
      <c r="F373" s="60">
        <f t="shared" si="38"/>
        <v>0</v>
      </c>
      <c r="G373" s="60">
        <f t="shared" si="39"/>
        <v>0</v>
      </c>
    </row>
    <row r="374" spans="1:7" x14ac:dyDescent="0.2">
      <c r="A374" s="60">
        <f t="shared" si="41"/>
        <v>360</v>
      </c>
      <c r="B374" s="59">
        <f t="shared" si="35"/>
        <v>360</v>
      </c>
      <c r="C374" s="60">
        <f t="shared" si="40"/>
        <v>0</v>
      </c>
      <c r="D374" s="60">
        <f t="shared" si="36"/>
        <v>0</v>
      </c>
      <c r="E374" s="60">
        <f t="shared" si="37"/>
        <v>0</v>
      </c>
      <c r="F374" s="60">
        <f t="shared" si="38"/>
        <v>0</v>
      </c>
      <c r="G374" s="60">
        <f t="shared" si="39"/>
        <v>0</v>
      </c>
    </row>
  </sheetData>
  <printOptions gridLinesSet="0"/>
  <pageMargins left="0.19685039370078741" right="0.19685039370078741" top="0.39370078740157483" bottom="0.39370078740157483" header="0.51181102362204722" footer="0.51181102362204722"/>
  <pageSetup paperSize="9" scale="85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3:AE235"/>
  <sheetViews>
    <sheetView topLeftCell="A256" workbookViewId="0">
      <selection activeCell="B225" sqref="B225"/>
    </sheetView>
  </sheetViews>
  <sheetFormatPr defaultRowHeight="12.75" x14ac:dyDescent="0.2"/>
  <cols>
    <col min="1" max="1" width="40.28515625" bestFit="1" customWidth="1"/>
    <col min="2" max="3" width="9.140625" customWidth="1"/>
    <col min="4" max="4" width="10.7109375" bestFit="1" customWidth="1"/>
    <col min="5" max="5" width="10.42578125" customWidth="1"/>
    <col min="6" max="6" width="10.7109375" bestFit="1" customWidth="1"/>
    <col min="7" max="12" width="10.5703125" customWidth="1"/>
    <col min="13" max="20" width="10.7109375" bestFit="1" customWidth="1"/>
    <col min="21" max="31" width="11" customWidth="1"/>
  </cols>
  <sheetData>
    <row r="3" spans="1:21" ht="13.5" thickBot="1" x14ac:dyDescent="0.25">
      <c r="A3" s="9" t="s">
        <v>38</v>
      </c>
      <c r="B3" s="95" t="s">
        <v>62</v>
      </c>
      <c r="C3" s="95" t="s">
        <v>63</v>
      </c>
      <c r="D3" s="95" t="s">
        <v>64</v>
      </c>
      <c r="E3" s="95" t="s">
        <v>69</v>
      </c>
      <c r="F3" s="95" t="s">
        <v>70</v>
      </c>
      <c r="G3" s="95" t="s">
        <v>71</v>
      </c>
      <c r="H3" s="95" t="s">
        <v>72</v>
      </c>
      <c r="I3" s="95" t="s">
        <v>73</v>
      </c>
      <c r="J3" s="95" t="s">
        <v>74</v>
      </c>
      <c r="K3" s="95" t="s">
        <v>75</v>
      </c>
      <c r="L3" s="95" t="s">
        <v>76</v>
      </c>
      <c r="M3" s="95" t="s">
        <v>77</v>
      </c>
      <c r="N3" s="95" t="s">
        <v>78</v>
      </c>
      <c r="O3" s="95" t="s">
        <v>79</v>
      </c>
      <c r="P3" s="95" t="s">
        <v>80</v>
      </c>
      <c r="Q3" s="95" t="s">
        <v>81</v>
      </c>
      <c r="R3" s="95" t="s">
        <v>82</v>
      </c>
      <c r="S3" s="95" t="s">
        <v>83</v>
      </c>
      <c r="T3" s="95" t="s">
        <v>84</v>
      </c>
      <c r="U3" s="95" t="s">
        <v>86</v>
      </c>
    </row>
    <row r="4" spans="1:21" ht="13.5" thickBot="1" x14ac:dyDescent="0.25">
      <c r="A4" s="320" t="s">
        <v>149</v>
      </c>
      <c r="B4" s="217">
        <f>+'DATI PROGETTO E FINANZIAMENTO'!C116</f>
        <v>134158</v>
      </c>
      <c r="C4" s="217">
        <f>+'DATI PROGETTO E FINANZIAMENTO'!D116</f>
        <v>147314</v>
      </c>
      <c r="D4" s="217">
        <f>+'DATI PROGETTO E FINANZIAMENTO'!E116</f>
        <v>161133.59999999998</v>
      </c>
      <c r="E4" s="217">
        <f>+'DATI PROGETTO E FINANZIAMENTO'!F116</f>
        <v>175578.83199999999</v>
      </c>
      <c r="F4" s="217">
        <f>+'DATI PROGETTO E FINANZIAMENTO'!G116</f>
        <v>188929.72863999999</v>
      </c>
      <c r="G4" s="217">
        <f>+'DATI PROGETTO E FINANZIAMENTO'!H116</f>
        <v>193004.32321280002</v>
      </c>
      <c r="H4" s="217">
        <f>+'DATI PROGETTO E FINANZIAMENTO'!I116</f>
        <v>197143.649677056</v>
      </c>
      <c r="I4" s="217">
        <f>+'DATI PROGETTO E FINANZIAMENTO'!J116</f>
        <v>201567.7426705971</v>
      </c>
      <c r="J4" s="217">
        <f>+'DATI PROGETTO E FINANZIAMENTO'!K116</f>
        <v>205904.63752400904</v>
      </c>
      <c r="K4" s="217">
        <f>+'DATI PROGETTO E FINANZIAMENTO'!L116</f>
        <v>208315.37027448922</v>
      </c>
      <c r="L4" s="217">
        <f>+'DATI PROGETTO E FINANZIAMENTO'!M116</f>
        <v>210777.97767997906</v>
      </c>
      <c r="M4" s="217">
        <f>+'DATI PROGETTO E FINANZIAMENTO'!N116</f>
        <v>188111.49723357859</v>
      </c>
      <c r="N4" s="217">
        <f>+'DATI PROGETTO E FINANZIAMENTO'!O116</f>
        <v>194576.9671782502</v>
      </c>
      <c r="O4" s="217">
        <f>+'DATI PROGETTO E FINANZIAMENTO'!P116</f>
        <v>196581.42652181518</v>
      </c>
      <c r="P4" s="217">
        <f>+'DATI PROGETTO E FINANZIAMENTO'!Q116</f>
        <v>198585.91505225148</v>
      </c>
      <c r="Q4" s="217">
        <f>+'DATI PROGETTO E FINANZIAMENTO'!R116</f>
        <v>200603.47335329652</v>
      </c>
      <c r="R4" s="217">
        <f>+'DATI PROGETTO E FINANZIAMENTO'!S116</f>
        <v>202670.14282036247</v>
      </c>
      <c r="S4" s="217">
        <f>+'DATI PROGETTO E FINANZIAMENTO'!T116</f>
        <v>204737.96567676967</v>
      </c>
      <c r="T4" s="217">
        <f>+'DATI PROGETTO E FINANZIAMENTO'!U116</f>
        <v>206856.98499030509</v>
      </c>
      <c r="U4" s="217">
        <f>+'DATI PROGETTO E FINANZIAMENTO'!V116</f>
        <v>208975.2446901112</v>
      </c>
    </row>
    <row r="5" spans="1:21" ht="13.5" thickBot="1" x14ac:dyDescent="0.25">
      <c r="A5" s="323" t="s">
        <v>148</v>
      </c>
      <c r="B5" s="222">
        <f>+'DATI PROGETTO E FINANZIAMENTO'!C118</f>
        <v>28096.800000000003</v>
      </c>
      <c r="C5" s="222">
        <f>+'DATI PROGETTO E FINANZIAMENTO'!D118</f>
        <v>41252.800000000003</v>
      </c>
      <c r="D5" s="222">
        <f>+'DATI PROGETTO E FINANZIAMENTO'!E118</f>
        <v>33860.159999999974</v>
      </c>
      <c r="E5" s="222">
        <f>+'DATI PROGETTO E FINANZIAMENTO'!F118</f>
        <v>48305.391999999993</v>
      </c>
      <c r="F5" s="222">
        <f>+'DATI PROGETTO E FINANZIAMENTO'!G118</f>
        <v>61656.288639999984</v>
      </c>
      <c r="G5" s="222">
        <f>+'DATI PROGETTO E FINANZIAMENTO'!H118</f>
        <v>59670.243212800007</v>
      </c>
      <c r="H5" s="222">
        <f>+'DATI PROGETTO E FINANZIAMENTO'!I118</f>
        <v>63809.569677055988</v>
      </c>
      <c r="I5" s="222">
        <f>+'DATI PROGETTO E FINANZIAMENTO'!J118</f>
        <v>68233.662670597085</v>
      </c>
      <c r="J5" s="222">
        <f>+'DATI PROGETTO E FINANZIAMENTO'!K118</f>
        <v>66509.917524009041</v>
      </c>
      <c r="K5" s="222">
        <f>+'DATI PROGETTO E FINANZIAMENTO'!L118</f>
        <v>68920.65027448922</v>
      </c>
      <c r="L5" s="222">
        <f>+'DATI PROGETTO E FINANZIAMENTO'!M118</f>
        <v>71383.257679979055</v>
      </c>
      <c r="M5" s="222">
        <f>+'DATI PROGETTO E FINANZIAMENTO'!N118</f>
        <v>48716.777233578585</v>
      </c>
      <c r="N5" s="222">
        <f>+'DATI PROGETTO E FINANZIAMENTO'!O118</f>
        <v>49121.607178250211</v>
      </c>
      <c r="O5" s="222">
        <f>+'DATI PROGETTO E FINANZIAMENTO'!P118</f>
        <v>51126.066521815199</v>
      </c>
      <c r="P5" s="222">
        <f>+'DATI PROGETTO E FINANZIAMENTO'!Q118</f>
        <v>53130.555052251497</v>
      </c>
      <c r="Q5" s="222">
        <f>+'DATI PROGETTO E FINANZIAMENTO'!R118</f>
        <v>49087.473353296518</v>
      </c>
      <c r="R5" s="222">
        <f>+'DATI PROGETTO E FINANZIAMENTO'!S118</f>
        <v>51154.142820362467</v>
      </c>
      <c r="S5" s="222">
        <f>+'DATI PROGETTO E FINANZIAMENTO'!T118</f>
        <v>53221.965676769672</v>
      </c>
      <c r="T5" s="222">
        <f>+'DATI PROGETTO E FINANZIAMENTO'!U118</f>
        <v>49280.344990305079</v>
      </c>
      <c r="U5" s="222">
        <f>+'DATI PROGETTO E FINANZIAMENTO'!V118</f>
        <v>51398.604690111184</v>
      </c>
    </row>
    <row r="6" spans="1:21" x14ac:dyDescent="0.2">
      <c r="A6" s="9" t="s">
        <v>143</v>
      </c>
      <c r="B6" s="256">
        <f>+'DATI PROGETTO E FINANZIAMENTO'!C122</f>
        <v>18096.800000000003</v>
      </c>
      <c r="C6" s="256">
        <f>+'DATI PROGETTO E FINANZIAMENTO'!D122</f>
        <v>29252.800000000003</v>
      </c>
      <c r="D6" s="256">
        <f>+'DATI PROGETTO E FINANZIAMENTO'!E122</f>
        <v>18860.159999999974</v>
      </c>
      <c r="E6" s="256">
        <f>+'DATI PROGETTO E FINANZIAMENTO'!F122</f>
        <v>31705.391999999993</v>
      </c>
      <c r="F6" s="256">
        <f>+'DATI PROGETTO E FINANZIAMENTO'!G122</f>
        <v>44456.288639999984</v>
      </c>
      <c r="G6" s="256">
        <f>+'DATI PROGETTO E FINANZIAMENTO'!H122</f>
        <v>42470.243212800007</v>
      </c>
      <c r="H6" s="256">
        <f>+'DATI PROGETTO E FINANZIAMENTO'!I122</f>
        <v>48609.569677055988</v>
      </c>
      <c r="I6" s="256">
        <f>+'DATI PROGETTO E FINANZIAMENTO'!J122</f>
        <v>56033.662670597085</v>
      </c>
      <c r="J6" s="256">
        <f>+'DATI PROGETTO E FINANZIAMENTO'!K122</f>
        <v>55909.917524009041</v>
      </c>
      <c r="K6" s="256">
        <f>+'DATI PROGETTO E FINANZIAMENTO'!L122</f>
        <v>58920.65027448922</v>
      </c>
      <c r="L6" s="256">
        <f>+'DATI PROGETTO E FINANZIAMENTO'!M122</f>
        <v>71383.257679979055</v>
      </c>
      <c r="M6" s="256">
        <f>+'DATI PROGETTO E FINANZIAMENTO'!N122</f>
        <v>45116.777233578585</v>
      </c>
      <c r="N6" s="256">
        <f>+'DATI PROGETTO E FINANZIAMENTO'!O122</f>
        <v>45521.607178250211</v>
      </c>
      <c r="O6" s="256">
        <f>+'DATI PROGETTO E FINANZIAMENTO'!P122</f>
        <v>47526.066521815199</v>
      </c>
      <c r="P6" s="256">
        <f>+'DATI PROGETTO E FINANZIAMENTO'!Q122</f>
        <v>49530.555052251497</v>
      </c>
      <c r="Q6" s="256">
        <f>+'DATI PROGETTO E FINANZIAMENTO'!R122</f>
        <v>49087.473353296518</v>
      </c>
      <c r="R6" s="256">
        <f>+'DATI PROGETTO E FINANZIAMENTO'!S122</f>
        <v>51154.142820362467</v>
      </c>
      <c r="S6" s="256">
        <f>+'DATI PROGETTO E FINANZIAMENTO'!T122</f>
        <v>53221.965676769672</v>
      </c>
      <c r="T6" s="256">
        <f>+'DATI PROGETTO E FINANZIAMENTO'!U122</f>
        <v>49280.344990305079</v>
      </c>
      <c r="U6" s="256">
        <f>+'DATI PROGETTO E FINANZIAMENTO'!V122</f>
        <v>51398.604690111184</v>
      </c>
    </row>
    <row r="7" spans="1:21" ht="15" x14ac:dyDescent="0.2">
      <c r="A7" s="154" t="s">
        <v>146</v>
      </c>
      <c r="B7" s="258">
        <f>+'DATI PROGETTO E FINANZIAMENTO'!C130</f>
        <v>14547</v>
      </c>
      <c r="C7" s="258">
        <f>+'DATI PROGETTO E FINANZIAMENTO'!D130</f>
        <v>25607</v>
      </c>
      <c r="D7" s="258">
        <f>+'DATI PROGETTO E FINANZIAMENTO'!E130</f>
        <v>15777</v>
      </c>
      <c r="E7" s="258">
        <f>+'DATI PROGETTO E FINANZIAMENTO'!F130</f>
        <v>28501</v>
      </c>
      <c r="F7" s="258">
        <f>+'DATI PROGETTO E FINANZIAMENTO'!G130</f>
        <v>41146</v>
      </c>
      <c r="G7" s="258">
        <f>+'DATI PROGETTO E FINANZIAMENTO'!H130</f>
        <v>39510</v>
      </c>
      <c r="H7" s="258">
        <f>+'DATI PROGETTO E FINANZIAMENTO'!I130</f>
        <v>45770</v>
      </c>
      <c r="I7" s="258">
        <f>+'DATI PROGETTO E FINANZIAMENTO'!J130</f>
        <v>53292</v>
      </c>
      <c r="J7" s="258">
        <f>+'DATI PROGETTO E FINANZIAMENTO'!K130</f>
        <v>53508</v>
      </c>
      <c r="K7" s="258">
        <f>+'DATI PROGETTO E FINANZIAMENTO'!L130</f>
        <v>56782</v>
      </c>
      <c r="L7" s="258">
        <f>+'DATI PROGETTO E FINANZIAMENTO'!M130</f>
        <v>69242</v>
      </c>
      <c r="M7" s="258">
        <f>+'DATI PROGETTO E FINANZIAMENTO'!N130</f>
        <v>43763</v>
      </c>
      <c r="N7" s="258">
        <f>+'DATI PROGETTO E FINANZIAMENTO'!O130</f>
        <v>44156</v>
      </c>
      <c r="O7" s="258">
        <f>+'DATI PROGETTO E FINANZIAMENTO'!P130</f>
        <v>46100</v>
      </c>
      <c r="P7" s="258">
        <f>+'DATI PROGETTO E FINANZIAMENTO'!Q130</f>
        <v>48045</v>
      </c>
      <c r="Q7" s="258">
        <f>+'DATI PROGETTO E FINANZIAMENTO'!R130</f>
        <v>47614</v>
      </c>
      <c r="R7" s="258">
        <f>+'DATI PROGETTO E FINANZIAMENTO'!S130</f>
        <v>49619</v>
      </c>
      <c r="S7" s="258">
        <f>+'DATI PROGETTO E FINANZIAMENTO'!T130</f>
        <v>51625</v>
      </c>
      <c r="T7" s="258">
        <f>+'DATI PROGETTO E FINANZIAMENTO'!U130</f>
        <v>47802</v>
      </c>
      <c r="U7" s="258">
        <f>+'DATI PROGETTO E FINANZIAMENTO'!V130</f>
        <v>49857</v>
      </c>
    </row>
    <row r="8" spans="1:21" x14ac:dyDescent="0.2">
      <c r="A8" s="123" t="s">
        <v>282</v>
      </c>
      <c r="B8" s="325">
        <f>B5</f>
        <v>28096.800000000003</v>
      </c>
      <c r="C8" s="325">
        <f>+B8+C5</f>
        <v>69349.600000000006</v>
      </c>
      <c r="D8" s="325">
        <f t="shared" ref="D8:U8" si="0">+C8+D5</f>
        <v>103209.75999999998</v>
      </c>
      <c r="E8" s="325">
        <f t="shared" si="0"/>
        <v>151515.15199999997</v>
      </c>
      <c r="F8" s="325">
        <f t="shared" si="0"/>
        <v>213171.44063999996</v>
      </c>
      <c r="G8" s="325">
        <f t="shared" si="0"/>
        <v>272841.68385279994</v>
      </c>
      <c r="H8" s="325">
        <f t="shared" si="0"/>
        <v>336651.25352985592</v>
      </c>
      <c r="I8" s="325">
        <f t="shared" si="0"/>
        <v>404884.91620045301</v>
      </c>
      <c r="J8" s="325">
        <f t="shared" si="0"/>
        <v>471394.83372446208</v>
      </c>
      <c r="K8" s="325">
        <f t="shared" si="0"/>
        <v>540315.48399895127</v>
      </c>
      <c r="L8" s="325">
        <f t="shared" si="0"/>
        <v>611698.74167893035</v>
      </c>
      <c r="M8" s="325">
        <f t="shared" si="0"/>
        <v>660415.51891250897</v>
      </c>
      <c r="N8" s="325">
        <f t="shared" si="0"/>
        <v>709537.12609075918</v>
      </c>
      <c r="O8" s="325">
        <f t="shared" si="0"/>
        <v>760663.19261257444</v>
      </c>
      <c r="P8" s="325">
        <f t="shared" si="0"/>
        <v>813793.74766482599</v>
      </c>
      <c r="Q8" s="325">
        <f t="shared" si="0"/>
        <v>862881.22101812251</v>
      </c>
      <c r="R8" s="325">
        <f t="shared" si="0"/>
        <v>914035.36383848498</v>
      </c>
      <c r="S8" s="325">
        <f t="shared" si="0"/>
        <v>967257.32951525459</v>
      </c>
      <c r="T8" s="325">
        <f t="shared" si="0"/>
        <v>1016537.6745055597</v>
      </c>
      <c r="U8" s="325">
        <f t="shared" si="0"/>
        <v>1067936.279195671</v>
      </c>
    </row>
    <row r="9" spans="1:21" x14ac:dyDescent="0.2">
      <c r="A9" s="123" t="s">
        <v>105</v>
      </c>
      <c r="B9" s="325">
        <f>+'BUSINESS PLAN'!D58</f>
        <v>20107.620055845415</v>
      </c>
      <c r="C9" s="325">
        <f>+'BUSINESS PLAN'!E58</f>
        <v>40492.440111690783</v>
      </c>
      <c r="D9" s="325">
        <f>+'BUSINESS PLAN'!F58</f>
        <v>47927.390537906555</v>
      </c>
      <c r="E9" s="325">
        <f>+'BUSINESS PLAN'!G58</f>
        <v>78409.220964122331</v>
      </c>
      <c r="F9" s="325">
        <f>+'BUSINESS PLAN'!H58</f>
        <v>127713.93139033811</v>
      </c>
      <c r="G9" s="325">
        <f>+'BUSINESS PLAN'!I58</f>
        <v>156544.02848322049</v>
      </c>
      <c r="H9" s="325">
        <f>+'BUSINESS PLAN'!J58</f>
        <v>211405.28557610291</v>
      </c>
      <c r="I9" s="325">
        <f>+'BUSINESS PLAN'!K58</f>
        <v>270382.06266898534</v>
      </c>
      <c r="J9" s="325">
        <f>+'BUSINESS PLAN'!L58</f>
        <v>327600.82642853446</v>
      </c>
      <c r="K9" s="325">
        <f>+'BUSINESS PLAN'!M58</f>
        <v>387120.6701880836</v>
      </c>
      <c r="L9" s="325">
        <f>+'BUSINESS PLAN'!N58</f>
        <v>456925.23759549105</v>
      </c>
      <c r="M9" s="325">
        <f>+'BUSINESS PLAN'!O58</f>
        <v>503914.28500289848</v>
      </c>
      <c r="N9" s="325">
        <f>+'BUSINESS PLAN'!P58</f>
        <v>552252.5190769725</v>
      </c>
      <c r="O9" s="325">
        <f>+'BUSINESS PLAN'!Q58</f>
        <v>602459.79315104662</v>
      </c>
      <c r="P9" s="325">
        <f>+'BUSINESS PLAN'!R58</f>
        <v>654486.10722512065</v>
      </c>
      <c r="Q9" s="325">
        <f>+'BUSINESS PLAN'!S58</f>
        <v>702603.68796586141</v>
      </c>
      <c r="R9" s="325">
        <f>+'BUSINESS PLAN'!T58</f>
        <v>752670.38870660216</v>
      </c>
      <c r="S9" s="325">
        <f>+'BUSINESS PLAN'!U58</f>
        <v>804610.28944734286</v>
      </c>
      <c r="T9" s="325">
        <f>+'BUSINESS PLAN'!V58</f>
        <v>852732.29685475025</v>
      </c>
      <c r="U9" s="325">
        <f>+'BUSINESS PLAN'!W58</f>
        <v>902954.3842621576</v>
      </c>
    </row>
    <row r="10" spans="1:21" x14ac:dyDescent="0.2">
      <c r="A10" s="326" t="s">
        <v>165</v>
      </c>
      <c r="B10" s="296">
        <f>+'BUSINESS PLAN'!D70</f>
        <v>27253.896000000004</v>
      </c>
      <c r="C10" s="296">
        <f>+'BUSINESS PLAN'!E70</f>
        <v>40015.216</v>
      </c>
      <c r="D10" s="296">
        <f>+'BUSINESS PLAN'!F70</f>
        <v>32844.743199999997</v>
      </c>
      <c r="E10" s="296">
        <f>+'BUSINESS PLAN'!G70</f>
        <v>46856.393199999999</v>
      </c>
      <c r="F10" s="296">
        <f>+'BUSINESS PLAN'!H70</f>
        <v>59806.8632</v>
      </c>
      <c r="G10" s="296">
        <f>+'BUSINESS PLAN'!I70</f>
        <v>57879.822399999983</v>
      </c>
      <c r="H10" s="296">
        <f>+'BUSINESS PLAN'!J70</f>
        <v>61895.622399999986</v>
      </c>
      <c r="I10" s="296">
        <f>+'BUSINESS PLAN'!K70</f>
        <v>66186.902399999977</v>
      </c>
      <c r="J10" s="296">
        <f>+'BUSINESS PLAN'!L70</f>
        <v>64514.971599999997</v>
      </c>
      <c r="K10" s="296">
        <f>+'BUSINESS PLAN'!M70</f>
        <v>66852.671600000001</v>
      </c>
      <c r="L10" s="296">
        <f>+'BUSINESS PLAN'!N70</f>
        <v>69241.781600000002</v>
      </c>
      <c r="M10" s="296">
        <f>+'BUSINESS PLAN'!O70</f>
        <v>47254.791599999997</v>
      </c>
      <c r="N10" s="296">
        <f>+'BUSINESS PLAN'!P70</f>
        <v>47647.990800000014</v>
      </c>
      <c r="O10" s="296">
        <f>+'BUSINESS PLAN'!Q70</f>
        <v>49591.870800000012</v>
      </c>
      <c r="P10" s="296">
        <f>+'BUSINESS PLAN'!R70</f>
        <v>51536.72080000001</v>
      </c>
      <c r="Q10" s="296">
        <f>+'BUSINESS PLAN'!S70</f>
        <v>47614.39</v>
      </c>
      <c r="R10" s="296">
        <f>+'BUSINESS PLAN'!T70</f>
        <v>49619.38</v>
      </c>
      <c r="S10" s="296">
        <f>+'BUSINESS PLAN'!U70</f>
        <v>51625.34</v>
      </c>
      <c r="T10" s="296">
        <f>+'BUSINESS PLAN'!V70</f>
        <v>47801.949199999988</v>
      </c>
      <c r="U10" s="296">
        <f>+'BUSINESS PLAN'!W70</f>
        <v>49856.409199999987</v>
      </c>
    </row>
    <row r="11" spans="1:21" x14ac:dyDescent="0.2">
      <c r="A11" s="188" t="s">
        <v>283</v>
      </c>
      <c r="B11" s="327">
        <f>+B10</f>
        <v>27253.896000000004</v>
      </c>
      <c r="C11" s="327">
        <f>+B11+C10</f>
        <v>67269.112000000008</v>
      </c>
      <c r="D11" s="327">
        <f t="shared" ref="D11:U11" si="1">+C11+D10</f>
        <v>100113.85520000001</v>
      </c>
      <c r="E11" s="327">
        <f t="shared" si="1"/>
        <v>146970.24840000001</v>
      </c>
      <c r="F11" s="327">
        <f t="shared" si="1"/>
        <v>206777.1116</v>
      </c>
      <c r="G11" s="327">
        <f t="shared" si="1"/>
        <v>264656.93400000001</v>
      </c>
      <c r="H11" s="327">
        <f t="shared" si="1"/>
        <v>326552.5564</v>
      </c>
      <c r="I11" s="327">
        <f t="shared" si="1"/>
        <v>392739.45879999996</v>
      </c>
      <c r="J11" s="327">
        <f t="shared" si="1"/>
        <v>457254.43039999995</v>
      </c>
      <c r="K11" s="327">
        <f t="shared" si="1"/>
        <v>524107.10199999996</v>
      </c>
      <c r="L11" s="327">
        <f t="shared" si="1"/>
        <v>593348.88359999994</v>
      </c>
      <c r="M11" s="327">
        <f t="shared" si="1"/>
        <v>640603.67519999994</v>
      </c>
      <c r="N11" s="327">
        <f t="shared" si="1"/>
        <v>688251.66599999997</v>
      </c>
      <c r="O11" s="327">
        <f t="shared" si="1"/>
        <v>737843.5368</v>
      </c>
      <c r="P11" s="327">
        <f t="shared" si="1"/>
        <v>789380.25760000001</v>
      </c>
      <c r="Q11" s="327">
        <f t="shared" si="1"/>
        <v>836994.64760000003</v>
      </c>
      <c r="R11" s="327">
        <f t="shared" si="1"/>
        <v>886614.02760000003</v>
      </c>
      <c r="S11" s="327">
        <f t="shared" si="1"/>
        <v>938239.3676</v>
      </c>
      <c r="T11" s="327">
        <f t="shared" si="1"/>
        <v>986041.31680000003</v>
      </c>
      <c r="U11" s="327">
        <f t="shared" si="1"/>
        <v>1035897.726</v>
      </c>
    </row>
    <row r="12" spans="1:21" ht="25.5" x14ac:dyDescent="0.2">
      <c r="A12" s="328" t="s">
        <v>275</v>
      </c>
      <c r="B12" s="139">
        <f>+'BUSINESS PLAN'!D94</f>
        <v>23596.446753246757</v>
      </c>
      <c r="C12" s="139">
        <f>+'BUSINESS PLAN'!E94</f>
        <v>53592.298405202309</v>
      </c>
      <c r="D12" s="139">
        <f>+'BUSINESS PLAN'!F94</f>
        <v>74908.995693159508</v>
      </c>
      <c r="E12" s="139">
        <f>+'BUSINESS PLAN'!G94</f>
        <v>101238.39303313731</v>
      </c>
      <c r="F12" s="139">
        <f>+'BUSINESS PLAN'!H94</f>
        <v>130334.91665087303</v>
      </c>
      <c r="G12" s="139">
        <f>+'BUSINESS PLAN'!I94</f>
        <v>154715.00552699616</v>
      </c>
      <c r="H12" s="139">
        <f>+'BUSINESS PLAN'!J94</f>
        <v>177287.83729229638</v>
      </c>
      <c r="I12" s="139">
        <f>+'BUSINESS PLAN'!K94</f>
        <v>198186.38863110048</v>
      </c>
      <c r="J12" s="139">
        <f>+'BUSINESS PLAN'!L94</f>
        <v>215823.30487043445</v>
      </c>
      <c r="K12" s="139">
        <f>+'BUSINESS PLAN'!M94</f>
        <v>231646.67274955133</v>
      </c>
      <c r="L12" s="139">
        <f>+'BUSINESS PLAN'!N94</f>
        <v>245836.15036687721</v>
      </c>
      <c r="M12" s="139">
        <f>+'BUSINESS PLAN'!O94</f>
        <v>254220.358318296</v>
      </c>
      <c r="N12" s="139">
        <f>+'BUSINESS PLAN'!P94</f>
        <v>261539.8141974404</v>
      </c>
      <c r="O12" s="139">
        <f>+'BUSINESS PLAN'!Q94</f>
        <v>268135.54181997373</v>
      </c>
      <c r="P12" s="139">
        <f>+'BUSINESS PLAN'!R94</f>
        <v>274070.0812293975</v>
      </c>
      <c r="Q12" s="139">
        <f>+'BUSINESS PLAN'!S94</f>
        <v>278817.16042580531</v>
      </c>
      <c r="R12" s="139">
        <f>+'BUSINESS PLAN'!T94</f>
        <v>283100.2543831644</v>
      </c>
      <c r="S12" s="139">
        <f>+'BUSINESS PLAN'!U94</f>
        <v>286958.47634493717</v>
      </c>
      <c r="T12" s="139">
        <f>+'BUSINESS PLAN'!V94</f>
        <v>290051.53321862966</v>
      </c>
      <c r="U12" s="139">
        <f>+'BUSINESS PLAN'!W94</f>
        <v>292844.59994814725</v>
      </c>
    </row>
    <row r="13" spans="1:21" x14ac:dyDescent="0.2">
      <c r="A13" s="329" t="s">
        <v>284</v>
      </c>
      <c r="B13" s="12">
        <f>+'DATI PROGETTO E FINANZIAMENTO'!C14+'DATI PROGETTO E FINANZIAMENTO'!C54</f>
        <v>100000</v>
      </c>
      <c r="C13" s="330">
        <f>+'DATI PROGETTO E FINANZIAMENTO'!D54</f>
        <v>10000</v>
      </c>
      <c r="D13" s="330">
        <f>+'DATI PROGETTO E FINANZIAMENTO'!E54</f>
        <v>15000</v>
      </c>
      <c r="E13" s="330">
        <f>+'DATI PROGETTO E FINANZIAMENTO'!F54</f>
        <v>8000</v>
      </c>
      <c r="F13" s="330">
        <f>+'DATI PROGETTO E FINANZIAMENTO'!G54</f>
        <v>3000</v>
      </c>
      <c r="G13" s="330">
        <f>+'DATI PROGETTO E FINANZIAMENTO'!H54</f>
        <v>18000</v>
      </c>
      <c r="H13" s="330">
        <f>+'DATI PROGETTO E FINANZIAMENTO'!I54</f>
        <v>0</v>
      </c>
      <c r="I13" s="330">
        <f>+'DATI PROGETTO E FINANZIAMENTO'!J54</f>
        <v>0</v>
      </c>
      <c r="J13" s="330">
        <f>+'DATI PROGETTO E FINANZIAMENTO'!K54</f>
        <v>0</v>
      </c>
      <c r="K13" s="330">
        <f>+'DATI PROGETTO E FINANZIAMENTO'!L54</f>
        <v>0</v>
      </c>
      <c r="L13" s="330">
        <f>+'DATI PROGETTO E FINANZIAMENTO'!M54</f>
        <v>0</v>
      </c>
      <c r="M13" s="330">
        <f>+'DATI PROGETTO E FINANZIAMENTO'!N54</f>
        <v>0</v>
      </c>
      <c r="N13" s="330">
        <f>+'DATI PROGETTO E FINANZIAMENTO'!O54</f>
        <v>0</v>
      </c>
      <c r="O13" s="330">
        <f>+'DATI PROGETTO E FINANZIAMENTO'!P54</f>
        <v>0</v>
      </c>
      <c r="P13" s="330">
        <f>+'DATI PROGETTO E FINANZIAMENTO'!Q54</f>
        <v>0</v>
      </c>
      <c r="Q13" s="330">
        <f>+'DATI PROGETTO E FINANZIAMENTO'!R54</f>
        <v>0</v>
      </c>
      <c r="R13" s="330">
        <f>+'DATI PROGETTO E FINANZIAMENTO'!S54</f>
        <v>0</v>
      </c>
      <c r="S13" s="330">
        <f>+'DATI PROGETTO E FINANZIAMENTO'!T54</f>
        <v>0</v>
      </c>
      <c r="T13" s="330">
        <f>+'DATI PROGETTO E FINANZIAMENTO'!U54</f>
        <v>0</v>
      </c>
      <c r="U13" s="330">
        <f>+'DATI PROGETTO E FINANZIAMENTO'!V54</f>
        <v>0</v>
      </c>
    </row>
    <row r="14" spans="1:21" x14ac:dyDescent="0.2">
      <c r="A14" s="329" t="s">
        <v>285</v>
      </c>
      <c r="B14" s="331">
        <f>+B13</f>
        <v>100000</v>
      </c>
      <c r="C14" s="332">
        <f>+B14+C13</f>
        <v>110000</v>
      </c>
      <c r="D14" s="332">
        <f t="shared" ref="D14:U14" si="2">+C14+D13</f>
        <v>125000</v>
      </c>
      <c r="E14" s="332">
        <f t="shared" si="2"/>
        <v>133000</v>
      </c>
      <c r="F14" s="332">
        <f t="shared" si="2"/>
        <v>136000</v>
      </c>
      <c r="G14" s="332">
        <f t="shared" si="2"/>
        <v>154000</v>
      </c>
      <c r="H14" s="332">
        <f t="shared" si="2"/>
        <v>154000</v>
      </c>
      <c r="I14" s="332">
        <f t="shared" si="2"/>
        <v>154000</v>
      </c>
      <c r="J14" s="332">
        <f t="shared" si="2"/>
        <v>154000</v>
      </c>
      <c r="K14" s="332">
        <f t="shared" si="2"/>
        <v>154000</v>
      </c>
      <c r="L14" s="332">
        <f t="shared" si="2"/>
        <v>154000</v>
      </c>
      <c r="M14" s="332">
        <f t="shared" si="2"/>
        <v>154000</v>
      </c>
      <c r="N14" s="332">
        <f t="shared" si="2"/>
        <v>154000</v>
      </c>
      <c r="O14" s="332">
        <f t="shared" si="2"/>
        <v>154000</v>
      </c>
      <c r="P14" s="332">
        <f t="shared" si="2"/>
        <v>154000</v>
      </c>
      <c r="Q14" s="332">
        <f t="shared" si="2"/>
        <v>154000</v>
      </c>
      <c r="R14" s="332">
        <f t="shared" si="2"/>
        <v>154000</v>
      </c>
      <c r="S14" s="332">
        <f t="shared" si="2"/>
        <v>154000</v>
      </c>
      <c r="T14" s="332">
        <f t="shared" si="2"/>
        <v>154000</v>
      </c>
      <c r="U14" s="332">
        <f t="shared" si="2"/>
        <v>154000</v>
      </c>
    </row>
    <row r="15" spans="1:21" x14ac:dyDescent="0.2">
      <c r="A15" s="329" t="s">
        <v>286</v>
      </c>
      <c r="B15" s="331">
        <f>+B14</f>
        <v>100000</v>
      </c>
      <c r="C15" s="331">
        <f>+$B$15</f>
        <v>100000</v>
      </c>
      <c r="D15" s="331">
        <f t="shared" ref="D15:U15" si="3">+$B$15</f>
        <v>100000</v>
      </c>
      <c r="E15" s="331">
        <f t="shared" si="3"/>
        <v>100000</v>
      </c>
      <c r="F15" s="331">
        <f t="shared" si="3"/>
        <v>100000</v>
      </c>
      <c r="G15" s="331">
        <f t="shared" si="3"/>
        <v>100000</v>
      </c>
      <c r="H15" s="331">
        <f t="shared" si="3"/>
        <v>100000</v>
      </c>
      <c r="I15" s="331">
        <f t="shared" si="3"/>
        <v>100000</v>
      </c>
      <c r="J15" s="331">
        <f t="shared" si="3"/>
        <v>100000</v>
      </c>
      <c r="K15" s="331">
        <f t="shared" si="3"/>
        <v>100000</v>
      </c>
      <c r="L15" s="331">
        <f t="shared" si="3"/>
        <v>100000</v>
      </c>
      <c r="M15" s="331">
        <f t="shared" si="3"/>
        <v>100000</v>
      </c>
      <c r="N15" s="331">
        <f t="shared" si="3"/>
        <v>100000</v>
      </c>
      <c r="O15" s="331">
        <f t="shared" si="3"/>
        <v>100000</v>
      </c>
      <c r="P15" s="331">
        <f t="shared" si="3"/>
        <v>100000</v>
      </c>
      <c r="Q15" s="331">
        <f t="shared" si="3"/>
        <v>100000</v>
      </c>
      <c r="R15" s="331">
        <f t="shared" si="3"/>
        <v>100000</v>
      </c>
      <c r="S15" s="331">
        <f t="shared" si="3"/>
        <v>100000</v>
      </c>
      <c r="T15" s="331">
        <f t="shared" si="3"/>
        <v>100000</v>
      </c>
      <c r="U15" s="331">
        <f t="shared" si="3"/>
        <v>100000</v>
      </c>
    </row>
    <row r="221" spans="1:31" x14ac:dyDescent="0.2">
      <c r="A221" s="20"/>
      <c r="B221" s="95" t="str">
        <f>'DATI PROGETTO E FINANZIAMENTO'!C168</f>
        <v>1 anno</v>
      </c>
      <c r="C221" s="95" t="str">
        <f>'DATI PROGETTO E FINANZIAMENTO'!D168</f>
        <v>2 anno</v>
      </c>
      <c r="D221" s="95" t="str">
        <f>'DATI PROGETTO E FINANZIAMENTO'!E168</f>
        <v>3 anno</v>
      </c>
      <c r="E221" s="95" t="str">
        <f>'DATI PROGETTO E FINANZIAMENTO'!F168</f>
        <v>4 anno</v>
      </c>
      <c r="F221" s="95" t="str">
        <f>'DATI PROGETTO E FINANZIAMENTO'!G168</f>
        <v>5 anno</v>
      </c>
      <c r="G221" s="95" t="str">
        <f>'DATI PROGETTO E FINANZIAMENTO'!H168</f>
        <v>6 anno</v>
      </c>
      <c r="H221" s="95" t="str">
        <f>'DATI PROGETTO E FINANZIAMENTO'!I168</f>
        <v>7 anno</v>
      </c>
      <c r="I221" s="95" t="str">
        <f>'DATI PROGETTO E FINANZIAMENTO'!J168</f>
        <v>8 anno</v>
      </c>
      <c r="J221" s="95" t="str">
        <f>'DATI PROGETTO E FINANZIAMENTO'!K168</f>
        <v>9 anno</v>
      </c>
      <c r="K221" s="95" t="str">
        <f>'DATI PROGETTO E FINANZIAMENTO'!L168</f>
        <v>10 anno</v>
      </c>
      <c r="L221" s="95" t="str">
        <f>'DATI PROGETTO E FINANZIAMENTO'!M168</f>
        <v>11 anno</v>
      </c>
      <c r="M221" s="95" t="str">
        <f>'DATI PROGETTO E FINANZIAMENTO'!N168</f>
        <v>12 anno</v>
      </c>
      <c r="N221" s="95" t="str">
        <f>'DATI PROGETTO E FINANZIAMENTO'!O168</f>
        <v>13 anno</v>
      </c>
      <c r="O221" s="95" t="str">
        <f>'DATI PROGETTO E FINANZIAMENTO'!P168</f>
        <v>14 anno</v>
      </c>
      <c r="P221" s="95" t="str">
        <f>'DATI PROGETTO E FINANZIAMENTO'!Q168</f>
        <v>15 anno</v>
      </c>
      <c r="Q221" s="95" t="str">
        <f>'DATI PROGETTO E FINANZIAMENTO'!R168</f>
        <v>16 anno</v>
      </c>
      <c r="R221" s="95" t="str">
        <f>'DATI PROGETTO E FINANZIAMENTO'!S168</f>
        <v>17 anno</v>
      </c>
      <c r="S221" s="95" t="str">
        <f>'DATI PROGETTO E FINANZIAMENTO'!T168</f>
        <v>18 anno</v>
      </c>
      <c r="T221" s="95" t="str">
        <f>'DATI PROGETTO E FINANZIAMENTO'!U168</f>
        <v>19 anno</v>
      </c>
      <c r="U221" s="95" t="str">
        <f>'DATI PROGETTO E FINANZIAMENTO'!V168</f>
        <v>20 anno</v>
      </c>
      <c r="V221" s="95" t="s">
        <v>87</v>
      </c>
      <c r="W221" s="95" t="s">
        <v>88</v>
      </c>
      <c r="X221" s="95" t="s">
        <v>89</v>
      </c>
      <c r="Y221" s="95" t="s">
        <v>107</v>
      </c>
      <c r="Z221" s="95" t="s">
        <v>108</v>
      </c>
      <c r="AA221" s="95" t="s">
        <v>109</v>
      </c>
      <c r="AB221" s="95" t="s">
        <v>110</v>
      </c>
      <c r="AC221" s="95" t="s">
        <v>111</v>
      </c>
      <c r="AD221" s="95" t="s">
        <v>112</v>
      </c>
      <c r="AE221" s="95" t="s">
        <v>113</v>
      </c>
    </row>
    <row r="222" spans="1:31" x14ac:dyDescent="0.2">
      <c r="A222" s="95" t="s">
        <v>156</v>
      </c>
      <c r="B222" s="211">
        <f>'DATI PROGETTO E FINANZIAMENTO'!C169</f>
        <v>244380</v>
      </c>
      <c r="C222" s="211">
        <f>'DATI PROGETTO E FINANZIAMENTO'!D169</f>
        <v>266975</v>
      </c>
      <c r="D222" s="211">
        <f>'DATI PROGETTO E FINANZIAMENTO'!E169</f>
        <v>290706.59999999998</v>
      </c>
      <c r="E222" s="211">
        <f>'DATI PROGETTO E FINANZIAMENTO'!F169</f>
        <v>315675.83199999999</v>
      </c>
      <c r="F222" s="211">
        <f>'DATI PROGETTO E FINANZIAMENTO'!G169</f>
        <v>338621.72863999999</v>
      </c>
      <c r="G222" s="211">
        <f>'DATI PROGETTO E FINANZIAMENTO'!H169</f>
        <v>345775.32321280002</v>
      </c>
      <c r="H222" s="211">
        <f>'DATI PROGETTO E FINANZIAMENTO'!I169</f>
        <v>353040.649677056</v>
      </c>
      <c r="I222" s="211">
        <f>'DATI PROGETTO E FINANZIAMENTO'!J169</f>
        <v>360724.7426705971</v>
      </c>
      <c r="J222" s="211">
        <f>'DATI PROGETTO E FINANZIAMENTO'!K169</f>
        <v>368328.63752400904</v>
      </c>
      <c r="K222" s="211">
        <f>'DATI PROGETTO E FINANZIAMENTO'!L169</f>
        <v>372448.37027448922</v>
      </c>
      <c r="L222" s="211">
        <f>'DATI PROGETTO E FINANZIAMENTO'!M169</f>
        <v>376661.97767997906</v>
      </c>
      <c r="M222" s="211">
        <f>'DATI PROGETTO E FINANZIAMENTO'!N169</f>
        <v>337915.49723357859</v>
      </c>
      <c r="N222" s="211">
        <f>'DATI PROGETTO E FINANZIAMENTO'!O169</f>
        <v>348966.9671782502</v>
      </c>
      <c r="O222" s="211">
        <f>'DATI PROGETTO E FINANZIAMENTO'!P169</f>
        <v>352531.42652181518</v>
      </c>
      <c r="P222" s="211">
        <f>'DATI PROGETTO E FINANZIAMENTO'!Q169</f>
        <v>356097.91505225148</v>
      </c>
      <c r="Q222" s="211">
        <f>'DATI PROGETTO E FINANZIAMENTO'!R169</f>
        <v>359681.47335329652</v>
      </c>
      <c r="R222" s="211">
        <f>'DATI PROGETTO E FINANZIAMENTO'!S169</f>
        <v>363353.14282036247</v>
      </c>
      <c r="S222" s="211">
        <f>'DATI PROGETTO E FINANZIAMENTO'!T169</f>
        <v>367027.96567676967</v>
      </c>
      <c r="T222" s="211">
        <f>'DATI PROGETTO E FINANZIAMENTO'!U169</f>
        <v>370790.98499030509</v>
      </c>
      <c r="U222" s="211">
        <f>'DATI PROGETTO E FINANZIAMENTO'!V169</f>
        <v>374556.2446901112</v>
      </c>
      <c r="V222" s="211">
        <v>1659150</v>
      </c>
      <c r="W222" s="211">
        <v>1675350</v>
      </c>
      <c r="X222" s="211">
        <v>1692225</v>
      </c>
      <c r="Y222" s="211">
        <v>1709775</v>
      </c>
      <c r="Z222" s="211">
        <v>1727325</v>
      </c>
      <c r="AA222" s="211">
        <v>1744875</v>
      </c>
      <c r="AB222" s="211">
        <v>1762425</v>
      </c>
      <c r="AC222" s="211">
        <v>1779975</v>
      </c>
      <c r="AD222" s="211">
        <v>1798200</v>
      </c>
      <c r="AE222" s="211">
        <v>1816425</v>
      </c>
    </row>
    <row r="223" spans="1:31" x14ac:dyDescent="0.2">
      <c r="A223" s="95" t="s">
        <v>287</v>
      </c>
      <c r="B223" s="211">
        <f>'DATI PROGETTO E FINANZIAMENTO'!C170</f>
        <v>72562</v>
      </c>
      <c r="C223" s="211">
        <f>'DATI PROGETTO E FINANZIAMENTO'!D170</f>
        <v>79388</v>
      </c>
      <c r="D223" s="211">
        <f>'DATI PROGETTO E FINANZIAMENTO'!E170</f>
        <v>86563</v>
      </c>
      <c r="E223" s="211">
        <f>'DATI PROGETTO E FINANZIAMENTO'!F170</f>
        <v>94091</v>
      </c>
      <c r="F223" s="211">
        <f>'DATI PROGETTO E FINANZIAMENTO'!G170</f>
        <v>101020</v>
      </c>
      <c r="G223" s="211">
        <f>'DATI PROGETTO E FINANZIAMENTO'!H170</f>
        <v>103085</v>
      </c>
      <c r="H223" s="211">
        <f>'DATI PROGETTO E FINANZIAMENTO'!I170</f>
        <v>105180</v>
      </c>
      <c r="I223" s="211">
        <f>'DATI PROGETTO E FINANZIAMENTO'!J170</f>
        <v>107361</v>
      </c>
      <c r="J223" s="211">
        <f>'DATI PROGETTO E FINANZIAMENTO'!K170</f>
        <v>109551</v>
      </c>
      <c r="K223" s="211">
        <f>'DATI PROGETTO E FINANZIAMENTO'!L170</f>
        <v>110686</v>
      </c>
      <c r="L223" s="211">
        <f>'DATI PROGETTO E FINANZIAMENTO'!M170</f>
        <v>111851</v>
      </c>
      <c r="M223" s="211">
        <f>'DATI PROGETTO E FINANZIAMENTO'!N170</f>
        <v>99695</v>
      </c>
      <c r="N223" s="211">
        <f>'DATI PROGETTO E FINANZIAMENTO'!O170</f>
        <v>102974</v>
      </c>
      <c r="O223" s="211">
        <f>'DATI PROGETTO E FINANZIAMENTO'!P170</f>
        <v>104012</v>
      </c>
      <c r="P223" s="211">
        <f>'DATI PROGETTO E FINANZIAMENTO'!Q170</f>
        <v>105051</v>
      </c>
      <c r="Q223" s="211">
        <f>'DATI PROGETTO E FINANZIAMENTO'!R170</f>
        <v>106090</v>
      </c>
      <c r="R223" s="211">
        <f>'DATI PROGETTO E FINANZIAMENTO'!S170</f>
        <v>107157</v>
      </c>
      <c r="S223" s="211">
        <f>'DATI PROGETTO E FINANZIAMENTO'!T170</f>
        <v>108224</v>
      </c>
      <c r="T223" s="211">
        <f>'DATI PROGETTO E FINANZIAMENTO'!U170</f>
        <v>109318</v>
      </c>
      <c r="U223" s="211">
        <f>'DATI PROGETTO E FINANZIAMENTO'!V170</f>
        <v>110413</v>
      </c>
      <c r="V223" s="211">
        <v>696672</v>
      </c>
      <c r="W223" s="211">
        <v>703513</v>
      </c>
      <c r="X223" s="211">
        <v>710551</v>
      </c>
      <c r="Y223" s="211">
        <v>717893</v>
      </c>
      <c r="Z223" s="211">
        <v>725233</v>
      </c>
      <c r="AA223" s="211">
        <v>732576</v>
      </c>
      <c r="AB223" s="211">
        <v>739916</v>
      </c>
      <c r="AC223" s="211">
        <v>747258</v>
      </c>
      <c r="AD223" s="211">
        <v>754902</v>
      </c>
      <c r="AE223" s="211">
        <v>762545</v>
      </c>
    </row>
    <row r="224" spans="1:31" x14ac:dyDescent="0.2">
      <c r="A224" s="95" t="s">
        <v>288</v>
      </c>
      <c r="B224" s="211">
        <f>'DATI PROGETTO E FINANZIAMENTO'!C171</f>
        <v>156821.20000000001</v>
      </c>
      <c r="C224" s="211">
        <f>'DATI PROGETTO E FINANZIAMENTO'!D171</f>
        <v>161187.73581760708</v>
      </c>
      <c r="D224" s="211">
        <f>'DATI PROGETTO E FINANZIAMENTO'!E171</f>
        <v>187878.18842609454</v>
      </c>
      <c r="E224" s="211">
        <f>'DATI PROGETTO E FINANZIAMENTO'!F171</f>
        <v>192202.4616650063</v>
      </c>
      <c r="F224" s="211">
        <f>'DATI PROGETTO E FINANZIAMENTO'!G171</f>
        <v>195183.14856586375</v>
      </c>
      <c r="G224" s="211">
        <f>'DATI PROGETTO E FINANZIAMENTO'!H171</f>
        <v>201958.20981176401</v>
      </c>
      <c r="H224" s="211">
        <f>'DATI PROGETTO E FINANZIAMENTO'!I171</f>
        <v>200674.65211995933</v>
      </c>
      <c r="I224" s="211">
        <f>'DATI PROGETTO E FINANZIAMENTO'!J171</f>
        <v>198423.36654356433</v>
      </c>
      <c r="J224" s="211">
        <f>'DATI PROGETTO E FINANZIAMENTO'!K171</f>
        <v>203614.20668834963</v>
      </c>
      <c r="K224" s="211">
        <f>'DATI PROGETTO E FINANZIAMENTO'!L171</f>
        <v>203224.0668403742</v>
      </c>
      <c r="L224" s="211">
        <f>'DATI PROGETTO E FINANZIAMENTO'!M171</f>
        <v>193427.72</v>
      </c>
      <c r="M224" s="211">
        <f>'DATI PROGETTO E FINANZIAMENTO'!N171</f>
        <v>193103.72</v>
      </c>
      <c r="N224" s="211">
        <f>'DATI PROGETTO E FINANZIAMENTO'!O171</f>
        <v>200471.36</v>
      </c>
      <c r="O224" s="211">
        <f>'DATI PROGETTO E FINANZIAMENTO'!P171</f>
        <v>200993.36</v>
      </c>
      <c r="P224" s="211">
        <f>'DATI PROGETTO E FINANZIAMENTO'!Q171</f>
        <v>201516.36</v>
      </c>
      <c r="Q224" s="211">
        <f>'DATI PROGETTO E FINANZIAMENTO'!R171</f>
        <v>204504</v>
      </c>
      <c r="R224" s="211">
        <f>'DATI PROGETTO E FINANZIAMENTO'!S171</f>
        <v>205042</v>
      </c>
      <c r="S224" s="211">
        <f>'DATI PROGETTO E FINANZIAMENTO'!T171</f>
        <v>205582</v>
      </c>
      <c r="T224" s="211">
        <f>'DATI PROGETTO E FINANZIAMENTO'!U171</f>
        <v>212192.64000000001</v>
      </c>
      <c r="U224" s="211">
        <f>'DATI PROGETTO E FINANZIAMENTO'!V171</f>
        <v>212744.64</v>
      </c>
      <c r="V224" s="211">
        <v>829097</v>
      </c>
      <c r="W224" s="211">
        <v>836792</v>
      </c>
      <c r="X224" s="211">
        <v>844806</v>
      </c>
      <c r="Y224" s="211">
        <v>853144</v>
      </c>
      <c r="Z224" s="211">
        <v>858479</v>
      </c>
      <c r="AA224" s="211">
        <v>866816</v>
      </c>
      <c r="AB224" s="211">
        <v>875151</v>
      </c>
      <c r="AC224" s="211">
        <v>883489</v>
      </c>
      <c r="AD224" s="211">
        <v>892145</v>
      </c>
      <c r="AE224" s="211">
        <v>897801</v>
      </c>
    </row>
    <row r="225" spans="1:31" x14ac:dyDescent="0.2">
      <c r="A225" s="9" t="s">
        <v>289</v>
      </c>
      <c r="B225" s="243">
        <f>'DATI PROGETTO E FINANZIAMENTO'!C172</f>
        <v>14996.799999999988</v>
      </c>
      <c r="C225" s="243">
        <f>'DATI PROGETTO E FINANZIAMENTO'!D172</f>
        <v>26399.264182392915</v>
      </c>
      <c r="D225" s="243">
        <f>'DATI PROGETTO E FINANZIAMENTO'!E172</f>
        <v>16265.41157390544</v>
      </c>
      <c r="E225" s="243">
        <f>'DATI PROGETTO E FINANZIAMENTO'!F172</f>
        <v>29382.370334993699</v>
      </c>
      <c r="F225" s="243">
        <f>'DATI PROGETTO E FINANZIAMENTO'!G172</f>
        <v>42418.580074136233</v>
      </c>
      <c r="G225" s="243">
        <f>'DATI PROGETTO E FINANZIAMENTO'!H172</f>
        <v>40732.113401036011</v>
      </c>
      <c r="H225" s="243">
        <f>'DATI PROGETTO E FINANZIAMENTO'!I172</f>
        <v>47185.997557096678</v>
      </c>
      <c r="I225" s="243">
        <f>'DATI PROGETTO E FINANZIAMENTO'!J172</f>
        <v>54940.376127032767</v>
      </c>
      <c r="J225" s="243">
        <f>'DATI PROGETTO E FINANZIAMENTO'!K172</f>
        <v>55163.430835659412</v>
      </c>
      <c r="K225" s="243">
        <f>'DATI PROGETTO E FINANZIAMENTO'!L172</f>
        <v>58538.30343411502</v>
      </c>
      <c r="L225" s="243">
        <f>'DATI PROGETTO E FINANZIAMENTO'!M172</f>
        <v>71383.257679979055</v>
      </c>
      <c r="M225" s="243">
        <f>'DATI PROGETTO E FINANZIAMENTO'!N172</f>
        <v>45116.777233578585</v>
      </c>
      <c r="N225" s="243">
        <f>'DATI PROGETTO E FINANZIAMENTO'!O172</f>
        <v>45521.607178250211</v>
      </c>
      <c r="O225" s="243">
        <f>'DATI PROGETTO E FINANZIAMENTO'!P172</f>
        <v>47526.066521815199</v>
      </c>
      <c r="P225" s="243">
        <f>'DATI PROGETTO E FINANZIAMENTO'!Q172</f>
        <v>49530.555052251497</v>
      </c>
      <c r="Q225" s="243">
        <f>'DATI PROGETTO E FINANZIAMENTO'!R172</f>
        <v>49087.473353296518</v>
      </c>
      <c r="R225" s="243">
        <f>'DATI PROGETTO E FINANZIAMENTO'!S172</f>
        <v>51154.142820362467</v>
      </c>
      <c r="S225" s="243">
        <f>'DATI PROGETTO E FINANZIAMENTO'!T172</f>
        <v>53221.965676769672</v>
      </c>
      <c r="T225" s="243">
        <f>'DATI PROGETTO E FINANZIAMENTO'!U172</f>
        <v>49280.344990305079</v>
      </c>
      <c r="U225" s="243">
        <f>'DATI PROGETTO E FINANZIAMENTO'!V172</f>
        <v>51398.604690111184</v>
      </c>
      <c r="V225" s="243">
        <v>133381</v>
      </c>
      <c r="W225" s="243">
        <v>135045</v>
      </c>
      <c r="X225" s="243">
        <v>136868</v>
      </c>
      <c r="Y225" s="243">
        <v>138738</v>
      </c>
      <c r="Z225" s="243">
        <v>143613</v>
      </c>
      <c r="AA225" s="243">
        <v>145483</v>
      </c>
      <c r="AB225" s="243">
        <v>147358</v>
      </c>
      <c r="AC225" s="243">
        <v>149228</v>
      </c>
      <c r="AD225" s="243">
        <v>151153</v>
      </c>
      <c r="AE225" s="243">
        <v>156079</v>
      </c>
    </row>
    <row r="226" spans="1:31" x14ac:dyDescent="0.2">
      <c r="A226" s="95" t="s">
        <v>290</v>
      </c>
      <c r="B226" s="598">
        <f>'DATI PROGETTO E FINANZIAMENTO'!C173</f>
        <v>0.2969228251084377</v>
      </c>
      <c r="C226" s="598">
        <f>'DATI PROGETTO E FINANZIAMENTO'!D173</f>
        <v>0.297361176140088</v>
      </c>
      <c r="D226" s="598">
        <f>'DATI PROGETTO E FINANZIAMENTO'!E173</f>
        <v>0.29776757734430526</v>
      </c>
      <c r="E226" s="598">
        <f>'DATI PROGETTO E FINANZIAMENTO'!F173</f>
        <v>0.298062095548702</v>
      </c>
      <c r="F226" s="598">
        <f>'DATI PROGETTO E FINANZIAMENTO'!G173</f>
        <v>0.29832698688806741</v>
      </c>
      <c r="G226" s="598">
        <f>'DATI PROGETTO E FINANZIAMENTO'!H173</f>
        <v>0.29812711630829292</v>
      </c>
      <c r="H226" s="598">
        <f>'DATI PROGETTO E FINANZIAMENTO'!I173</f>
        <v>0.29792603230311698</v>
      </c>
      <c r="I226" s="598">
        <f>'DATI PROGETTO E FINANZIAMENTO'!J173</f>
        <v>0.29762582739725957</v>
      </c>
      <c r="J226" s="598">
        <f>'DATI PROGETTO E FINANZIAMENTO'!K173</f>
        <v>0.2974273212542673</v>
      </c>
      <c r="K226" s="598">
        <f>'DATI PROGETTO E FINANZIAMENTO'!L173</f>
        <v>0.29718481495415316</v>
      </c>
      <c r="L226" s="598">
        <f>'DATI PROGETTO E FINANZIAMENTO'!M173</f>
        <v>0.29695325418545765</v>
      </c>
      <c r="M226" s="598">
        <f>'DATI PROGETTO E FINANZIAMENTO'!N173</f>
        <v>0.2950293810617613</v>
      </c>
      <c r="N226" s="598">
        <f>'DATI PROGETTO E FINANZIAMENTO'!O173</f>
        <v>0.29508237078325383</v>
      </c>
      <c r="O226" s="598">
        <f>'DATI PROGETTO E FINANZIAMENTO'!P173</f>
        <v>0.29504319948497865</v>
      </c>
      <c r="P226" s="598">
        <f>'DATI PROGETTO E FINANZIAMENTO'!Q173</f>
        <v>0.29500593954498583</v>
      </c>
      <c r="Q226" s="598">
        <f>'DATI PROGETTO E FINANZIAMENTO'!R173</f>
        <v>0.2949554198911804</v>
      </c>
      <c r="R226" s="598">
        <f>'DATI PROGETTO E FINANZIAMENTO'!S173</f>
        <v>0.29491144391443219</v>
      </c>
      <c r="S226" s="598">
        <f>'DATI PROGETTO E FINANZIAMENTO'!T173</f>
        <v>0.29486581438132042</v>
      </c>
      <c r="T226" s="598">
        <f>'DATI PROGETTO E FINANZIAMENTO'!U173</f>
        <v>0.29482378058047526</v>
      </c>
      <c r="U226" s="598">
        <f>'DATI PROGETTO E FINANZIAMENTO'!V173</f>
        <v>0.29478349797998993</v>
      </c>
      <c r="V226" s="598">
        <v>0.4198969351776512</v>
      </c>
      <c r="W226" s="598">
        <v>0.41992001671292567</v>
      </c>
      <c r="X226" s="598">
        <v>0.41989156288318635</v>
      </c>
      <c r="Y226" s="598">
        <v>0.4198757146408153</v>
      </c>
      <c r="Z226" s="598">
        <v>0.41985903058196922</v>
      </c>
      <c r="AA226" s="598">
        <v>0.41984440146142271</v>
      </c>
      <c r="AB226" s="598">
        <v>0.41982836149055991</v>
      </c>
      <c r="AC226" s="598">
        <v>0.41981376142923355</v>
      </c>
      <c r="AD226" s="598">
        <v>0.41980980980980981</v>
      </c>
      <c r="AE226" s="598">
        <v>0.41980538695514541</v>
      </c>
    </row>
    <row r="227" spans="1:31" x14ac:dyDescent="0.2">
      <c r="A227" s="9" t="s">
        <v>291</v>
      </c>
      <c r="B227" s="243">
        <f>'DATI PROGETTO E FINANZIAMENTO'!C174</f>
        <v>223050</v>
      </c>
      <c r="C227" s="243">
        <f>'DATI PROGETTO E FINANZIAMENTO'!D174</f>
        <v>229403</v>
      </c>
      <c r="D227" s="243">
        <f>'DATI PROGETTO E FINANZIAMENTO'!E174</f>
        <v>267544</v>
      </c>
      <c r="E227" s="243">
        <f>'DATI PROGETTO E FINANZIAMENTO'!F174</f>
        <v>273817</v>
      </c>
      <c r="F227" s="243">
        <f>'DATI PROGETTO E FINANZIAMENTO'!G174</f>
        <v>278168</v>
      </c>
      <c r="G227" s="243">
        <f>'DATI PROGETTO E FINANZIAMENTO'!H174</f>
        <v>287742</v>
      </c>
      <c r="H227" s="243">
        <f>'DATI PROGETTO E FINANZIAMENTO'!I174</f>
        <v>285831</v>
      </c>
      <c r="I227" s="243">
        <f>'DATI PROGETTO E FINANZIAMENTO'!J174</f>
        <v>282504</v>
      </c>
      <c r="J227" s="243">
        <f>'DATI PROGETTO E FINANZIAMENTO'!K174</f>
        <v>289812</v>
      </c>
      <c r="K227" s="243">
        <f>'DATI PROGETTO E FINANZIAMENTO'!L174</f>
        <v>289157</v>
      </c>
      <c r="L227" s="243">
        <f>'DATI PROGETTO E FINANZIAMENTO'!M174</f>
        <v>275128</v>
      </c>
      <c r="M227" s="243">
        <f>'DATI PROGETTO E FINANZIAMENTO'!N174</f>
        <v>273917</v>
      </c>
      <c r="N227" s="243">
        <f>'DATI PROGETTO E FINANZIAMENTO'!O174</f>
        <v>284390</v>
      </c>
      <c r="O227" s="243">
        <f>'DATI PROGETTO E FINANZIAMENTO'!P174</f>
        <v>285114</v>
      </c>
      <c r="P227" s="243">
        <f>'DATI PROGETTO E FINANZIAMENTO'!Q174</f>
        <v>285841</v>
      </c>
      <c r="Q227" s="243">
        <f>'DATI PROGETTO E FINANZIAMENTO'!R174</f>
        <v>290058</v>
      </c>
      <c r="R227" s="243">
        <f>'DATI PROGETTO E FINANZIAMENTO'!S174</f>
        <v>290803</v>
      </c>
      <c r="S227" s="243">
        <f>'DATI PROGETTO E FINANZIAMENTO'!T174</f>
        <v>291550</v>
      </c>
      <c r="T227" s="243">
        <f>'DATI PROGETTO E FINANZIAMENTO'!U174</f>
        <v>300907</v>
      </c>
      <c r="U227" s="243">
        <f>'DATI PROGETTO E FINANZIAMENTO'!V174</f>
        <v>301673</v>
      </c>
      <c r="V227" s="243">
        <v>1429224</v>
      </c>
      <c r="W227" s="243">
        <v>1442546</v>
      </c>
      <c r="X227" s="243">
        <v>1456290</v>
      </c>
      <c r="Y227" s="243">
        <v>1470623</v>
      </c>
      <c r="Z227" s="243">
        <v>1479777</v>
      </c>
      <c r="AA227" s="243">
        <v>1494110</v>
      </c>
      <c r="AB227" s="243">
        <v>1508435</v>
      </c>
      <c r="AC227" s="243">
        <v>1522768</v>
      </c>
      <c r="AD227" s="243">
        <v>1537677</v>
      </c>
      <c r="AE227" s="243">
        <v>1547414</v>
      </c>
    </row>
    <row r="228" spans="1:31" x14ac:dyDescent="0.2">
      <c r="A228" s="95" t="s">
        <v>292</v>
      </c>
      <c r="B228" s="599">
        <f>'DATI PROGETTO E FINANZIAMENTO'!C175</f>
        <v>8.7300000000000003E-2</v>
      </c>
      <c r="C228" s="599">
        <f>'DATI PROGETTO E FINANZIAMENTO'!D175</f>
        <v>0.14069999999999999</v>
      </c>
      <c r="D228" s="599">
        <f>'DATI PROGETTO E FINANZIAMENTO'!E175</f>
        <v>7.9699999999999993E-2</v>
      </c>
      <c r="E228" s="599">
        <f>'DATI PROGETTO E FINANZIAMENTO'!F175</f>
        <v>0.1326</v>
      </c>
      <c r="F228" s="599">
        <f>'DATI PROGETTO E FINANZIAMENTO'!G175</f>
        <v>0.17849999999999999</v>
      </c>
      <c r="G228" s="599">
        <f>'DATI PROGETTO E FINANZIAMENTO'!H175</f>
        <v>0.1678</v>
      </c>
      <c r="H228" s="599">
        <f>'DATI PROGETTO E FINANZIAMENTO'!I175</f>
        <v>0.19040000000000001</v>
      </c>
      <c r="I228" s="599">
        <f>'DATI PROGETTO E FINANZIAMENTO'!J175</f>
        <v>0.21679999999999999</v>
      </c>
      <c r="J228" s="599">
        <f>'DATI PROGETTO E FINANZIAMENTO'!K175</f>
        <v>0.2132</v>
      </c>
      <c r="K228" s="599">
        <f>'DATI PROGETTO E FINANZIAMENTO'!L175</f>
        <v>0.22359999999999999</v>
      </c>
      <c r="L228" s="599">
        <f>'DATI PROGETTO E FINANZIAMENTO'!M175</f>
        <v>0.26960000000000001</v>
      </c>
      <c r="M228" s="599">
        <f>'DATI PROGETTO E FINANZIAMENTO'!N175</f>
        <v>0.18940000000000001</v>
      </c>
      <c r="N228" s="599">
        <f>'DATI PROGETTO E FINANZIAMENTO'!O175</f>
        <v>0.18509999999999999</v>
      </c>
      <c r="O228" s="599">
        <f>'DATI PROGETTO E FINANZIAMENTO'!P175</f>
        <v>0.19120000000000001</v>
      </c>
      <c r="P228" s="599">
        <f>'DATI PROGETTO E FINANZIAMENTO'!Q175</f>
        <v>0.1973</v>
      </c>
      <c r="Q228" s="599">
        <f>'DATI PROGETTO E FINANZIAMENTO'!R175</f>
        <v>0.19359999999999999</v>
      </c>
      <c r="R228" s="599">
        <f>'DATI PROGETTO E FINANZIAMENTO'!S175</f>
        <v>0.19969999999999999</v>
      </c>
      <c r="S228" s="599">
        <f>'DATI PROGETTO E FINANZIAMENTO'!T175</f>
        <v>0.2056</v>
      </c>
      <c r="T228" s="599">
        <f>'DATI PROGETTO E FINANZIAMENTO'!U175</f>
        <v>0.1885</v>
      </c>
      <c r="U228" s="599">
        <f>'DATI PROGETTO E FINANZIAMENTO'!V175</f>
        <v>0.1946</v>
      </c>
      <c r="V228" s="599">
        <v>0.1386</v>
      </c>
      <c r="W228" s="599">
        <v>0.13900000000000001</v>
      </c>
      <c r="X228" s="599">
        <v>0.1394</v>
      </c>
      <c r="Y228" s="599">
        <v>0.1399</v>
      </c>
      <c r="Z228" s="599">
        <v>0.14330000000000001</v>
      </c>
      <c r="AA228" s="599">
        <v>0.14369999999999999</v>
      </c>
      <c r="AB228" s="599">
        <v>0.14410000000000001</v>
      </c>
      <c r="AC228" s="599">
        <v>0.14449999999999999</v>
      </c>
      <c r="AD228" s="599">
        <v>0.1449</v>
      </c>
      <c r="AE228" s="599">
        <v>0.14810000000000001</v>
      </c>
    </row>
    <row r="230" spans="1:31" x14ac:dyDescent="0.2">
      <c r="B230" s="91"/>
      <c r="C230" s="333"/>
      <c r="D230" s="333"/>
      <c r="E230" s="333"/>
      <c r="F230" s="333"/>
      <c r="G230" s="333"/>
    </row>
    <row r="231" spans="1:31" x14ac:dyDescent="0.2">
      <c r="A231" s="20"/>
      <c r="B231" s="334"/>
      <c r="C231" s="324"/>
      <c r="D231" s="324"/>
      <c r="E231" s="324"/>
      <c r="F231" s="324"/>
      <c r="G231" s="324"/>
    </row>
    <row r="232" spans="1:31" x14ac:dyDescent="0.2">
      <c r="A232" s="20"/>
      <c r="C232" s="324"/>
      <c r="D232" s="324"/>
      <c r="F232" s="324"/>
      <c r="G232" s="324"/>
    </row>
    <row r="233" spans="1:31" x14ac:dyDescent="0.2">
      <c r="D233" s="324"/>
      <c r="F233" s="324"/>
      <c r="G233" s="324"/>
    </row>
    <row r="234" spans="1:31" x14ac:dyDescent="0.2">
      <c r="D234" s="324"/>
      <c r="F234" s="324"/>
    </row>
    <row r="235" spans="1:31" x14ac:dyDescent="0.2">
      <c r="D235" s="324"/>
      <c r="F235" s="324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6</vt:i4>
      </vt:variant>
      <vt:variant>
        <vt:lpstr>Intervalli denominati</vt:lpstr>
      </vt:variant>
      <vt:variant>
        <vt:i4>4</vt:i4>
      </vt:variant>
    </vt:vector>
  </HeadingPairs>
  <TitlesOfParts>
    <vt:vector size="10" baseType="lpstr">
      <vt:lpstr>DATI PROGETTO E FINANZIAMENTO</vt:lpstr>
      <vt:lpstr>BUSINESS PLAN</vt:lpstr>
      <vt:lpstr>SP+CE+ANALISI</vt:lpstr>
      <vt:lpstr>piano ammo MUTUO</vt:lpstr>
      <vt:lpstr>PIANO RIMBORSO AI SOCI</vt:lpstr>
      <vt:lpstr>tabelle e grafici</vt:lpstr>
      <vt:lpstr>'BUSINESS PLAN'!Area_stampa</vt:lpstr>
      <vt:lpstr>'DATI PROGETTO E FINANZIAMENTO'!Area_stampa</vt:lpstr>
      <vt:lpstr>'piano ammo MUTUO'!Area_stampa</vt:lpstr>
      <vt:lpstr>'PIANO RIMBORSO AI SOCI'!Area_stampa</vt:lpstr>
    </vt:vector>
  </TitlesOfParts>
  <Company>SanpaoloIMI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U302535</dc:creator>
  <cp:lastModifiedBy>maurizio dovier</cp:lastModifiedBy>
  <cp:lastPrinted>2020-08-03T07:02:27Z</cp:lastPrinted>
  <dcterms:created xsi:type="dcterms:W3CDTF">2008-06-09T09:51:26Z</dcterms:created>
  <dcterms:modified xsi:type="dcterms:W3CDTF">2024-04-27T08:03:33Z</dcterms:modified>
</cp:coreProperties>
</file>