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leanroom_msi\Documents\corso_RAFNES_2024-2025\non_aprire\"/>
    </mc:Choice>
  </mc:AlternateContent>
  <xr:revisionPtr revIDLastSave="0" documentId="13_ncr:1_{0125CA47-F7CD-45FE-A1C1-768480784484}" xr6:coauthVersionLast="47" xr6:coauthVersionMax="47" xr10:uidLastSave="{00000000-0000-0000-0000-000000000000}"/>
  <bookViews>
    <workbookView xWindow="-120" yWindow="-120" windowWidth="19440" windowHeight="14880" activeTab="2" xr2:uid="{D6F4FCF0-998F-4ACD-BADA-5762DDF50930}"/>
  </bookViews>
  <sheets>
    <sheet name="diretta" sheetId="1" r:id="rId1"/>
    <sheet name="inversa" sheetId="2" r:id="rId2"/>
    <sheet name="CV_revers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2" i="3"/>
  <c r="H20" i="1"/>
  <c r="F20" i="1"/>
  <c r="M3" i="2"/>
  <c r="O3" i="2" s="1"/>
  <c r="N2" i="3"/>
  <c r="B4" i="3"/>
  <c r="D4" i="3" s="1"/>
  <c r="B5" i="3"/>
  <c r="B6" i="3"/>
  <c r="D6" i="3" s="1"/>
  <c r="B7" i="3"/>
  <c r="D7" i="3" s="1"/>
  <c r="B8" i="3"/>
  <c r="D8" i="3" s="1"/>
  <c r="B9" i="3"/>
  <c r="D9" i="3" s="1"/>
  <c r="B10" i="3"/>
  <c r="D10" i="3" s="1"/>
  <c r="B11" i="3"/>
  <c r="D11" i="3" s="1"/>
  <c r="B12" i="3"/>
  <c r="D12" i="3" s="1"/>
  <c r="B13" i="3"/>
  <c r="D13" i="3" s="1"/>
  <c r="B14" i="3"/>
  <c r="D14" i="3" s="1"/>
  <c r="B15" i="3"/>
  <c r="D15" i="3" s="1"/>
  <c r="B16" i="3"/>
  <c r="D16" i="3" s="1"/>
  <c r="B17" i="3"/>
  <c r="D17" i="3" s="1"/>
  <c r="B18" i="3"/>
  <c r="D18" i="3" s="1"/>
  <c r="B19" i="3"/>
  <c r="D19" i="3" s="1"/>
  <c r="B20" i="3"/>
  <c r="D20" i="3" s="1"/>
  <c r="B21" i="3"/>
  <c r="D21" i="3" s="1"/>
  <c r="B22" i="3"/>
  <c r="D22" i="3" s="1"/>
  <c r="B23" i="3"/>
  <c r="D23" i="3" s="1"/>
  <c r="B24" i="3"/>
  <c r="D24" i="3" s="1"/>
  <c r="B25" i="3"/>
  <c r="D25" i="3" s="1"/>
  <c r="B26" i="3"/>
  <c r="D26" i="3" s="1"/>
  <c r="B27" i="3"/>
  <c r="D27" i="3" s="1"/>
  <c r="B28" i="3"/>
  <c r="D28" i="3" s="1"/>
  <c r="B29" i="3"/>
  <c r="D29" i="3" s="1"/>
  <c r="B30" i="3"/>
  <c r="D30" i="3" s="1"/>
  <c r="B2" i="3"/>
  <c r="D2" i="3" s="1"/>
  <c r="B3" i="3"/>
  <c r="D3" i="3" s="1"/>
  <c r="D5" i="3"/>
  <c r="A10" i="3"/>
  <c r="A11" i="3" s="1"/>
  <c r="T2" i="3"/>
  <c r="U2" i="3"/>
  <c r="P2" i="3" s="1"/>
  <c r="E5" i="3" s="1"/>
  <c r="Q2" i="3"/>
  <c r="D71" i="2"/>
  <c r="D7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2" i="2"/>
  <c r="F61" i="2"/>
  <c r="O16" i="1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G57" i="2"/>
  <c r="H57" i="2" s="1"/>
  <c r="F58" i="2"/>
  <c r="F59" i="2"/>
  <c r="F60" i="2"/>
  <c r="F62" i="2"/>
  <c r="F63" i="2"/>
  <c r="F64" i="2"/>
  <c r="F65" i="2"/>
  <c r="F66" i="2"/>
  <c r="F67" i="2"/>
  <c r="F68" i="2"/>
  <c r="F69" i="2"/>
  <c r="F70" i="2"/>
  <c r="F71" i="2"/>
  <c r="F7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" i="2"/>
  <c r="T3" i="2"/>
  <c r="T3" i="1"/>
  <c r="O18" i="1" s="1"/>
  <c r="M7" i="2"/>
  <c r="L7" i="2"/>
  <c r="O18" i="2"/>
  <c r="S3" i="2"/>
  <c r="L3" i="2"/>
  <c r="A21" i="1"/>
  <c r="S3" i="1"/>
  <c r="A2" i="1"/>
  <c r="R7" i="1"/>
  <c r="M7" i="1"/>
  <c r="P7" i="1" s="1"/>
  <c r="L7" i="1"/>
  <c r="O7" i="1" s="1"/>
  <c r="L3" i="1"/>
  <c r="M3" i="1"/>
  <c r="O3" i="1" s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M2" i="3" l="1"/>
  <c r="M4" i="3" s="1"/>
  <c r="O7" i="2"/>
  <c r="P7" i="2"/>
  <c r="N3" i="2"/>
  <c r="G23" i="2"/>
  <c r="H23" i="2" s="1"/>
  <c r="G36" i="2"/>
  <c r="H36" i="2" s="1"/>
  <c r="G49" i="2"/>
  <c r="H49" i="2" s="1"/>
  <c r="G63" i="2"/>
  <c r="H63" i="2" s="1"/>
  <c r="G17" i="2"/>
  <c r="H17" i="2" s="1"/>
  <c r="G5" i="2"/>
  <c r="H5" i="2" s="1"/>
  <c r="G32" i="2"/>
  <c r="H32" i="2" s="1"/>
  <c r="G45" i="2"/>
  <c r="H45" i="2" s="1"/>
  <c r="G58" i="2"/>
  <c r="H58" i="2" s="1"/>
  <c r="G72" i="2"/>
  <c r="H72" i="2" s="1"/>
  <c r="G15" i="2"/>
  <c r="H15" i="2" s="1"/>
  <c r="G4" i="2"/>
  <c r="H4" i="2" s="1"/>
  <c r="G28" i="2"/>
  <c r="H28" i="2" s="1"/>
  <c r="G41" i="2"/>
  <c r="H41" i="2" s="1"/>
  <c r="G54" i="2"/>
  <c r="G68" i="2"/>
  <c r="H68" i="2" s="1"/>
  <c r="G13" i="2"/>
  <c r="H13" i="2" s="1"/>
  <c r="G24" i="2"/>
  <c r="H24" i="2" s="1"/>
  <c r="G37" i="2"/>
  <c r="H37" i="2" s="1"/>
  <c r="G50" i="2"/>
  <c r="H50" i="2" s="1"/>
  <c r="G59" i="2"/>
  <c r="H59" i="2" s="1"/>
  <c r="G64" i="2"/>
  <c r="H64" i="2" s="1"/>
  <c r="G11" i="2"/>
  <c r="H11" i="2" s="1"/>
  <c r="G33" i="2"/>
  <c r="H33" i="2" s="1"/>
  <c r="G46" i="2"/>
  <c r="G55" i="2"/>
  <c r="H55" i="2" s="1"/>
  <c r="G9" i="2"/>
  <c r="G29" i="2"/>
  <c r="H29" i="2" s="1"/>
  <c r="G42" i="2"/>
  <c r="H42" i="2" s="1"/>
  <c r="G51" i="2"/>
  <c r="H51" i="2" s="1"/>
  <c r="G69" i="2"/>
  <c r="H69" i="2" s="1"/>
  <c r="G21" i="2"/>
  <c r="G62" i="2"/>
  <c r="H62" i="2" s="1"/>
  <c r="G56" i="2"/>
  <c r="H56" i="2" s="1"/>
  <c r="G30" i="2"/>
  <c r="H30" i="2" s="1"/>
  <c r="G43" i="2"/>
  <c r="H43" i="2" s="1"/>
  <c r="G61" i="2"/>
  <c r="H61" i="2" s="1"/>
  <c r="G48" i="2"/>
  <c r="H48" i="2" s="1"/>
  <c r="G22" i="2"/>
  <c r="H22" i="2" s="1"/>
  <c r="G6" i="2"/>
  <c r="H6" i="2" s="1"/>
  <c r="G67" i="2"/>
  <c r="H67" i="2" s="1"/>
  <c r="G35" i="2"/>
  <c r="H35" i="2" s="1"/>
  <c r="G7" i="2"/>
  <c r="H7" i="2" s="1"/>
  <c r="G60" i="2"/>
  <c r="H60" i="2" s="1"/>
  <c r="G53" i="2"/>
  <c r="H53" i="2" s="1"/>
  <c r="G66" i="2"/>
  <c r="H66" i="2" s="1"/>
  <c r="G47" i="2"/>
  <c r="H47" i="2" s="1"/>
  <c r="G40" i="2"/>
  <c r="H40" i="2" s="1"/>
  <c r="G34" i="2"/>
  <c r="H34" i="2" s="1"/>
  <c r="G27" i="2"/>
  <c r="H27" i="2" s="1"/>
  <c r="G70" i="2"/>
  <c r="H70" i="2" s="1"/>
  <c r="G44" i="2"/>
  <c r="H44" i="2" s="1"/>
  <c r="G38" i="2"/>
  <c r="H38" i="2" s="1"/>
  <c r="G31" i="2"/>
  <c r="H31" i="2" s="1"/>
  <c r="G25" i="2"/>
  <c r="H25" i="2" s="1"/>
  <c r="H9" i="2"/>
  <c r="G2" i="2"/>
  <c r="H2" i="2" s="1"/>
  <c r="G52" i="2"/>
  <c r="H52" i="2" s="1"/>
  <c r="G26" i="2"/>
  <c r="H26" i="2" s="1"/>
  <c r="G3" i="2"/>
  <c r="H3" i="2" s="1"/>
  <c r="G71" i="2"/>
  <c r="H71" i="2" s="1"/>
  <c r="G65" i="2"/>
  <c r="H65" i="2" s="1"/>
  <c r="G39" i="2"/>
  <c r="H39" i="2" s="1"/>
  <c r="H46" i="2"/>
  <c r="H54" i="2"/>
  <c r="F23" i="3"/>
  <c r="F22" i="3"/>
  <c r="F21" i="3"/>
  <c r="F13" i="3"/>
  <c r="F12" i="3"/>
  <c r="E26" i="3"/>
  <c r="F11" i="3"/>
  <c r="E16" i="3"/>
  <c r="F10" i="3"/>
  <c r="E15" i="3"/>
  <c r="F9" i="3"/>
  <c r="E14" i="3"/>
  <c r="E4" i="3"/>
  <c r="F25" i="3"/>
  <c r="F24" i="3"/>
  <c r="F29" i="3"/>
  <c r="F17" i="3"/>
  <c r="F5" i="3"/>
  <c r="F16" i="3"/>
  <c r="E27" i="3"/>
  <c r="G26" i="3" s="1"/>
  <c r="F26" i="3"/>
  <c r="F14" i="3"/>
  <c r="F2" i="3"/>
  <c r="F19" i="3"/>
  <c r="F7" i="3"/>
  <c r="E3" i="3"/>
  <c r="G4" i="3" s="1"/>
  <c r="F20" i="3"/>
  <c r="F8" i="3"/>
  <c r="F30" i="3"/>
  <c r="F18" i="3"/>
  <c r="F6" i="3"/>
  <c r="F28" i="3"/>
  <c r="F4" i="3"/>
  <c r="E28" i="3"/>
  <c r="F27" i="3"/>
  <c r="F15" i="3"/>
  <c r="F3" i="3"/>
  <c r="E22" i="3"/>
  <c r="E10" i="3"/>
  <c r="E9" i="3"/>
  <c r="E6" i="3"/>
  <c r="E25" i="3"/>
  <c r="E13" i="3"/>
  <c r="E24" i="3"/>
  <c r="E12" i="3"/>
  <c r="E23" i="3"/>
  <c r="E11" i="3"/>
  <c r="E21" i="3"/>
  <c r="E20" i="3"/>
  <c r="E8" i="3"/>
  <c r="E2" i="3"/>
  <c r="E19" i="3"/>
  <c r="E7" i="3"/>
  <c r="G6" i="3" s="1"/>
  <c r="E30" i="3"/>
  <c r="E18" i="3"/>
  <c r="E29" i="3"/>
  <c r="E17" i="3"/>
  <c r="P3" i="1"/>
  <c r="N3" i="1"/>
  <c r="G8" i="2"/>
  <c r="H8" i="2" s="1"/>
  <c r="G10" i="2"/>
  <c r="H10" i="2" s="1"/>
  <c r="G12" i="2"/>
  <c r="H12" i="2" s="1"/>
  <c r="G14" i="2"/>
  <c r="H14" i="2" s="1"/>
  <c r="G16" i="2"/>
  <c r="H16" i="2" s="1"/>
  <c r="G18" i="2"/>
  <c r="H18" i="2" s="1"/>
  <c r="G20" i="2"/>
  <c r="H20" i="2" s="1"/>
  <c r="G19" i="2"/>
  <c r="H19" i="2" s="1"/>
  <c r="F21" i="2"/>
  <c r="Q3" i="1"/>
  <c r="S2" i="3" l="1"/>
  <c r="S16" i="3"/>
  <c r="P3" i="2"/>
  <c r="Q3" i="2" s="1"/>
  <c r="I23" i="2" s="1"/>
  <c r="S16" i="2"/>
  <c r="I31" i="2"/>
  <c r="I49" i="2"/>
  <c r="I57" i="2"/>
  <c r="I36" i="2"/>
  <c r="I29" i="2"/>
  <c r="I55" i="2"/>
  <c r="I43" i="2"/>
  <c r="I25" i="2"/>
  <c r="I19" i="2"/>
  <c r="I50" i="2"/>
  <c r="I37" i="2"/>
  <c r="I42" i="2"/>
  <c r="I54" i="2"/>
  <c r="I7" i="2"/>
  <c r="I58" i="2"/>
  <c r="I45" i="2"/>
  <c r="I20" i="2"/>
  <c r="I38" i="2"/>
  <c r="I32" i="2"/>
  <c r="I18" i="2"/>
  <c r="I3" i="2"/>
  <c r="I59" i="2"/>
  <c r="I46" i="2"/>
  <c r="I67" i="2"/>
  <c r="I39" i="2"/>
  <c r="I6" i="2"/>
  <c r="I24" i="2"/>
  <c r="I16" i="2"/>
  <c r="I70" i="2"/>
  <c r="I17" i="2"/>
  <c r="I14" i="2"/>
  <c r="I27" i="2"/>
  <c r="I68" i="2"/>
  <c r="I12" i="2"/>
  <c r="I61" i="2"/>
  <c r="I41" i="2"/>
  <c r="I8" i="2"/>
  <c r="I47" i="2"/>
  <c r="I66" i="2"/>
  <c r="I33" i="2"/>
  <c r="I2" i="2"/>
  <c r="I53" i="2"/>
  <c r="I56" i="2"/>
  <c r="I11" i="2"/>
  <c r="I15" i="2"/>
  <c r="I35" i="2"/>
  <c r="I69" i="2"/>
  <c r="I44" i="2"/>
  <c r="I51" i="2"/>
  <c r="I5" i="2"/>
  <c r="I65" i="2"/>
  <c r="I22" i="2"/>
  <c r="I13" i="2"/>
  <c r="I71" i="2"/>
  <c r="I48" i="2"/>
  <c r="I63" i="2"/>
  <c r="I34" i="2"/>
  <c r="I10" i="2"/>
  <c r="I40" i="2"/>
  <c r="I26" i="2"/>
  <c r="I28" i="2"/>
  <c r="I52" i="2"/>
  <c r="I30" i="2"/>
  <c r="I4" i="2"/>
  <c r="I9" i="2"/>
  <c r="I60" i="2"/>
  <c r="I62" i="2"/>
  <c r="I64" i="2"/>
  <c r="I72" i="2"/>
  <c r="H21" i="2"/>
  <c r="I21" i="2" s="1"/>
  <c r="G3" i="3"/>
  <c r="G21" i="3"/>
  <c r="G9" i="3"/>
  <c r="G11" i="3"/>
  <c r="G19" i="3"/>
  <c r="G5" i="3"/>
  <c r="G23" i="3"/>
  <c r="G29" i="3"/>
  <c r="G28" i="3"/>
  <c r="G7" i="3"/>
  <c r="G20" i="3"/>
  <c r="G13" i="3"/>
  <c r="G17" i="3"/>
  <c r="G10" i="3"/>
  <c r="G27" i="3"/>
  <c r="G14" i="3"/>
  <c r="G22" i="3"/>
  <c r="G16" i="3"/>
  <c r="G18" i="3"/>
  <c r="G12" i="3"/>
  <c r="G15" i="3"/>
  <c r="G24" i="3"/>
  <c r="G25" i="3"/>
  <c r="G8" i="3"/>
</calcChain>
</file>

<file path=xl/sharedStrings.xml><?xml version="1.0" encoding="utf-8"?>
<sst xmlns="http://schemas.openxmlformats.org/spreadsheetml/2006/main" count="83" uniqueCount="58">
  <si>
    <t>I[nA]</t>
  </si>
  <si>
    <t>V[V]</t>
  </si>
  <si>
    <t>Ln(I)</t>
  </si>
  <si>
    <t>Temperatura [K]</t>
  </si>
  <si>
    <t>KbT</t>
  </si>
  <si>
    <t>Eg</t>
  </si>
  <si>
    <t>(ni)^2</t>
  </si>
  <si>
    <t>ni</t>
  </si>
  <si>
    <t>h</t>
  </si>
  <si>
    <t>W num</t>
  </si>
  <si>
    <t>Nc (300K)</t>
  </si>
  <si>
    <t>Nv (300K)</t>
  </si>
  <si>
    <t>Nc (292K)</t>
  </si>
  <si>
    <t>Nv (292K)</t>
  </si>
  <si>
    <t>DAL FIT :</t>
  </si>
  <si>
    <t>quindi</t>
  </si>
  <si>
    <t>Is [nA]</t>
  </si>
  <si>
    <t>tau_g</t>
  </si>
  <si>
    <t>Nd (approssimato) [cm^-3]</t>
  </si>
  <si>
    <t xml:space="preserve">W den </t>
  </si>
  <si>
    <t>W [cm]</t>
  </si>
  <si>
    <t>epsilon[…/cm]</t>
  </si>
  <si>
    <t>Js [A/cm^2]</t>
  </si>
  <si>
    <t>J[A/cm^2]</t>
  </si>
  <si>
    <t>r[cm]</t>
  </si>
  <si>
    <t>I[A]</t>
  </si>
  <si>
    <t>V(V)</t>
  </si>
  <si>
    <t>epsilon</t>
  </si>
  <si>
    <t>q</t>
  </si>
  <si>
    <t>Raggio [cm]</t>
  </si>
  <si>
    <t>Area[cm^2]</t>
  </si>
  <si>
    <t>Nd</t>
  </si>
  <si>
    <t>Ei-Ev</t>
  </si>
  <si>
    <t>m_e*</t>
  </si>
  <si>
    <t>m_h*</t>
  </si>
  <si>
    <t xml:space="preserve">coeff ang dal fit </t>
  </si>
  <si>
    <t>xd [um] (distanza tra piani in ipotesi cond parall)</t>
  </si>
  <si>
    <t>1/C (F^-1)</t>
  </si>
  <si>
    <t>1/C'^2 (F^-2)</t>
  </si>
  <si>
    <t>Nd locale</t>
  </si>
  <si>
    <t>C parassita</t>
  </si>
  <si>
    <t>C - Cparassita (pF)</t>
  </si>
  <si>
    <t>C</t>
  </si>
  <si>
    <t>resistivita</t>
  </si>
  <si>
    <t>mobilita</t>
  </si>
  <si>
    <t>intercetta</t>
  </si>
  <si>
    <t>stima di R [ohm]</t>
  </si>
  <si>
    <t>area [cm^2]</t>
  </si>
  <si>
    <t>d giunzione</t>
  </si>
  <si>
    <t>resistivita [100 ohm cm]</t>
  </si>
  <si>
    <t>V built in</t>
  </si>
  <si>
    <t>phi</t>
  </si>
  <si>
    <t>V bi</t>
  </si>
  <si>
    <t>x calc [um]</t>
  </si>
  <si>
    <t xml:space="preserve">arancione </t>
  </si>
  <si>
    <t>previsione teorica</t>
  </si>
  <si>
    <t>blu</t>
  </si>
  <si>
    <t>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</si>
</sst>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rgb="FF59595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 vertical="center" readingOrder="1"/>
    </xf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diretta!$A$2:$A$21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0.15</c:v>
                </c:pt>
                <c:pt idx="11">
                  <c:v>0.2</c:v>
                </c:pt>
                <c:pt idx="12">
                  <c:v>0.25</c:v>
                </c:pt>
                <c:pt idx="13">
                  <c:v>0.3</c:v>
                </c:pt>
                <c:pt idx="14">
                  <c:v>0.35</c:v>
                </c:pt>
                <c:pt idx="15">
                  <c:v>0.4</c:v>
                </c:pt>
                <c:pt idx="16">
                  <c:v>0.45</c:v>
                </c:pt>
                <c:pt idx="17">
                  <c:v>0.5</c:v>
                </c:pt>
                <c:pt idx="18">
                  <c:v>0.55000000000000004</c:v>
                </c:pt>
                <c:pt idx="19">
                  <c:v>0.6</c:v>
                </c:pt>
              </c:numCache>
            </c:numRef>
          </c:xVal>
          <c:yVal>
            <c:numRef>
              <c:f>diretta!$B$2:$B$21</c:f>
              <c:numCache>
                <c:formatCode>General</c:formatCode>
                <c:ptCount val="20"/>
                <c:pt idx="0">
                  <c:v>1.7999999999999999E-2</c:v>
                </c:pt>
                <c:pt idx="1">
                  <c:v>0.04</c:v>
                </c:pt>
                <c:pt idx="2">
                  <c:v>0.08</c:v>
                </c:pt>
                <c:pt idx="3">
                  <c:v>0.14000000000000001</c:v>
                </c:pt>
                <c:pt idx="4">
                  <c:v>0.22</c:v>
                </c:pt>
                <c:pt idx="5">
                  <c:v>0.35</c:v>
                </c:pt>
                <c:pt idx="6">
                  <c:v>0.53</c:v>
                </c:pt>
                <c:pt idx="7">
                  <c:v>0.8</c:v>
                </c:pt>
                <c:pt idx="8">
                  <c:v>1.2</c:v>
                </c:pt>
                <c:pt idx="9">
                  <c:v>1.77</c:v>
                </c:pt>
                <c:pt idx="10">
                  <c:v>12.12</c:v>
                </c:pt>
                <c:pt idx="11">
                  <c:v>70.95</c:v>
                </c:pt>
                <c:pt idx="12">
                  <c:v>322.39999999999998</c:v>
                </c:pt>
                <c:pt idx="13">
                  <c:v>1165</c:v>
                </c:pt>
                <c:pt idx="14">
                  <c:v>3664</c:v>
                </c:pt>
                <c:pt idx="15">
                  <c:v>10750</c:v>
                </c:pt>
                <c:pt idx="16">
                  <c:v>30760</c:v>
                </c:pt>
                <c:pt idx="17">
                  <c:v>88710</c:v>
                </c:pt>
                <c:pt idx="18">
                  <c:v>288400</c:v>
                </c:pt>
                <c:pt idx="19">
                  <c:v>887000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1D-4D38-B925-4FF96B90D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310704"/>
        <c:axId val="1114304944"/>
      </c:scatterChart>
      <c:valAx>
        <c:axId val="111431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304944"/>
        <c:crosses val="autoZero"/>
        <c:crossBetween val="midCat"/>
      </c:valAx>
      <c:valAx>
        <c:axId val="111430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31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svuotamento</a:t>
            </a:r>
            <a:r>
              <a:rPr lang="en-US" baseline="0"/>
              <a:t> xd in funzione di V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xVal>
            <c:numRef>
              <c:f>CV_reverse!$A$2:$A$30</c:f>
              <c:numCache>
                <c:formatCode>General</c:formatCode>
                <c:ptCount val="29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14</c:v>
                </c:pt>
                <c:pt idx="18">
                  <c:v>16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22.5</c:v>
                </c:pt>
                <c:pt idx="23">
                  <c:v>25</c:v>
                </c:pt>
                <c:pt idx="24">
                  <c:v>27.5</c:v>
                </c:pt>
                <c:pt idx="25">
                  <c:v>30</c:v>
                </c:pt>
                <c:pt idx="26">
                  <c:v>35</c:v>
                </c:pt>
                <c:pt idx="27">
                  <c:v>40</c:v>
                </c:pt>
                <c:pt idx="28">
                  <c:v>45</c:v>
                </c:pt>
              </c:numCache>
            </c:numRef>
          </c:xVal>
          <c:yVal>
            <c:numRef>
              <c:f>CV_reverse!$F$2:$F$30</c:f>
              <c:numCache>
                <c:formatCode>General</c:formatCode>
                <c:ptCount val="29"/>
                <c:pt idx="0">
                  <c:v>42.341562918383588</c:v>
                </c:pt>
                <c:pt idx="1">
                  <c:v>50.840970897104405</c:v>
                </c:pt>
                <c:pt idx="2">
                  <c:v>55.605185037395316</c:v>
                </c:pt>
                <c:pt idx="3">
                  <c:v>59.423566842538335</c:v>
                </c:pt>
                <c:pt idx="4">
                  <c:v>62.744823599598639</c:v>
                </c:pt>
                <c:pt idx="5">
                  <c:v>65.93186225862587</c:v>
                </c:pt>
                <c:pt idx="6">
                  <c:v>79.118234710351047</c:v>
                </c:pt>
                <c:pt idx="7">
                  <c:v>90.102111112655749</c:v>
                </c:pt>
                <c:pt idx="8">
                  <c:v>99.848733708976667</c:v>
                </c:pt>
                <c:pt idx="9">
                  <c:v>108.16946151805809</c:v>
                </c:pt>
                <c:pt idx="10">
                  <c:v>123.62224173492353</c:v>
                </c:pt>
                <c:pt idx="11">
                  <c:v>137.08605024070727</c:v>
                </c:pt>
                <c:pt idx="12">
                  <c:v>149.41393245659816</c:v>
                </c:pt>
                <c:pt idx="13">
                  <c:v>160.99640784083061</c:v>
                </c:pt>
                <c:pt idx="14">
                  <c:v>171.85384039277744</c:v>
                </c:pt>
                <c:pt idx="15">
                  <c:v>191.68007947823855</c:v>
                </c:pt>
                <c:pt idx="16">
                  <c:v>209.67730046912817</c:v>
                </c:pt>
                <c:pt idx="17">
                  <c:v>226.4834963082568</c:v>
                </c:pt>
                <c:pt idx="18">
                  <c:v>242.0575362641859</c:v>
                </c:pt>
                <c:pt idx="19">
                  <c:v>256.08553158405857</c:v>
                </c:pt>
                <c:pt idx="20">
                  <c:v>267.4634463807746</c:v>
                </c:pt>
                <c:pt idx="21">
                  <c:v>272.1957616181802</c:v>
                </c:pt>
                <c:pt idx="22">
                  <c:v>276.91382148622864</c:v>
                </c:pt>
                <c:pt idx="23">
                  <c:v>281.79832580009707</c:v>
                </c:pt>
                <c:pt idx="24">
                  <c:v>284.11130795440698</c:v>
                </c:pt>
                <c:pt idx="25">
                  <c:v>285.67450634755363</c:v>
                </c:pt>
                <c:pt idx="26">
                  <c:v>287.25500154173096</c:v>
                </c:pt>
                <c:pt idx="27">
                  <c:v>287.65286165466961</c:v>
                </c:pt>
                <c:pt idx="28">
                  <c:v>288.85308221790194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1D-426D-8079-14B7CEB9B41F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CV_reverse!$A$2:$A$30</c:f>
              <c:numCache>
                <c:formatCode>General</c:formatCode>
                <c:ptCount val="29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14</c:v>
                </c:pt>
                <c:pt idx="18">
                  <c:v>16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22.5</c:v>
                </c:pt>
                <c:pt idx="23">
                  <c:v>25</c:v>
                </c:pt>
                <c:pt idx="24">
                  <c:v>27.5</c:v>
                </c:pt>
                <c:pt idx="25">
                  <c:v>30</c:v>
                </c:pt>
                <c:pt idx="26">
                  <c:v>35</c:v>
                </c:pt>
                <c:pt idx="27">
                  <c:v>40</c:v>
                </c:pt>
                <c:pt idx="28">
                  <c:v>45</c:v>
                </c:pt>
              </c:numCache>
            </c:numRef>
          </c:xVal>
          <c:yVal>
            <c:numRef>
              <c:f>CV_reverse!$H$2:$H$30</c:f>
              <c:numCache>
                <c:formatCode>0.00E+00</c:formatCode>
                <c:ptCount val="29"/>
                <c:pt idx="0">
                  <c:v>65.147426666518598</c:v>
                </c:pt>
                <c:pt idx="1">
                  <c:v>67.85628003049915</c:v>
                </c:pt>
                <c:pt idx="2">
                  <c:v>70.461069236037133</c:v>
                </c:pt>
                <c:pt idx="3">
                  <c:v>72.972938930768834</c:v>
                </c:pt>
                <c:pt idx="4">
                  <c:v>75.401176081688661</c:v>
                </c:pt>
                <c:pt idx="5">
                  <c:v>77.753616589904794</c:v>
                </c:pt>
                <c:pt idx="6">
                  <c:v>88.583647386808465</c:v>
                </c:pt>
                <c:pt idx="7">
                  <c:v>98.226779830608919</c:v>
                </c:pt>
                <c:pt idx="8">
                  <c:v>107.00438293561352</c:v>
                </c:pt>
                <c:pt idx="9">
                  <c:v>115.11461965785197</c:v>
                </c:pt>
                <c:pt idx="10">
                  <c:v>129.82392322701128</c:v>
                </c:pt>
                <c:pt idx="11">
                  <c:v>143.02841125151994</c:v>
                </c:pt>
                <c:pt idx="12">
                  <c:v>155.11286796463702</c:v>
                </c:pt>
                <c:pt idx="13">
                  <c:v>166.3216077101707</c:v>
                </c:pt>
                <c:pt idx="14">
                  <c:v>176.82124469185518</c:v>
                </c:pt>
                <c:pt idx="15">
                  <c:v>196.14153904907272</c:v>
                </c:pt>
                <c:pt idx="16">
                  <c:v>213.72237624240685</c:v>
                </c:pt>
                <c:pt idx="17">
                  <c:v>229.96305110356951</c:v>
                </c:pt>
                <c:pt idx="18">
                  <c:v>245.13007901729424</c:v>
                </c:pt>
                <c:pt idx="19">
                  <c:v>259.41184707947889</c:v>
                </c:pt>
                <c:pt idx="20">
                  <c:v>272.94735238017773</c:v>
                </c:pt>
                <c:pt idx="21">
                  <c:v>279.46937677396772</c:v>
                </c:pt>
                <c:pt idx="22">
                  <c:v>288.97654857972719</c:v>
                </c:pt>
                <c:pt idx="23">
                  <c:v>304.16218385386753</c:v>
                </c:pt>
                <c:pt idx="24">
                  <c:v>318.62489316507646</c:v>
                </c:pt>
                <c:pt idx="25">
                  <c:v>332.45903657767963</c:v>
                </c:pt>
                <c:pt idx="26">
                  <c:v>358.52947984449469</c:v>
                </c:pt>
                <c:pt idx="27">
                  <c:v>382.82863638052061</c:v>
                </c:pt>
                <c:pt idx="28">
                  <c:v>405.67492127117481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1D-426D-8079-14B7CEB9B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182368"/>
        <c:axId val="1498181408"/>
      </c:scatterChart>
      <c:valAx>
        <c:axId val="149818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181408"/>
        <c:crosses val="autoZero"/>
        <c:crossBetween val="midCat"/>
      </c:valAx>
      <c:valAx>
        <c:axId val="149818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182368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diretta!$C$1</c:f>
              <c:strCache>
                <c:ptCount val="1"/>
                <c:pt idx="0">
                  <c:v>Ln(I)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diretta!$A$2:$A$21</c:f>
              <c:numCache>
                <c:formatCode>General</c:formatCode>
                <c:ptCount val="2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0.15</c:v>
                </c:pt>
                <c:pt idx="11">
                  <c:v>0.2</c:v>
                </c:pt>
                <c:pt idx="12">
                  <c:v>0.25</c:v>
                </c:pt>
                <c:pt idx="13">
                  <c:v>0.3</c:v>
                </c:pt>
                <c:pt idx="14">
                  <c:v>0.35</c:v>
                </c:pt>
                <c:pt idx="15">
                  <c:v>0.4</c:v>
                </c:pt>
                <c:pt idx="16">
                  <c:v>0.45</c:v>
                </c:pt>
                <c:pt idx="17">
                  <c:v>0.5</c:v>
                </c:pt>
                <c:pt idx="18">
                  <c:v>0.55000000000000004</c:v>
                </c:pt>
                <c:pt idx="19">
                  <c:v>0.6</c:v>
                </c:pt>
              </c:numCache>
            </c:numRef>
          </c:xVal>
          <c:yVal>
            <c:numRef>
              <c:f>diretta!$C$2:$C$21</c:f>
              <c:numCache>
                <c:formatCode>General</c:formatCode>
                <c:ptCount val="20"/>
                <c:pt idx="0">
                  <c:v>-4.0173835210859723</c:v>
                </c:pt>
                <c:pt idx="1">
                  <c:v>-3.2188758248682006</c:v>
                </c:pt>
                <c:pt idx="2">
                  <c:v>-2.5257286443082556</c:v>
                </c:pt>
                <c:pt idx="3">
                  <c:v>-1.9661128563728327</c:v>
                </c:pt>
                <c:pt idx="4">
                  <c:v>-1.5141277326297755</c:v>
                </c:pt>
                <c:pt idx="5">
                  <c:v>-1.0498221244986778</c:v>
                </c:pt>
                <c:pt idx="6">
                  <c:v>-0.6348782724359695</c:v>
                </c:pt>
                <c:pt idx="7">
                  <c:v>-0.22314355131420971</c:v>
                </c:pt>
                <c:pt idx="8">
                  <c:v>0.18232155679395459</c:v>
                </c:pt>
                <c:pt idx="9">
                  <c:v>0.5709795465857378</c:v>
                </c:pt>
                <c:pt idx="10">
                  <c:v>2.4948569806411682</c:v>
                </c:pt>
                <c:pt idx="11">
                  <c:v>4.2619754036060513</c:v>
                </c:pt>
                <c:pt idx="12">
                  <c:v>5.7757930106324729</c:v>
                </c:pt>
                <c:pt idx="13">
                  <c:v>7.0604763659998007</c:v>
                </c:pt>
                <c:pt idx="14">
                  <c:v>8.2063107257940207</c:v>
                </c:pt>
                <c:pt idx="15">
                  <c:v>9.2826610335558097</c:v>
                </c:pt>
                <c:pt idx="16">
                  <c:v>10.333970423619581</c:v>
                </c:pt>
                <c:pt idx="17">
                  <c:v>11.393127901514633</c:v>
                </c:pt>
                <c:pt idx="18">
                  <c:v>12.572103684392932</c:v>
                </c:pt>
                <c:pt idx="19">
                  <c:v>13.695600261291716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958-4EF2-AEBD-F310DD85D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08704"/>
        <c:axId val="42907264"/>
      </c:scatterChart>
      <c:valAx>
        <c:axId val="4290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07264"/>
        <c:crosses val="autoZero"/>
        <c:crossBetween val="midCat"/>
      </c:valAx>
      <c:valAx>
        <c:axId val="4290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08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Ultimi</a:t>
            </a:r>
            <a:r>
              <a:rPr lang="en-US" baseline="0"/>
              <a:t> punti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43640835520559929"/>
                  <c:y val="-0.111527777777777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diretta!$A$13:$A$21</c:f>
              <c:numCache>
                <c:formatCode>General</c:formatCode>
                <c:ptCount val="9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0.35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0.55000000000000004</c:v>
                </c:pt>
                <c:pt idx="8">
                  <c:v>0.6</c:v>
                </c:pt>
              </c:numCache>
            </c:numRef>
          </c:xVal>
          <c:yVal>
            <c:numRef>
              <c:f>diretta!$B$13:$B$21</c:f>
              <c:numCache>
                <c:formatCode>General</c:formatCode>
                <c:ptCount val="9"/>
                <c:pt idx="0">
                  <c:v>70.95</c:v>
                </c:pt>
                <c:pt idx="1">
                  <c:v>322.39999999999998</c:v>
                </c:pt>
                <c:pt idx="2">
                  <c:v>1165</c:v>
                </c:pt>
                <c:pt idx="3">
                  <c:v>3664</c:v>
                </c:pt>
                <c:pt idx="4">
                  <c:v>10750</c:v>
                </c:pt>
                <c:pt idx="5">
                  <c:v>30760</c:v>
                </c:pt>
                <c:pt idx="6">
                  <c:v>88710</c:v>
                </c:pt>
                <c:pt idx="7">
                  <c:v>288400</c:v>
                </c:pt>
                <c:pt idx="8">
                  <c:v>887000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C6-42DD-99AC-AC8FE2C19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170815"/>
        <c:axId val="650161695"/>
      </c:scatterChart>
      <c:valAx>
        <c:axId val="6501708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161695"/>
        <c:crosses val="autoZero"/>
        <c:crossBetween val="midCat"/>
      </c:valAx>
      <c:valAx>
        <c:axId val="650161695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1708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Primi</a:t>
            </a:r>
            <a:r>
              <a:rPr lang="en-US" baseline="0"/>
              <a:t> punti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4769348206474191"/>
                  <c:y val="-0.251460702828813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diretta!$A$2:$A$11</c:f>
              <c:numCache>
                <c:formatCode>General</c:formatCode>
                <c:ptCount val="1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</c:numCache>
            </c:numRef>
          </c:xVal>
          <c:yVal>
            <c:numRef>
              <c:f>diretta!$B$2:$B$11</c:f>
              <c:numCache>
                <c:formatCode>General</c:formatCode>
                <c:ptCount val="10"/>
                <c:pt idx="0">
                  <c:v>1.7999999999999999E-2</c:v>
                </c:pt>
                <c:pt idx="1">
                  <c:v>0.04</c:v>
                </c:pt>
                <c:pt idx="2">
                  <c:v>0.08</c:v>
                </c:pt>
                <c:pt idx="3">
                  <c:v>0.14000000000000001</c:v>
                </c:pt>
                <c:pt idx="4">
                  <c:v>0.22</c:v>
                </c:pt>
                <c:pt idx="5">
                  <c:v>0.35</c:v>
                </c:pt>
                <c:pt idx="6">
                  <c:v>0.53</c:v>
                </c:pt>
                <c:pt idx="7">
                  <c:v>0.8</c:v>
                </c:pt>
                <c:pt idx="8">
                  <c:v>1.2</c:v>
                </c:pt>
                <c:pt idx="9">
                  <c:v>1.77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27-41E4-BDA4-A857F52BA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150880"/>
        <c:axId val="805136960"/>
      </c:scatterChart>
      <c:valAx>
        <c:axId val="805150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136960"/>
        <c:crosses val="autoZero"/>
        <c:crossBetween val="midCat"/>
      </c:valAx>
      <c:valAx>
        <c:axId val="8051369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150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4427734033245847"/>
                  <c:y val="-0.168924613589967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diretta!$A$13:$A$21</c:f>
              <c:numCache>
                <c:formatCode>General</c:formatCode>
                <c:ptCount val="9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0.35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0.55000000000000004</c:v>
                </c:pt>
                <c:pt idx="8">
                  <c:v>0.6</c:v>
                </c:pt>
              </c:numCache>
            </c:numRef>
          </c:xVal>
          <c:yVal>
            <c:numRef>
              <c:f>diretta!$C$13:$C$21</c:f>
              <c:numCache>
                <c:formatCode>General</c:formatCode>
                <c:ptCount val="9"/>
                <c:pt idx="0">
                  <c:v>4.2619754036060513</c:v>
                </c:pt>
                <c:pt idx="1">
                  <c:v>5.7757930106324729</c:v>
                </c:pt>
                <c:pt idx="2">
                  <c:v>7.0604763659998007</c:v>
                </c:pt>
                <c:pt idx="3">
                  <c:v>8.2063107257940207</c:v>
                </c:pt>
                <c:pt idx="4">
                  <c:v>9.2826610335558097</c:v>
                </c:pt>
                <c:pt idx="5">
                  <c:v>10.333970423619581</c:v>
                </c:pt>
                <c:pt idx="6">
                  <c:v>11.393127901514633</c:v>
                </c:pt>
                <c:pt idx="7">
                  <c:v>12.572103684392932</c:v>
                </c:pt>
                <c:pt idx="8">
                  <c:v>13.695600261291716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4D-4776-BB79-75E07F025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398288"/>
        <c:axId val="805398768"/>
      </c:scatterChart>
      <c:valAx>
        <c:axId val="80539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398768"/>
        <c:crosses val="autoZero"/>
        <c:crossBetween val="midCat"/>
      </c:valAx>
      <c:valAx>
        <c:axId val="80539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398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 in funzione W</a:t>
            </a:r>
          </a:p>
          <a:p>
            <a:pPr>
              <a:defRPr/>
            </a:pPr>
            <a:endParaRPr lang="en-US"/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42330996521715"/>
          <c:y val="0.32082250741954343"/>
          <c:w val="0.82761388068946073"/>
          <c:h val="0.639769787288032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8290627089791123"/>
                  <c:y val="-0.33077637931855663"/>
                </c:manualLayout>
              </c:layout>
              <c:numFmt formatCode="0.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inversa!$H$42:$H$72</c:f>
              <c:numCache>
                <c:formatCode>General</c:formatCode>
                <c:ptCount val="31"/>
                <c:pt idx="0">
                  <c:v>3.8382564466529219E-2</c:v>
                </c:pt>
                <c:pt idx="1">
                  <c:v>3.8851233409769294E-2</c:v>
                </c:pt>
                <c:pt idx="2">
                  <c:v>3.9314315711881292E-2</c:v>
                </c:pt>
                <c:pt idx="3">
                  <c:v>3.9772006516224187E-2</c:v>
                </c:pt>
                <c:pt idx="4">
                  <c:v>4.0224489863262179E-2</c:v>
                </c:pt>
                <c:pt idx="5">
                  <c:v>4.0671939555334512E-2</c:v>
                </c:pt>
                <c:pt idx="6">
                  <c:v>4.111451993670711E-2</c:v>
                </c:pt>
                <c:pt idx="7">
                  <c:v>4.1552386598834354E-2</c:v>
                </c:pt>
                <c:pt idx="8">
                  <c:v>4.198568701941284E-2</c:v>
                </c:pt>
                <c:pt idx="9">
                  <c:v>4.2414561142668845E-2</c:v>
                </c:pt>
                <c:pt idx="10">
                  <c:v>4.2839141907352635E-2</c:v>
                </c:pt>
                <c:pt idx="11">
                  <c:v>4.3259555728086235E-2</c:v>
                </c:pt>
                <c:pt idx="12">
                  <c:v>4.3675922935005065E-2</c:v>
                </c:pt>
                <c:pt idx="13">
                  <c:v>4.4088358176026514E-2</c:v>
                </c:pt>
                <c:pt idx="14">
                  <c:v>4.4496970785556922E-2</c:v>
                </c:pt>
                <c:pt idx="15">
                  <c:v>4.4901865122996938E-2</c:v>
                </c:pt>
                <c:pt idx="16">
                  <c:v>4.5303140884014999E-2</c:v>
                </c:pt>
                <c:pt idx="17">
                  <c:v>4.5700893387219617E-2</c:v>
                </c:pt>
                <c:pt idx="18">
                  <c:v>4.6095213838565893E-2</c:v>
                </c:pt>
                <c:pt idx="19">
                  <c:v>4.6486189575574148E-2</c:v>
                </c:pt>
                <c:pt idx="20">
                  <c:v>4.6873904293213309E-2</c:v>
                </c:pt>
                <c:pt idx="21">
                  <c:v>4.7258438253103795E-2</c:v>
                </c:pt>
                <c:pt idx="22">
                  <c:v>4.7639868477521288E-2</c:v>
                </c:pt>
                <c:pt idx="23">
                  <c:v>4.8018268929529609E-2</c:v>
                </c:pt>
                <c:pt idx="24">
                  <c:v>4.8393710680435853E-2</c:v>
                </c:pt>
                <c:pt idx="25">
                  <c:v>4.8766262065641594E-2</c:v>
                </c:pt>
                <c:pt idx="26">
                  <c:v>4.9135988829858063E-2</c:v>
                </c:pt>
                <c:pt idx="27">
                  <c:v>4.9502954262559309E-2</c:v>
                </c:pt>
                <c:pt idx="28">
                  <c:v>4.9867219324463453E-2</c:v>
                </c:pt>
                <c:pt idx="29">
                  <c:v>5.0228842765758043E-2</c:v>
                </c:pt>
                <c:pt idx="30">
                  <c:v>5.0587881236718604E-2</c:v>
                </c:pt>
              </c:numCache>
            </c:numRef>
          </c:xVal>
          <c:yVal>
            <c:numRef>
              <c:f>inversa!$D$42:$D$72</c:f>
              <c:numCache>
                <c:formatCode>General</c:formatCode>
                <c:ptCount val="31"/>
                <c:pt idx="0">
                  <c:v>-3.5675498479917152E-9</c:v>
                </c:pt>
                <c:pt idx="1">
                  <c:v>-3.6193746062250771E-9</c:v>
                </c:pt>
                <c:pt idx="2">
                  <c:v>-3.6694045244705585E-9</c:v>
                </c:pt>
                <c:pt idx="3">
                  <c:v>-3.6469141822891022E-9</c:v>
                </c:pt>
                <c:pt idx="4">
                  <c:v>-3.702425840997541E-9</c:v>
                </c:pt>
                <c:pt idx="5">
                  <c:v>-3.7403605319913937E-9</c:v>
                </c:pt>
                <c:pt idx="6">
                  <c:v>-3.7123797244303226E-9</c:v>
                </c:pt>
                <c:pt idx="7">
                  <c:v>-3.8000913110880321E-9</c:v>
                </c:pt>
                <c:pt idx="8">
                  <c:v>-3.84845103101146E-9</c:v>
                </c:pt>
                <c:pt idx="9">
                  <c:v>-3.867265690467738E-9</c:v>
                </c:pt>
                <c:pt idx="10">
                  <c:v>-3.8679474803798004E-9</c:v>
                </c:pt>
                <c:pt idx="11">
                  <c:v>-3.8831774455269524E-9</c:v>
                </c:pt>
                <c:pt idx="12">
                  <c:v>-3.887114875750363E-9</c:v>
                </c:pt>
                <c:pt idx="13">
                  <c:v>-3.9381045348226971E-9</c:v>
                </c:pt>
                <c:pt idx="14">
                  <c:v>-3.9661538952999474E-9</c:v>
                </c:pt>
                <c:pt idx="15">
                  <c:v>-4.0029481150514764E-9</c:v>
                </c:pt>
                <c:pt idx="16">
                  <c:v>-3.998628034913983E-9</c:v>
                </c:pt>
                <c:pt idx="17">
                  <c:v>-4.0615832939055133E-9</c:v>
                </c:pt>
                <c:pt idx="18">
                  <c:v>-4.0524109137174545E-9</c:v>
                </c:pt>
                <c:pt idx="19">
                  <c:v>-4.1009775388061511E-9</c:v>
                </c:pt>
                <c:pt idx="20">
                  <c:v>-4.125646617306228E-9</c:v>
                </c:pt>
                <c:pt idx="21">
                  <c:v>-4.1269703117972896E-9</c:v>
                </c:pt>
                <c:pt idx="22">
                  <c:v>-4.1017827239673807E-9</c:v>
                </c:pt>
                <c:pt idx="23">
                  <c:v>-4.2028696077847426E-9</c:v>
                </c:pt>
                <c:pt idx="24">
                  <c:v>-4.1385781901355679E-9</c:v>
                </c:pt>
                <c:pt idx="25">
                  <c:v>-4.2063296604280432E-9</c:v>
                </c:pt>
                <c:pt idx="26">
                  <c:v>-4.1533930985355227E-9</c:v>
                </c:pt>
                <c:pt idx="27">
                  <c:v>-4.2551592794316307E-9</c:v>
                </c:pt>
                <c:pt idx="28">
                  <c:v>-4.2692674695863582E-9</c:v>
                </c:pt>
                <c:pt idx="29">
                  <c:v>-4.2864817300534436E-9</c:v>
                </c:pt>
                <c:pt idx="30">
                  <c:v>-4.270513886244608E-9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A9-45AA-B26F-688E87C85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172255"/>
        <c:axId val="529974288"/>
      </c:scatterChart>
      <c:valAx>
        <c:axId val="650172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74288"/>
        <c:crosses val="autoZero"/>
        <c:crossBetween val="midCat"/>
      </c:valAx>
      <c:valAx>
        <c:axId val="52997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172255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1/C'^2</a:t>
            </a:r>
            <a:r>
              <a:rPr lang="en-US" baseline="0"/>
              <a:t> in funzione di V in reverse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CV_reverse!$A$2:$A$30</c:f>
              <c:numCache>
                <c:formatCode>General</c:formatCode>
                <c:ptCount val="29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14</c:v>
                </c:pt>
                <c:pt idx="18">
                  <c:v>16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22.5</c:v>
                </c:pt>
                <c:pt idx="23">
                  <c:v>25</c:v>
                </c:pt>
                <c:pt idx="24">
                  <c:v>27.5</c:v>
                </c:pt>
                <c:pt idx="25">
                  <c:v>30</c:v>
                </c:pt>
                <c:pt idx="26">
                  <c:v>35</c:v>
                </c:pt>
                <c:pt idx="27">
                  <c:v>40</c:v>
                </c:pt>
                <c:pt idx="28">
                  <c:v>45</c:v>
                </c:pt>
              </c:numCache>
            </c:numRef>
          </c:xVal>
          <c:yVal>
            <c:numRef>
              <c:f>CV_reverse!$E$2:$E$30</c:f>
              <c:numCache>
                <c:formatCode>General</c:formatCode>
                <c:ptCount val="29"/>
                <c:pt idx="0">
                  <c:v>1.6721510448902277E+19</c:v>
                </c:pt>
                <c:pt idx="1">
                  <c:v>2.410845649458799E+19</c:v>
                </c:pt>
                <c:pt idx="2">
                  <c:v>2.8838476650226156E+19</c:v>
                </c:pt>
                <c:pt idx="3">
                  <c:v>3.2935113757679669E+19</c:v>
                </c:pt>
                <c:pt idx="4">
                  <c:v>3.6719566079891665E+19</c:v>
                </c:pt>
                <c:pt idx="5">
                  <c:v>4.0544544008858771E+19</c:v>
                </c:pt>
                <c:pt idx="6">
                  <c:v>5.8384143372756623E+19</c:v>
                </c:pt>
                <c:pt idx="7">
                  <c:v>7.572018537987326E+19</c:v>
                </c:pt>
                <c:pt idx="8">
                  <c:v>9.2987989535849923E+19</c:v>
                </c:pt>
                <c:pt idx="9">
                  <c:v>1.0913173771915723E+20</c:v>
                </c:pt>
                <c:pt idx="10">
                  <c:v>1.4253941253114416E+20</c:v>
                </c:pt>
                <c:pt idx="11">
                  <c:v>1.7527834435748178E+20</c:v>
                </c:pt>
                <c:pt idx="12">
                  <c:v>2.0822071214114226E+20</c:v>
                </c:pt>
                <c:pt idx="13">
                  <c:v>2.4175424429295174E+20</c:v>
                </c:pt>
                <c:pt idx="14">
                  <c:v>2.7546106263087245E+20</c:v>
                </c:pt>
                <c:pt idx="15">
                  <c:v>3.4268547482949544E+20</c:v>
                </c:pt>
                <c:pt idx="16">
                  <c:v>4.1005731932194924E+20</c:v>
                </c:pt>
                <c:pt idx="17">
                  <c:v>4.7842609182413029E+20</c:v>
                </c:pt>
                <c:pt idx="18">
                  <c:v>5.4648588891592242E+20</c:v>
                </c:pt>
                <c:pt idx="19">
                  <c:v>6.1166244947006561E+20</c:v>
                </c:pt>
                <c:pt idx="20">
                  <c:v>6.6722238440589794E+20</c:v>
                </c:pt>
                <c:pt idx="21">
                  <c:v>6.9104201344953287E+20</c:v>
                </c:pt>
                <c:pt idx="22">
                  <c:v>7.1520575631626849E+20</c:v>
                </c:pt>
                <c:pt idx="23">
                  <c:v>7.4065942262518881E+20</c:v>
                </c:pt>
                <c:pt idx="24">
                  <c:v>7.5286788880158006E+20</c:v>
                </c:pt>
                <c:pt idx="25">
                  <c:v>7.6117533366740727E+20</c:v>
                </c:pt>
                <c:pt idx="26">
                  <c:v>7.696210425055833E+20</c:v>
                </c:pt>
                <c:pt idx="27">
                  <c:v>7.7175443314565749E+20</c:v>
                </c:pt>
                <c:pt idx="28">
                  <c:v>7.7820810066504293E+20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19-400B-B3B2-C924C38FB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258512"/>
        <c:axId val="1453261392"/>
      </c:scatterChart>
      <c:valAx>
        <c:axId val="145325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261392"/>
        <c:crosses val="autoZero"/>
        <c:crossBetween val="midCat"/>
      </c:valAx>
      <c:valAx>
        <c:axId val="145326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258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parte lineare di 1/c'^2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0.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CV_reverse!$A$6:$A$20</c:f>
              <c:numCache>
                <c:formatCode>General</c:formatCode>
                <c:ptCount val="15"/>
                <c:pt idx="0">
                  <c:v>0.9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14</c:v>
                </c:pt>
                <c:pt idx="14">
                  <c:v>16</c:v>
                </c:pt>
              </c:numCache>
            </c:numRef>
          </c:xVal>
          <c:yVal>
            <c:numRef>
              <c:f>CV_reverse!$E$6:$E$20</c:f>
              <c:numCache>
                <c:formatCode>General</c:formatCode>
                <c:ptCount val="15"/>
                <c:pt idx="0">
                  <c:v>3.6719566079891665E+19</c:v>
                </c:pt>
                <c:pt idx="1">
                  <c:v>4.0544544008858771E+19</c:v>
                </c:pt>
                <c:pt idx="2">
                  <c:v>5.8384143372756623E+19</c:v>
                </c:pt>
                <c:pt idx="3">
                  <c:v>7.572018537987326E+19</c:v>
                </c:pt>
                <c:pt idx="4">
                  <c:v>9.2987989535849923E+19</c:v>
                </c:pt>
                <c:pt idx="5">
                  <c:v>1.0913173771915723E+20</c:v>
                </c:pt>
                <c:pt idx="6">
                  <c:v>1.4253941253114416E+20</c:v>
                </c:pt>
                <c:pt idx="7">
                  <c:v>1.7527834435748178E+20</c:v>
                </c:pt>
                <c:pt idx="8">
                  <c:v>2.0822071214114226E+20</c:v>
                </c:pt>
                <c:pt idx="9">
                  <c:v>2.4175424429295174E+20</c:v>
                </c:pt>
                <c:pt idx="10">
                  <c:v>2.7546106263087245E+20</c:v>
                </c:pt>
                <c:pt idx="11">
                  <c:v>3.4268547482949544E+20</c:v>
                </c:pt>
                <c:pt idx="12">
                  <c:v>4.1005731932194924E+20</c:v>
                </c:pt>
                <c:pt idx="13">
                  <c:v>4.7842609182413029E+20</c:v>
                </c:pt>
                <c:pt idx="14">
                  <c:v>5.4648588891592242E+20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DC-448F-842B-641E88980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166528"/>
        <c:axId val="1498177088"/>
      </c:scatterChart>
      <c:valAx>
        <c:axId val="149816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177088"/>
        <c:crosses val="autoZero"/>
        <c:crossBetween val="midCat"/>
      </c:valAx>
      <c:valAx>
        <c:axId val="149817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16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nd locale in funzione di</a:t>
            </a:r>
            <a:r>
              <a:rPr lang="en-US" baseline="0"/>
              <a:t> svuotamento xd</a:t>
            </a:r>
          </a:p>
        </c:rich>
      </c:tx>
      <c:layout>
        <c:manualLayout>
          <c:xMode val="edge"/>
          <c:yMode val="edge"/>
          <c:x val="0.229861111111111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CV_reverse!$F$3:$F$29</c:f>
              <c:numCache>
                <c:formatCode>General</c:formatCode>
                <c:ptCount val="27"/>
                <c:pt idx="0">
                  <c:v>50.840970897104405</c:v>
                </c:pt>
                <c:pt idx="1">
                  <c:v>55.605185037395316</c:v>
                </c:pt>
                <c:pt idx="2">
                  <c:v>59.423566842538335</c:v>
                </c:pt>
                <c:pt idx="3">
                  <c:v>62.744823599598639</c:v>
                </c:pt>
                <c:pt idx="4">
                  <c:v>65.93186225862587</c:v>
                </c:pt>
                <c:pt idx="5">
                  <c:v>79.118234710351047</c:v>
                </c:pt>
                <c:pt idx="6">
                  <c:v>90.102111112655749</c:v>
                </c:pt>
                <c:pt idx="7">
                  <c:v>99.848733708976667</c:v>
                </c:pt>
                <c:pt idx="8">
                  <c:v>108.16946151805809</c:v>
                </c:pt>
                <c:pt idx="9">
                  <c:v>123.62224173492353</c:v>
                </c:pt>
                <c:pt idx="10">
                  <c:v>137.08605024070727</c:v>
                </c:pt>
                <c:pt idx="11">
                  <c:v>149.41393245659816</c:v>
                </c:pt>
                <c:pt idx="12">
                  <c:v>160.99640784083061</c:v>
                </c:pt>
                <c:pt idx="13">
                  <c:v>171.85384039277744</c:v>
                </c:pt>
                <c:pt idx="14">
                  <c:v>191.68007947823855</c:v>
                </c:pt>
                <c:pt idx="15">
                  <c:v>209.67730046912817</c:v>
                </c:pt>
                <c:pt idx="16">
                  <c:v>226.4834963082568</c:v>
                </c:pt>
                <c:pt idx="17">
                  <c:v>242.0575362641859</c:v>
                </c:pt>
                <c:pt idx="18">
                  <c:v>256.08553158405857</c:v>
                </c:pt>
                <c:pt idx="19">
                  <c:v>267.4634463807746</c:v>
                </c:pt>
                <c:pt idx="20">
                  <c:v>272.1957616181802</c:v>
                </c:pt>
                <c:pt idx="21">
                  <c:v>276.91382148622864</c:v>
                </c:pt>
                <c:pt idx="22">
                  <c:v>281.79832580009707</c:v>
                </c:pt>
                <c:pt idx="23">
                  <c:v>284.11130795440698</c:v>
                </c:pt>
                <c:pt idx="24">
                  <c:v>285.67450634755363</c:v>
                </c:pt>
                <c:pt idx="25">
                  <c:v>287.25500154173096</c:v>
                </c:pt>
                <c:pt idx="26">
                  <c:v>287.65286165466961</c:v>
                </c:pt>
              </c:numCache>
            </c:numRef>
          </c:xVal>
          <c:yVal>
            <c:numRef>
              <c:f>CV_reverse!$G$3:$G$29</c:f>
              <c:numCache>
                <c:formatCode>0.00E+00</c:formatCode>
                <c:ptCount val="27"/>
                <c:pt idx="0">
                  <c:v>199258556469.88739</c:v>
                </c:pt>
                <c:pt idx="1">
                  <c:v>273536076240.9989</c:v>
                </c:pt>
                <c:pt idx="2">
                  <c:v>306354751537.52759</c:v>
                </c:pt>
                <c:pt idx="3">
                  <c:v>317291717562.70337</c:v>
                </c:pt>
                <c:pt idx="4">
                  <c:v>334335052297.37982</c:v>
                </c:pt>
                <c:pt idx="5">
                  <c:v>343193343456.66516</c:v>
                </c:pt>
                <c:pt idx="6">
                  <c:v>348864282700.06836</c:v>
                </c:pt>
                <c:pt idx="7">
                  <c:v>361313531552.29565</c:v>
                </c:pt>
                <c:pt idx="8">
                  <c:v>365439938167.79504</c:v>
                </c:pt>
                <c:pt idx="9">
                  <c:v>365008776228.18701</c:v>
                </c:pt>
                <c:pt idx="10">
                  <c:v>367594613444.99438</c:v>
                </c:pt>
                <c:pt idx="11">
                  <c:v>363200678202.76923</c:v>
                </c:pt>
                <c:pt idx="12">
                  <c:v>359071476648.3811</c:v>
                </c:pt>
                <c:pt idx="13">
                  <c:v>358819938274.11591</c:v>
                </c:pt>
                <c:pt idx="14">
                  <c:v>358763200913.04248</c:v>
                </c:pt>
                <c:pt idx="15">
                  <c:v>355738650306.21466</c:v>
                </c:pt>
                <c:pt idx="16">
                  <c:v>353944808078.80133</c:v>
                </c:pt>
                <c:pt idx="17">
                  <c:v>362424977195.23456</c:v>
                </c:pt>
                <c:pt idx="18">
                  <c:v>399946873440.71112</c:v>
                </c:pt>
                <c:pt idx="19">
                  <c:v>456240071064.39923</c:v>
                </c:pt>
                <c:pt idx="20">
                  <c:v>628970281251.84485</c:v>
                </c:pt>
                <c:pt idx="21">
                  <c:v>973210505821.7373</c:v>
                </c:pt>
                <c:pt idx="22">
                  <c:v>1602676902995.2329</c:v>
                </c:pt>
                <c:pt idx="23">
                  <c:v>2942117936051.8569</c:v>
                </c:pt>
                <c:pt idx="24">
                  <c:v>5404376177602.7822</c:v>
                </c:pt>
                <c:pt idx="25">
                  <c:v>11411222661409.137</c:v>
                </c:pt>
                <c:pt idx="26">
                  <c:v>14058418781119.248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FF-45F6-B061-35342B427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705728"/>
        <c:axId val="1511692768"/>
      </c:scatterChart>
      <c:valAx>
        <c:axId val="151170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692768"/>
        <c:crosses val="autoZero"/>
        <c:crossBetween val="midCat"/>
      </c:valAx>
      <c:valAx>
        <c:axId val="1511692768"/>
        <c:scaling>
          <c:logBase val="10"/>
          <c:orientation val="minMax"/>
          <c:min val="100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705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82550</xdr:colOff>
      <xdr:row>21</xdr:row>
      <xdr:rowOff>68262</xdr:rowOff>
    </xdr:from>
    <xdr:to>
      <xdr:col>7</xdr:col>
      <xdr:colOff>368300</xdr:colOff>
      <xdr:row>35</xdr:row>
      <xdr:rowOff>144462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1EF9C1-BDA9-B565-B8D4-78C53A95B2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53</xdr:row>
      <xdr:rowOff>153987</xdr:rowOff>
    </xdr:from>
    <xdr:to>
      <xdr:col>7</xdr:col>
      <xdr:colOff>371475</xdr:colOff>
      <xdr:row>68</xdr:row>
      <xdr:rowOff>39687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6A78A59-C6F9-80B0-5B6B-CDF954A305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23812</xdr:colOff>
      <xdr:row>38</xdr:row>
      <xdr:rowOff>61912</xdr:rowOff>
    </xdr:from>
    <xdr:to>
      <xdr:col>13</xdr:col>
      <xdr:colOff>709612</xdr:colOff>
      <xdr:row>52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74E233-8C11-1363-CD4A-DEF7C8B175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33337</xdr:colOff>
      <xdr:row>38</xdr:row>
      <xdr:rowOff>80962</xdr:rowOff>
    </xdr:from>
    <xdr:to>
      <xdr:col>7</xdr:col>
      <xdr:colOff>100012</xdr:colOff>
      <xdr:row>52</xdr:row>
      <xdr:rowOff>157162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D741742-D012-BBC4-05B5-71169845F2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328612</xdr:colOff>
      <xdr:row>22</xdr:row>
      <xdr:rowOff>23812</xdr:rowOff>
    </xdr:from>
    <xdr:to>
      <xdr:col>14</xdr:col>
      <xdr:colOff>204787</xdr:colOff>
      <xdr:row>36</xdr:row>
      <xdr:rowOff>100012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3C2D07-BA7E-7D6C-3255-A5EA491741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392205</xdr:colOff>
      <xdr:row>21</xdr:row>
      <xdr:rowOff>145675</xdr:rowOff>
    </xdr:from>
    <xdr:to>
      <xdr:col>17</xdr:col>
      <xdr:colOff>493058</xdr:colOff>
      <xdr:row>43</xdr:row>
      <xdr:rowOff>100852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0F1361-4C93-765C-1107-C209A5542F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4</xdr:row>
      <xdr:rowOff>176212</xdr:rowOff>
    </xdr:from>
    <xdr:to>
      <xdr:col>16</xdr:col>
      <xdr:colOff>200025</xdr:colOff>
      <xdr:row>19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F398DF-B428-06D9-35BA-05A160F2B7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485775</xdr:colOff>
      <xdr:row>19</xdr:row>
      <xdr:rowOff>90487</xdr:rowOff>
    </xdr:from>
    <xdr:to>
      <xdr:col>16</xdr:col>
      <xdr:colOff>180975</xdr:colOff>
      <xdr:row>33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0362DF-BF02-358E-5AC5-06E98DC84E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138112</xdr:colOff>
      <xdr:row>30</xdr:row>
      <xdr:rowOff>138112</xdr:rowOff>
    </xdr:from>
    <xdr:to>
      <xdr:col>8</xdr:col>
      <xdr:colOff>481012</xdr:colOff>
      <xdr:row>45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88FA91-3D9A-E32C-EDD7-D26B28FD53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504824</xdr:colOff>
      <xdr:row>34</xdr:row>
      <xdr:rowOff>33336</xdr:rowOff>
    </xdr:from>
    <xdr:to>
      <xdr:col>16</xdr:col>
      <xdr:colOff>361949</xdr:colOff>
      <xdr:row>54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19D529-4D03-2A88-D239-EB625608A1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E53CB-25B4-4200-8D48-8FB99AB4A76A}">
  <dimension ref="A1:T27"/>
  <sheetViews>
    <sheetView workbookViewId="0">
      <selection activeCell="H18" sqref="H18"/>
    </sheetView>
  </sheetViews>
  <sheetFormatPr defaultColWidth="8.85546875" defaultRowHeight="15" x14ac:dyDescent="0.25"/>
  <cols>
    <col min="6" max="6" width="12.140625" bestFit="1" customWidth="1"/>
    <col min="7" max="7" width="11.140625" bestFit="1" customWidth="1"/>
    <col min="12" max="12" width="10.140625" bestFit="1" customWidth="1"/>
    <col min="13" max="13" width="12.7109375" bestFit="1" customWidth="1"/>
    <col min="14" max="14" width="12.140625" bestFit="1" customWidth="1"/>
    <col min="16" max="16" width="12.140625" bestFit="1" customWidth="1"/>
    <col min="18" max="18" width="21.140625" bestFit="1" customWidth="1"/>
    <col min="19" max="19" width="12.140625" bestFit="1" customWidth="1"/>
  </cols>
  <sheetData>
    <row r="1" spans="1:20" x14ac:dyDescent="0.25">
      <c r="A1" t="s">
        <v>1</v>
      </c>
      <c r="B1" t="s">
        <v>0</v>
      </c>
      <c r="C1" t="s">
        <v>2</v>
      </c>
      <c r="D1" t="s">
        <v>1</v>
      </c>
      <c r="E1" t="s">
        <v>0</v>
      </c>
    </row>
    <row r="2" spans="1:20" x14ac:dyDescent="0.25">
      <c r="A2">
        <f>0.01</f>
        <v>0.01</v>
      </c>
      <c r="B2">
        <v>1.7999999999999999E-2</v>
      </c>
      <c r="C2">
        <f>LN(B2)</f>
        <v>-4.0173835210859723</v>
      </c>
      <c r="D2">
        <v>0.01</v>
      </c>
      <c r="E2">
        <v>1.7999999999999999E-2</v>
      </c>
      <c r="L2" t="s">
        <v>8</v>
      </c>
      <c r="M2" t="s">
        <v>3</v>
      </c>
      <c r="N2" t="s">
        <v>4</v>
      </c>
      <c r="O2" t="s">
        <v>5</v>
      </c>
      <c r="P2" t="s">
        <v>6</v>
      </c>
      <c r="Q2" t="s">
        <v>7</v>
      </c>
      <c r="S2" t="s">
        <v>21</v>
      </c>
      <c r="T2" t="s">
        <v>24</v>
      </c>
    </row>
    <row r="3" spans="1:20" x14ac:dyDescent="0.25">
      <c r="A3">
        <v>0.02</v>
      </c>
      <c r="B3">
        <v>0.04</v>
      </c>
      <c r="C3">
        <f t="shared" ref="C3:C11" si="0">LN(B3)</f>
        <v>-3.2188758248682006</v>
      </c>
      <c r="D3">
        <v>0.02</v>
      </c>
      <c r="E3">
        <v>0.04</v>
      </c>
      <c r="L3">
        <f>4.136*10^(-15)</f>
        <v>4.1360000000000002E-15</v>
      </c>
      <c r="M3">
        <f>273+19</f>
        <v>292</v>
      </c>
      <c r="N3">
        <f>M3*8.6167*10^(-5)</f>
        <v>2.5160764000000002E-2</v>
      </c>
      <c r="O3">
        <f>1.17-((4.73*10^(-4)*(M3)^2)/(M3+636))</f>
        <v>1.1265410862068965</v>
      </c>
      <c r="P3">
        <f xml:space="preserve"> O7*P7* EXP(- O3/N3)</f>
        <v>1.4070356096557627E+19</v>
      </c>
      <c r="Q3">
        <f>SQRT(P3)</f>
        <v>3751047333.2867484</v>
      </c>
      <c r="S3">
        <f>11.7*8.85*(10^(-12))* 10^(-2)</f>
        <v>1.03545E-12</v>
      </c>
      <c r="T3">
        <f>1.13* 10^-1</f>
        <v>0.11299999999999999</v>
      </c>
    </row>
    <row r="4" spans="1:20" x14ac:dyDescent="0.25">
      <c r="A4">
        <v>0.03</v>
      </c>
      <c r="B4">
        <v>0.08</v>
      </c>
      <c r="C4">
        <f t="shared" si="0"/>
        <v>-2.5257286443082556</v>
      </c>
      <c r="D4">
        <v>0.03</v>
      </c>
      <c r="E4">
        <v>0.08</v>
      </c>
    </row>
    <row r="5" spans="1:20" x14ac:dyDescent="0.25">
      <c r="A5">
        <v>0.04</v>
      </c>
      <c r="B5">
        <v>0.14000000000000001</v>
      </c>
      <c r="C5">
        <f t="shared" si="0"/>
        <v>-1.9661128563728327</v>
      </c>
      <c r="D5">
        <v>0.04</v>
      </c>
      <c r="E5">
        <v>0.14000000000000001</v>
      </c>
    </row>
    <row r="6" spans="1:20" x14ac:dyDescent="0.25">
      <c r="A6">
        <v>0.05</v>
      </c>
      <c r="B6">
        <v>0.22</v>
      </c>
      <c r="C6">
        <f t="shared" si="0"/>
        <v>-1.5141277326297755</v>
      </c>
      <c r="D6">
        <v>0.05</v>
      </c>
      <c r="E6">
        <v>0.22</v>
      </c>
      <c r="L6" t="s">
        <v>10</v>
      </c>
      <c r="M6" t="s">
        <v>11</v>
      </c>
      <c r="O6" t="s">
        <v>12</v>
      </c>
      <c r="P6" t="s">
        <v>13</v>
      </c>
      <c r="R6" t="s">
        <v>18</v>
      </c>
    </row>
    <row r="7" spans="1:20" x14ac:dyDescent="0.25">
      <c r="A7">
        <v>0.06</v>
      </c>
      <c r="B7">
        <v>0.35</v>
      </c>
      <c r="C7">
        <f t="shared" si="0"/>
        <v>-1.0498221244986778</v>
      </c>
      <c r="D7">
        <v>0.06</v>
      </c>
      <c r="E7">
        <v>0.35</v>
      </c>
      <c r="L7">
        <f>2.8*(10^19)</f>
        <v>2.8E+19</v>
      </c>
      <c r="M7">
        <f>1.4*(10^19)</f>
        <v>1.4E+19</v>
      </c>
      <c r="O7">
        <f>L7+($M$3/300)^(3/2)</f>
        <v>2.8E+19</v>
      </c>
      <c r="P7">
        <f>M7+($M$3/300)^(3/2)</f>
        <v>1.4E+19</v>
      </c>
      <c r="R7">
        <f>10^12</f>
        <v>1000000000000</v>
      </c>
    </row>
    <row r="8" spans="1:20" x14ac:dyDescent="0.25">
      <c r="A8">
        <v>7.0000000000000007E-2</v>
      </c>
      <c r="B8">
        <v>0.53</v>
      </c>
      <c r="C8">
        <f t="shared" si="0"/>
        <v>-0.6348782724359695</v>
      </c>
      <c r="D8">
        <v>7.0000000000000007E-2</v>
      </c>
      <c r="E8">
        <v>0.53</v>
      </c>
    </row>
    <row r="9" spans="1:20" x14ac:dyDescent="0.25">
      <c r="A9">
        <v>0.08</v>
      </c>
      <c r="B9">
        <v>0.8</v>
      </c>
      <c r="C9">
        <f t="shared" si="0"/>
        <v>-0.22314355131420971</v>
      </c>
      <c r="D9">
        <v>0.08</v>
      </c>
      <c r="E9">
        <v>0.8</v>
      </c>
    </row>
    <row r="10" spans="1:20" x14ac:dyDescent="0.25">
      <c r="A10">
        <v>0.09</v>
      </c>
      <c r="B10">
        <v>1.2</v>
      </c>
      <c r="C10">
        <f t="shared" si="0"/>
        <v>0.18232155679395459</v>
      </c>
      <c r="D10">
        <v>0.09</v>
      </c>
      <c r="E10">
        <v>1.2</v>
      </c>
    </row>
    <row r="11" spans="1:20" x14ac:dyDescent="0.25">
      <c r="A11">
        <v>0.1</v>
      </c>
      <c r="B11">
        <v>1.77</v>
      </c>
      <c r="C11">
        <f t="shared" si="0"/>
        <v>0.5709795465857378</v>
      </c>
      <c r="D11">
        <v>0.1</v>
      </c>
      <c r="E11">
        <v>1.77</v>
      </c>
    </row>
    <row r="12" spans="1:20" x14ac:dyDescent="0.25">
      <c r="A12">
        <v>0.15</v>
      </c>
      <c r="B12">
        <v>12.12</v>
      </c>
      <c r="C12">
        <f t="shared" ref="C12:C21" si="1">LN(B12)</f>
        <v>2.4948569806411682</v>
      </c>
      <c r="H12" t="s">
        <v>48</v>
      </c>
    </row>
    <row r="13" spans="1:20" x14ac:dyDescent="0.25">
      <c r="A13">
        <v>0.2</v>
      </c>
      <c r="B13">
        <v>70.95</v>
      </c>
      <c r="C13">
        <f t="shared" si="1"/>
        <v>4.2619754036060513</v>
      </c>
      <c r="H13" s="3">
        <v>0.03</v>
      </c>
    </row>
    <row r="14" spans="1:20" x14ac:dyDescent="0.25">
      <c r="A14">
        <v>0.25</v>
      </c>
      <c r="B14">
        <v>322.39999999999998</v>
      </c>
      <c r="C14">
        <f t="shared" si="1"/>
        <v>5.7757930106324729</v>
      </c>
    </row>
    <row r="15" spans="1:20" x14ac:dyDescent="0.25">
      <c r="A15">
        <v>0.3</v>
      </c>
      <c r="B15">
        <v>1165</v>
      </c>
      <c r="C15">
        <f t="shared" si="1"/>
        <v>7.0604763659998007</v>
      </c>
    </row>
    <row r="16" spans="1:20" x14ac:dyDescent="0.25">
      <c r="A16">
        <v>0.35</v>
      </c>
      <c r="B16">
        <v>3664</v>
      </c>
      <c r="C16">
        <f t="shared" si="1"/>
        <v>8.2063107257940207</v>
      </c>
      <c r="M16" t="s">
        <v>14</v>
      </c>
      <c r="N16" t="s">
        <v>16</v>
      </c>
      <c r="O16">
        <f>inversa!O16</f>
        <v>0.98699999999999999</v>
      </c>
    </row>
    <row r="17" spans="1:15" x14ac:dyDescent="0.25">
      <c r="A17">
        <v>0.4</v>
      </c>
      <c r="B17">
        <v>10750</v>
      </c>
      <c r="C17">
        <f t="shared" si="1"/>
        <v>9.2826610335558097</v>
      </c>
      <c r="H17" t="s">
        <v>47</v>
      </c>
    </row>
    <row r="18" spans="1:15" x14ac:dyDescent="0.25">
      <c r="A18">
        <v>0.45</v>
      </c>
      <c r="B18">
        <v>30760</v>
      </c>
      <c r="C18">
        <f t="shared" si="1"/>
        <v>10.333970423619581</v>
      </c>
      <c r="H18">
        <v>4.0114996593688057E-2</v>
      </c>
      <c r="M18" t="s">
        <v>15</v>
      </c>
      <c r="N18" t="s">
        <v>22</v>
      </c>
      <c r="O18">
        <f>O16*10^(-9) / (PI() * T3^2  )</f>
        <v>2.4604264833847716E-8</v>
      </c>
    </row>
    <row r="19" spans="1:15" x14ac:dyDescent="0.25">
      <c r="A19">
        <v>0.5</v>
      </c>
      <c r="B19">
        <v>88710</v>
      </c>
      <c r="C19">
        <f t="shared" si="1"/>
        <v>11.393127901514633</v>
      </c>
      <c r="F19" t="s">
        <v>46</v>
      </c>
      <c r="H19" t="s">
        <v>49</v>
      </c>
    </row>
    <row r="20" spans="1:15" x14ac:dyDescent="0.25">
      <c r="A20">
        <v>0.55000000000000004</v>
      </c>
      <c r="B20">
        <v>288400</v>
      </c>
      <c r="C20">
        <f t="shared" si="1"/>
        <v>12.572103684392932</v>
      </c>
      <c r="F20">
        <f>(A21-A20)/((B21-B20)*0.000000001)</f>
        <v>83.528232542599284</v>
      </c>
      <c r="H20" s="3">
        <f>F20*H18/H13</f>
        <v>111.69115879743848</v>
      </c>
    </row>
    <row r="21" spans="1:15" x14ac:dyDescent="0.25">
      <c r="A21">
        <f>0.6</f>
        <v>0.6</v>
      </c>
      <c r="B21">
        <v>887000</v>
      </c>
      <c r="C21">
        <f t="shared" si="1"/>
        <v>13.695600261291716</v>
      </c>
    </row>
    <row r="27" spans="1:15" x14ac:dyDescent="0.25">
      <c r="K2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763F6-1C3F-E744-9F09-52C67E4252C9}">
  <dimension ref="A1:T72"/>
  <sheetViews>
    <sheetView topLeftCell="B1" zoomScale="85" zoomScaleNormal="85" workbookViewId="0">
      <selection activeCell="F9" sqref="F9"/>
    </sheetView>
  </sheetViews>
  <sheetFormatPr defaultColWidth="11.42578125" defaultRowHeight="15" x14ac:dyDescent="0.25"/>
  <cols>
    <col min="4" max="4" width="12.85546875" bestFit="1" customWidth="1"/>
    <col min="6" max="6" width="12.140625" bestFit="1" customWidth="1"/>
    <col min="9" max="9" width="12.85546875" bestFit="1" customWidth="1"/>
    <col min="18" max="18" width="12.28515625" bestFit="1" customWidth="1"/>
  </cols>
  <sheetData>
    <row r="1" spans="1:20" x14ac:dyDescent="0.25">
      <c r="A1" t="s">
        <v>1</v>
      </c>
      <c r="B1" t="s">
        <v>25</v>
      </c>
      <c r="D1" t="s">
        <v>23</v>
      </c>
      <c r="F1" t="s">
        <v>9</v>
      </c>
      <c r="G1" t="s">
        <v>19</v>
      </c>
      <c r="H1" t="s">
        <v>20</v>
      </c>
      <c r="I1" t="s">
        <v>17</v>
      </c>
    </row>
    <row r="2" spans="1:20" x14ac:dyDescent="0.25">
      <c r="A2">
        <v>0</v>
      </c>
      <c r="B2">
        <v>2.6895094999999998E-10</v>
      </c>
      <c r="C2">
        <v>-7.7691000000000001E-11</v>
      </c>
      <c r="D2">
        <f>B2 / (PI() * (T$3^2) )</f>
        <v>6.7044988866412716E-9</v>
      </c>
      <c r="F2">
        <f>2*$S$3*(0.7-A2)</f>
        <v>1.44963E-12</v>
      </c>
      <c r="G2">
        <f>1.6*(10^(-19))*($R$7 )</f>
        <v>5.7211793349017186E-8</v>
      </c>
      <c r="H2">
        <f>SQRT(F2/G2)</f>
        <v>5.0336823204461109E-3</v>
      </c>
      <c r="I2">
        <f xml:space="preserve"> - ( 1.6*10^(-19) * $Q$3 * H2) /(2* (D2+O$18))</f>
        <v>-4.8246122557348024E-5</v>
      </c>
      <c r="L2" t="s">
        <v>8</v>
      </c>
      <c r="M2" t="s">
        <v>3</v>
      </c>
      <c r="N2" t="s">
        <v>4</v>
      </c>
      <c r="O2" t="s">
        <v>5</v>
      </c>
      <c r="P2" t="s">
        <v>6</v>
      </c>
      <c r="Q2" t="s">
        <v>7</v>
      </c>
      <c r="S2" t="s">
        <v>21</v>
      </c>
      <c r="T2" t="s">
        <v>24</v>
      </c>
    </row>
    <row r="3" spans="1:20" x14ac:dyDescent="0.25">
      <c r="A3">
        <v>-1</v>
      </c>
      <c r="B3">
        <v>1.0930539999999899E-10</v>
      </c>
      <c r="C3">
        <v>-9.9293100000000006E-11</v>
      </c>
      <c r="D3">
        <f t="shared" ref="D3:D66" si="0">B3 / (PI() * (T$3^2) )</f>
        <v>2.7248014279327593E-9</v>
      </c>
      <c r="F3">
        <f t="shared" ref="F3:F20" si="1">2*$S$3*(0.7-A3)</f>
        <v>3.5205299999999997E-12</v>
      </c>
      <c r="G3">
        <f>1.6*(10^(-19))*($R$7 )</f>
        <v>5.7211793349017186E-8</v>
      </c>
      <c r="H3">
        <f t="shared" ref="H3:H22" si="2">SQRT(F3/G3)</f>
        <v>7.8444273300397292E-3</v>
      </c>
      <c r="I3">
        <f t="shared" ref="I3:I48" si="3" xml:space="preserve"> - ( 1.6*10^(-19) * $Q$3 * H3) /(2* (D3+O$18))</f>
        <v>-8.6134865891580455E-5</v>
      </c>
      <c r="L3">
        <f>4.136*10^(-15)</f>
        <v>4.1360000000000002E-15</v>
      </c>
      <c r="M3">
        <f>273+19</f>
        <v>292</v>
      </c>
      <c r="N3">
        <f>M3*8.6167*10^(-5)</f>
        <v>2.5160764000000002E-2</v>
      </c>
      <c r="O3">
        <f>1.17-((4.73*10^(-4)*(M3)^2)/(M3+636))</f>
        <v>1.1265410862068965</v>
      </c>
      <c r="P3">
        <f xml:space="preserve"> O7*P7* EXP(- O3/N3)</f>
        <v>1.4070356096557627E+19</v>
      </c>
      <c r="Q3">
        <f>SQRT(P3)</f>
        <v>3751047333.2867484</v>
      </c>
      <c r="S3">
        <f>11.7*8.85*(10^(-12))* 10^(-2)</f>
        <v>1.03545E-12</v>
      </c>
      <c r="T3">
        <f>1.13*10^-1</f>
        <v>0.11299999999999999</v>
      </c>
    </row>
    <row r="4" spans="1:20" x14ac:dyDescent="0.25">
      <c r="A4">
        <v>-2</v>
      </c>
      <c r="B4">
        <v>-5.0356125E-11</v>
      </c>
      <c r="C4">
        <v>-1.5614825000000001E-10</v>
      </c>
      <c r="D4">
        <f t="shared" si="0"/>
        <v>-1.255294260898014E-9</v>
      </c>
      <c r="F4">
        <f t="shared" si="1"/>
        <v>5.5914300000000001E-12</v>
      </c>
      <c r="G4">
        <f t="shared" ref="G4:G67" si="4">1.6*(10^(-19))*($R$7 )</f>
        <v>5.7211793349017186E-8</v>
      </c>
      <c r="H4">
        <f t="shared" si="2"/>
        <v>9.8859558247736835E-3</v>
      </c>
      <c r="I4">
        <f t="shared" si="3"/>
        <v>-1.2705549691846042E-4</v>
      </c>
    </row>
    <row r="5" spans="1:20" x14ac:dyDescent="0.25">
      <c r="A5">
        <v>-3</v>
      </c>
      <c r="B5">
        <v>-5.8032164999999898E-11</v>
      </c>
      <c r="C5">
        <v>-2.664479E-10</v>
      </c>
      <c r="D5">
        <f t="shared" si="0"/>
        <v>-1.4466451434058215E-9</v>
      </c>
      <c r="F5">
        <f t="shared" si="1"/>
        <v>7.6623300000000001E-12</v>
      </c>
      <c r="G5">
        <f t="shared" si="4"/>
        <v>5.7211793349017186E-8</v>
      </c>
      <c r="H5">
        <f t="shared" si="2"/>
        <v>1.1572778620645917E-2</v>
      </c>
      <c r="I5">
        <f t="shared" si="3"/>
        <v>-1.4996373880898952E-4</v>
      </c>
    </row>
    <row r="6" spans="1:20" x14ac:dyDescent="0.25">
      <c r="A6">
        <v>-4</v>
      </c>
      <c r="B6">
        <v>-5.9146700000000005E-11</v>
      </c>
      <c r="C6">
        <v>-2.2469765000000001E-10</v>
      </c>
      <c r="D6">
        <f t="shared" si="0"/>
        <v>-1.4744286432098692E-9</v>
      </c>
      <c r="F6">
        <f t="shared" si="1"/>
        <v>9.7332300000000001E-12</v>
      </c>
      <c r="G6">
        <f t="shared" si="4"/>
        <v>5.7211793349017186E-8</v>
      </c>
      <c r="H6">
        <f t="shared" si="2"/>
        <v>1.3043246813411978E-2</v>
      </c>
      <c r="I6">
        <f xml:space="preserve"> - ( 1.6*10^(-19) * $Q$3 * H6) /(2* (D6+O$18))</f>
        <v>-1.692215570351626E-4</v>
      </c>
      <c r="L6" t="s">
        <v>10</v>
      </c>
      <c r="M6" t="s">
        <v>11</v>
      </c>
      <c r="O6" t="s">
        <v>12</v>
      </c>
      <c r="P6" t="s">
        <v>13</v>
      </c>
      <c r="R6" t="s">
        <v>18</v>
      </c>
    </row>
    <row r="7" spans="1:20" x14ac:dyDescent="0.25">
      <c r="A7">
        <v>-5</v>
      </c>
      <c r="B7">
        <v>-6.6797984999999998E-11</v>
      </c>
      <c r="C7">
        <v>-2.3444755E-10</v>
      </c>
      <c r="D7">
        <f t="shared" si="0"/>
        <v>-1.6651624248301796E-9</v>
      </c>
      <c r="F7">
        <f t="shared" si="1"/>
        <v>1.180413E-11</v>
      </c>
      <c r="G7">
        <f t="shared" si="4"/>
        <v>5.7211793349017186E-8</v>
      </c>
      <c r="H7">
        <f t="shared" si="2"/>
        <v>1.4363960800165261E-2</v>
      </c>
      <c r="I7">
        <f t="shared" si="3"/>
        <v>-1.8790585924134394E-4</v>
      </c>
      <c r="L7">
        <f>2.8*(10^19)</f>
        <v>2.8E+19</v>
      </c>
      <c r="M7">
        <f>1.4*(10^19)</f>
        <v>1.4E+19</v>
      </c>
      <c r="O7">
        <f>L7+($M$3/300)^(3/2)</f>
        <v>2.8E+19</v>
      </c>
      <c r="P7">
        <f>M7+($M$3/300)^(3/2)</f>
        <v>1.4E+19</v>
      </c>
      <c r="R7">
        <v>357573708431.35736</v>
      </c>
    </row>
    <row r="8" spans="1:20" x14ac:dyDescent="0.25">
      <c r="A8">
        <v>-6</v>
      </c>
      <c r="B8">
        <v>-7.9662215000000005E-11</v>
      </c>
      <c r="C8">
        <v>-2.9392574999999998E-10</v>
      </c>
      <c r="D8">
        <f t="shared" si="0"/>
        <v>-1.9858462361812726E-9</v>
      </c>
      <c r="F8">
        <f t="shared" si="1"/>
        <v>1.387503E-11</v>
      </c>
      <c r="G8">
        <f t="shared" si="4"/>
        <v>5.7211793349017186E-8</v>
      </c>
      <c r="H8">
        <f t="shared" si="2"/>
        <v>1.5573068172386156E-2</v>
      </c>
      <c r="I8">
        <f t="shared" si="3"/>
        <v>-2.0661149438678644E-4</v>
      </c>
    </row>
    <row r="9" spans="1:20" x14ac:dyDescent="0.25">
      <c r="A9">
        <v>-7</v>
      </c>
      <c r="B9">
        <v>-6.6162030000000003E-11</v>
      </c>
      <c r="C9">
        <v>-3.5111109999999998E-10</v>
      </c>
      <c r="D9">
        <f t="shared" si="0"/>
        <v>-1.6493091267122369E-9</v>
      </c>
      <c r="F9">
        <f t="shared" si="1"/>
        <v>1.594593E-11</v>
      </c>
      <c r="G9">
        <f t="shared" si="4"/>
        <v>5.7211793349017186E-8</v>
      </c>
      <c r="H9">
        <f t="shared" si="2"/>
        <v>1.6694835570765267E-2</v>
      </c>
      <c r="I9">
        <f t="shared" si="3"/>
        <v>-2.1824696765731887E-4</v>
      </c>
    </row>
    <row r="10" spans="1:20" x14ac:dyDescent="0.25">
      <c r="A10">
        <v>-8</v>
      </c>
      <c r="B10">
        <v>-7.1831570000000001E-11</v>
      </c>
      <c r="C10">
        <v>-3.859359E-10</v>
      </c>
      <c r="D10">
        <f t="shared" si="0"/>
        <v>-1.7906413087244889E-9</v>
      </c>
      <c r="F10">
        <f t="shared" si="1"/>
        <v>1.8016829999999998E-11</v>
      </c>
      <c r="G10">
        <f t="shared" si="4"/>
        <v>5.7211793349017186E-8</v>
      </c>
      <c r="H10">
        <f t="shared" si="2"/>
        <v>1.7745833797485865E-2</v>
      </c>
      <c r="I10">
        <f t="shared" si="3"/>
        <v>-2.334235505191178E-4</v>
      </c>
    </row>
    <row r="11" spans="1:20" x14ac:dyDescent="0.25">
      <c r="A11">
        <v>-9</v>
      </c>
      <c r="B11">
        <v>-7.6708825E-11</v>
      </c>
      <c r="C11">
        <v>-4.0718770000000001E-10</v>
      </c>
      <c r="D11">
        <f t="shared" si="0"/>
        <v>-1.9122231462951151E-9</v>
      </c>
      <c r="F11">
        <f t="shared" si="1"/>
        <v>2.0087729999999997E-11</v>
      </c>
      <c r="G11">
        <f t="shared" si="4"/>
        <v>5.7211793349017186E-8</v>
      </c>
      <c r="H11">
        <f t="shared" si="2"/>
        <v>1.8737974799884167E-2</v>
      </c>
      <c r="I11">
        <f t="shared" si="3"/>
        <v>-2.4779446952225459E-4</v>
      </c>
    </row>
    <row r="12" spans="1:20" x14ac:dyDescent="0.25">
      <c r="A12">
        <v>-10</v>
      </c>
      <c r="B12">
        <v>-8.276675E-11</v>
      </c>
      <c r="C12">
        <v>-4.5981430000000001E-10</v>
      </c>
      <c r="D12">
        <f t="shared" si="0"/>
        <v>-2.0632371189836531E-9</v>
      </c>
      <c r="F12">
        <f t="shared" si="1"/>
        <v>2.2158629999999998E-11</v>
      </c>
      <c r="G12">
        <f t="shared" si="4"/>
        <v>5.7211793349017186E-8</v>
      </c>
      <c r="H12">
        <f t="shared" si="2"/>
        <v>1.9680162144509801E-2</v>
      </c>
      <c r="I12">
        <f t="shared" si="3"/>
        <v>-2.61997707166244E-4</v>
      </c>
    </row>
    <row r="13" spans="1:20" x14ac:dyDescent="0.25">
      <c r="A13">
        <v>-11</v>
      </c>
      <c r="B13">
        <v>-8.1882019999999996E-11</v>
      </c>
      <c r="C13">
        <v>-4.8382514999999998E-10</v>
      </c>
      <c r="D13">
        <f t="shared" si="0"/>
        <v>-2.0411822747825889E-9</v>
      </c>
      <c r="F13">
        <f t="shared" si="1"/>
        <v>2.4229529999999997E-11</v>
      </c>
      <c r="G13">
        <f t="shared" si="4"/>
        <v>5.7211793349017186E-8</v>
      </c>
      <c r="H13">
        <f t="shared" si="2"/>
        <v>2.0579258112655544E-2</v>
      </c>
      <c r="I13">
        <f t="shared" si="3"/>
        <v>-2.7369937972764193E-4</v>
      </c>
    </row>
    <row r="14" spans="1:20" x14ac:dyDescent="0.25">
      <c r="A14">
        <v>-12</v>
      </c>
      <c r="B14">
        <v>-8.9341910000000003E-11</v>
      </c>
      <c r="C14">
        <v>-5.1485905000000003E-10</v>
      </c>
      <c r="D14">
        <f t="shared" si="0"/>
        <v>-2.2271448980767858E-9</v>
      </c>
      <c r="F14">
        <f t="shared" si="1"/>
        <v>2.6300429999999998E-11</v>
      </c>
      <c r="G14">
        <f t="shared" si="4"/>
        <v>5.7211793349017186E-8</v>
      </c>
      <c r="H14">
        <f t="shared" si="2"/>
        <v>2.1440684385075064E-2</v>
      </c>
      <c r="I14">
        <f t="shared" si="3"/>
        <v>-2.8752590938359421E-4</v>
      </c>
    </row>
    <row r="15" spans="1:20" x14ac:dyDescent="0.25">
      <c r="A15">
        <v>-13</v>
      </c>
      <c r="B15">
        <v>-8.6640849999999997E-11</v>
      </c>
      <c r="C15">
        <v>-5.38868399999999E-10</v>
      </c>
      <c r="D15">
        <f t="shared" si="0"/>
        <v>-2.1598119744981508E-9</v>
      </c>
      <c r="F15">
        <f t="shared" si="1"/>
        <v>2.8371329999999997E-11</v>
      </c>
      <c r="G15">
        <f t="shared" si="4"/>
        <v>5.7211793349017186E-8</v>
      </c>
      <c r="H15">
        <f t="shared" si="2"/>
        <v>2.2268812930497758E-2</v>
      </c>
      <c r="I15">
        <f t="shared" si="3"/>
        <v>-2.9773546945203029E-4</v>
      </c>
      <c r="S15" t="s">
        <v>17</v>
      </c>
    </row>
    <row r="16" spans="1:20" x14ac:dyDescent="0.25">
      <c r="A16">
        <v>-14</v>
      </c>
      <c r="B16">
        <v>-9.1791339999999999E-11</v>
      </c>
      <c r="C16">
        <v>-5.7010884999999995E-10</v>
      </c>
      <c r="D16">
        <f t="shared" si="0"/>
        <v>-2.2882051051811136E-9</v>
      </c>
      <c r="F16">
        <f t="shared" si="1"/>
        <v>3.0442229999999995E-11</v>
      </c>
      <c r="G16">
        <f t="shared" si="4"/>
        <v>5.7211793349017186E-8</v>
      </c>
      <c r="H16">
        <f t="shared" si="2"/>
        <v>2.3067230257805261E-2</v>
      </c>
      <c r="I16">
        <f t="shared" si="3"/>
        <v>-3.1018476773012944E-4</v>
      </c>
      <c r="M16" t="s">
        <v>14</v>
      </c>
      <c r="N16" t="s">
        <v>16</v>
      </c>
      <c r="O16">
        <v>0.98699999999999999</v>
      </c>
      <c r="S16">
        <f xml:space="preserve"> (1.6*10^(-19)*$Q$3 )/ ((1*10^(-7))*2)</f>
        <v>3.000837866629399E-3</v>
      </c>
    </row>
    <row r="17" spans="1:15" x14ac:dyDescent="0.25">
      <c r="A17">
        <v>-15</v>
      </c>
      <c r="B17">
        <v>-9.5252460000000005E-11</v>
      </c>
      <c r="C17">
        <v>-6.1872659999999901E-10</v>
      </c>
      <c r="D17">
        <f t="shared" si="0"/>
        <v>-2.3744850576651331E-9</v>
      </c>
      <c r="F17">
        <f t="shared" si="1"/>
        <v>3.2513129999999997E-11</v>
      </c>
      <c r="G17">
        <f t="shared" si="4"/>
        <v>5.7211793349017186E-8</v>
      </c>
      <c r="H17">
        <f t="shared" si="2"/>
        <v>2.3838921833835292E-2</v>
      </c>
      <c r="I17">
        <f t="shared" si="3"/>
        <v>-3.2180588408364325E-4</v>
      </c>
    </row>
    <row r="18" spans="1:15" x14ac:dyDescent="0.25">
      <c r="A18">
        <v>-16</v>
      </c>
      <c r="B18">
        <v>-9.6865699999999997E-11</v>
      </c>
      <c r="C18">
        <v>-6.4184529999999996E-10</v>
      </c>
      <c r="D18">
        <f t="shared" si="0"/>
        <v>-2.4147004418602256E-9</v>
      </c>
      <c r="F18">
        <f t="shared" si="1"/>
        <v>3.4584029999999998E-11</v>
      </c>
      <c r="G18">
        <f t="shared" si="4"/>
        <v>5.7211793349017186E-8</v>
      </c>
      <c r="H18">
        <f t="shared" si="2"/>
        <v>2.4586404304672359E-2</v>
      </c>
      <c r="I18">
        <f t="shared" si="3"/>
        <v>-3.3249779823691484E-4</v>
      </c>
      <c r="M18" t="s">
        <v>15</v>
      </c>
      <c r="N18" t="s">
        <v>22</v>
      </c>
      <c r="O18">
        <f>O16*10^(-9) / (PI() * T3^2  )</f>
        <v>2.4604264833847716E-8</v>
      </c>
    </row>
    <row r="19" spans="1:15" x14ac:dyDescent="0.25">
      <c r="A19">
        <v>-17</v>
      </c>
      <c r="B19">
        <v>-9.5958844999999996E-11</v>
      </c>
      <c r="C19">
        <v>-6.8020504999999901E-10</v>
      </c>
      <c r="D19">
        <f t="shared" si="0"/>
        <v>-2.3920940582878863E-9</v>
      </c>
      <c r="F19">
        <f t="shared" si="1"/>
        <v>3.665493E-11</v>
      </c>
      <c r="G19">
        <f t="shared" si="4"/>
        <v>5.7211793349017186E-8</v>
      </c>
      <c r="H19">
        <f t="shared" si="2"/>
        <v>2.5311822515692427E-2</v>
      </c>
      <c r="I19">
        <f t="shared" si="3"/>
        <v>-3.4195971319502005E-4</v>
      </c>
    </row>
    <row r="20" spans="1:15" x14ac:dyDescent="0.25">
      <c r="A20">
        <v>-18</v>
      </c>
      <c r="B20">
        <v>-1.0742495E-10</v>
      </c>
      <c r="C20">
        <v>-7.2177530000000001E-10</v>
      </c>
      <c r="D20">
        <f t="shared" si="0"/>
        <v>-2.6779249438326742E-9</v>
      </c>
      <c r="F20">
        <f t="shared" si="1"/>
        <v>3.8725829999999995E-11</v>
      </c>
      <c r="G20">
        <f t="shared" si="4"/>
        <v>5.7211793349017186E-8</v>
      </c>
      <c r="H20">
        <f t="shared" si="2"/>
        <v>2.6017022148951185E-2</v>
      </c>
      <c r="I20">
        <f t="shared" si="3"/>
        <v>-3.5606884520230308E-4</v>
      </c>
    </row>
    <row r="21" spans="1:15" x14ac:dyDescent="0.25">
      <c r="A21">
        <v>-19</v>
      </c>
      <c r="B21">
        <v>-1.0747085E-10</v>
      </c>
      <c r="C21">
        <v>-7.3234410000000004E-10</v>
      </c>
      <c r="D21">
        <f t="shared" si="0"/>
        <v>-2.6790691543249474E-9</v>
      </c>
      <c r="F21">
        <f t="shared" ref="F21" si="5">2*$S$3*(0.7+A21)</f>
        <v>-3.789747E-11</v>
      </c>
      <c r="G21">
        <f t="shared" si="4"/>
        <v>5.7211793349017186E-8</v>
      </c>
      <c r="H21" t="e">
        <f t="shared" si="2"/>
        <v>#NUM!</v>
      </c>
      <c r="I21" t="e">
        <f t="shared" si="3"/>
        <v>#NUM!</v>
      </c>
    </row>
    <row r="22" spans="1:15" x14ac:dyDescent="0.25">
      <c r="A22">
        <v>-20</v>
      </c>
      <c r="B22">
        <v>-1.07473649999999E-10</v>
      </c>
      <c r="C22">
        <v>-7.9715570000000004E-10</v>
      </c>
      <c r="D22">
        <f t="shared" si="0"/>
        <v>-2.679138953657784E-9</v>
      </c>
      <c r="F22">
        <f t="shared" ref="F22:F40" si="6">2*$S$3*(0.7-A22)</f>
        <v>4.2867629999999998E-11</v>
      </c>
      <c r="G22">
        <f t="shared" si="4"/>
        <v>5.7211793349017186E-8</v>
      </c>
      <c r="H22">
        <f t="shared" si="2"/>
        <v>2.7372972187273005E-2</v>
      </c>
      <c r="I22">
        <f t="shared" si="3"/>
        <v>-3.7464711450518987E-4</v>
      </c>
    </row>
    <row r="23" spans="1:15" x14ac:dyDescent="0.25">
      <c r="A23">
        <v>-21</v>
      </c>
      <c r="B23">
        <v>-1.1270085E-10</v>
      </c>
      <c r="C23">
        <v>-8.3811030000000001E-10</v>
      </c>
      <c r="D23">
        <f t="shared" si="0"/>
        <v>-2.8094443367778586E-9</v>
      </c>
      <c r="F23">
        <f t="shared" si="6"/>
        <v>4.493853E-11</v>
      </c>
      <c r="G23">
        <f t="shared" si="4"/>
        <v>5.7211793349017186E-8</v>
      </c>
      <c r="H23">
        <f t="shared" ref="H23:H72" si="7">SQRT(F23/G23)</f>
        <v>2.8026357037587386E-2</v>
      </c>
      <c r="I23">
        <f t="shared" si="3"/>
        <v>-3.858832123594434E-4</v>
      </c>
    </row>
    <row r="24" spans="1:15" x14ac:dyDescent="0.25">
      <c r="A24">
        <v>-22</v>
      </c>
      <c r="B24">
        <v>-1.126876E-10</v>
      </c>
      <c r="C24">
        <v>-8.6842720000000001E-10</v>
      </c>
      <c r="D24">
        <f t="shared" si="0"/>
        <v>-2.8091140363634223E-9</v>
      </c>
      <c r="F24">
        <f t="shared" si="6"/>
        <v>4.7009429999999995E-11</v>
      </c>
      <c r="G24">
        <f t="shared" si="4"/>
        <v>5.7211793349017186E-8</v>
      </c>
      <c r="H24">
        <f t="shared" si="7"/>
        <v>2.8664852541595717E-2</v>
      </c>
      <c r="I24">
        <f t="shared" si="3"/>
        <v>-3.9466840925962796E-4</v>
      </c>
    </row>
    <row r="25" spans="1:15" x14ac:dyDescent="0.25">
      <c r="A25">
        <v>-23</v>
      </c>
      <c r="B25">
        <v>-1.1546374999999901E-10</v>
      </c>
      <c r="C25">
        <v>-9.04144499999999E-10</v>
      </c>
      <c r="D25">
        <f t="shared" si="0"/>
        <v>-2.8783188284793918E-9</v>
      </c>
      <c r="F25">
        <f t="shared" si="6"/>
        <v>4.9080329999999997E-11</v>
      </c>
      <c r="G25">
        <f t="shared" si="4"/>
        <v>5.7211793349017186E-8</v>
      </c>
      <c r="H25">
        <f t="shared" si="7"/>
        <v>2.9289432457193995E-2</v>
      </c>
      <c r="I25">
        <f t="shared" si="3"/>
        <v>-4.0455240930781201E-4</v>
      </c>
    </row>
    <row r="26" spans="1:15" x14ac:dyDescent="0.25">
      <c r="A26">
        <v>-24</v>
      </c>
      <c r="B26">
        <v>-1.180561E-10</v>
      </c>
      <c r="C26">
        <v>-9.5245865000000002E-10</v>
      </c>
      <c r="D26">
        <f t="shared" si="0"/>
        <v>-2.9429417929596854E-9</v>
      </c>
      <c r="F26">
        <f t="shared" si="6"/>
        <v>5.1151229999999998E-11</v>
      </c>
      <c r="G26">
        <f t="shared" si="4"/>
        <v>5.7211793349017186E-8</v>
      </c>
      <c r="H26">
        <f t="shared" si="7"/>
        <v>2.9900968815368367E-2</v>
      </c>
      <c r="I26">
        <f t="shared" si="3"/>
        <v>-4.1423120508701707E-4</v>
      </c>
    </row>
    <row r="27" spans="1:15" x14ac:dyDescent="0.25">
      <c r="A27">
        <v>-25</v>
      </c>
      <c r="B27">
        <v>-1.2143219999999999E-10</v>
      </c>
      <c r="C27">
        <v>-9.2585869999999901E-10</v>
      </c>
      <c r="D27">
        <f t="shared" si="0"/>
        <v>-3.0271023385580167E-9</v>
      </c>
      <c r="F27">
        <f t="shared" si="6"/>
        <v>5.322213E-11</v>
      </c>
      <c r="G27">
        <f t="shared" si="4"/>
        <v>5.7211793349017186E-8</v>
      </c>
      <c r="H27">
        <f t="shared" si="7"/>
        <v>3.0500246204428153E-2</v>
      </c>
      <c r="I27">
        <f t="shared" si="3"/>
        <v>-4.2418132491585869E-4</v>
      </c>
    </row>
    <row r="28" spans="1:15" x14ac:dyDescent="0.25">
      <c r="A28">
        <v>-26</v>
      </c>
      <c r="B28">
        <v>-1.209722E-10</v>
      </c>
      <c r="C28">
        <v>-9.9271395E-10</v>
      </c>
      <c r="D28">
        <f t="shared" si="0"/>
        <v>-3.0156353053021205E-9</v>
      </c>
      <c r="F28">
        <f t="shared" si="6"/>
        <v>5.5293029999999995E-11</v>
      </c>
      <c r="G28">
        <f t="shared" si="4"/>
        <v>5.7211793349017186E-8</v>
      </c>
      <c r="H28">
        <f t="shared" si="7"/>
        <v>3.1087973574420003E-2</v>
      </c>
      <c r="I28">
        <f t="shared" si="3"/>
        <v>-4.3212547686522141E-4</v>
      </c>
    </row>
    <row r="29" spans="1:15" x14ac:dyDescent="0.25">
      <c r="A29">
        <v>-27</v>
      </c>
      <c r="B29">
        <v>-1.246044E-10</v>
      </c>
      <c r="C29">
        <v>-1.04114E-9</v>
      </c>
      <c r="D29">
        <f t="shared" si="0"/>
        <v>-3.1061799970240065E-9</v>
      </c>
      <c r="F29">
        <f t="shared" si="6"/>
        <v>5.7363929999999997E-11</v>
      </c>
      <c r="G29">
        <f t="shared" si="4"/>
        <v>5.7211793349017186E-8</v>
      </c>
      <c r="H29">
        <f t="shared" si="7"/>
        <v>3.1664794068443566E-2</v>
      </c>
      <c r="I29">
        <f t="shared" si="3"/>
        <v>-4.419971071881143E-4</v>
      </c>
    </row>
    <row r="30" spans="1:15" x14ac:dyDescent="0.25">
      <c r="A30">
        <v>-28</v>
      </c>
      <c r="B30">
        <v>-1.2608935E-10</v>
      </c>
      <c r="C30">
        <v>-1.054055E-9</v>
      </c>
      <c r="D30">
        <f t="shared" si="0"/>
        <v>-3.1431973253573623E-9</v>
      </c>
      <c r="F30">
        <f t="shared" si="6"/>
        <v>5.9434829999999992E-11</v>
      </c>
      <c r="G30">
        <f t="shared" si="4"/>
        <v>5.7211793349017186E-8</v>
      </c>
      <c r="H30">
        <f t="shared" si="7"/>
        <v>3.2231293269585716E-2</v>
      </c>
      <c r="I30">
        <f t="shared" si="3"/>
        <v>-4.5068068163685575E-4</v>
      </c>
    </row>
    <row r="31" spans="1:15" x14ac:dyDescent="0.25">
      <c r="A31">
        <v>-29</v>
      </c>
      <c r="B31">
        <v>-1.278834E-10</v>
      </c>
      <c r="C31">
        <v>-1.1051685E-9</v>
      </c>
      <c r="D31">
        <f t="shared" si="0"/>
        <v>-3.1879200014720174E-9</v>
      </c>
      <c r="F31">
        <f t="shared" si="6"/>
        <v>6.1505729999999993E-11</v>
      </c>
      <c r="G31">
        <f t="shared" si="4"/>
        <v>5.7211793349017186E-8</v>
      </c>
      <c r="H31">
        <f t="shared" si="7"/>
        <v>3.2788006164802763E-2</v>
      </c>
      <c r="I31">
        <f t="shared" si="3"/>
        <v>-4.5942242357751488E-4</v>
      </c>
    </row>
    <row r="32" spans="1:15" x14ac:dyDescent="0.25">
      <c r="A32">
        <v>-30</v>
      </c>
      <c r="B32">
        <v>-1.3286750000000001E-10</v>
      </c>
      <c r="C32">
        <v>-1.1341390000000001E-9</v>
      </c>
      <c r="D32">
        <f t="shared" si="0"/>
        <v>-3.3121653067996574E-9</v>
      </c>
      <c r="F32">
        <f t="shared" si="6"/>
        <v>6.3576629999999995E-11</v>
      </c>
      <c r="G32">
        <f t="shared" si="4"/>
        <v>5.7211793349017186E-8</v>
      </c>
      <c r="H32">
        <f t="shared" si="7"/>
        <v>3.3335423061605904E-2</v>
      </c>
      <c r="I32">
        <f t="shared" si="3"/>
        <v>-4.6981839295040474E-4</v>
      </c>
    </row>
    <row r="33" spans="1:9" x14ac:dyDescent="0.25">
      <c r="A33">
        <v>-31</v>
      </c>
      <c r="B33">
        <v>-1.3264695000000001E-10</v>
      </c>
      <c r="C33">
        <v>-1.177562E-9</v>
      </c>
      <c r="D33">
        <f t="shared" si="0"/>
        <v>-3.3066673629201183E-9</v>
      </c>
      <c r="F33">
        <f t="shared" si="6"/>
        <v>6.5647529999999997E-11</v>
      </c>
      <c r="G33">
        <f t="shared" si="4"/>
        <v>5.7211793349017186E-8</v>
      </c>
      <c r="H33">
        <f t="shared" si="7"/>
        <v>3.3873994643817087E-2</v>
      </c>
      <c r="I33">
        <f t="shared" si="3"/>
        <v>-4.7728559974863897E-4</v>
      </c>
    </row>
    <row r="34" spans="1:9" x14ac:dyDescent="0.25">
      <c r="A34">
        <v>-32</v>
      </c>
      <c r="B34">
        <v>-1.3383769999999999E-10</v>
      </c>
      <c r="C34">
        <v>-1.2117115E-9</v>
      </c>
      <c r="D34">
        <f t="shared" si="0"/>
        <v>-3.3363507756363325E-9</v>
      </c>
      <c r="F34">
        <f t="shared" si="6"/>
        <v>6.7718430000000011E-11</v>
      </c>
      <c r="G34">
        <f t="shared" si="4"/>
        <v>5.7211793349017186E-8</v>
      </c>
      <c r="H34">
        <f t="shared" si="7"/>
        <v>3.440413631472896E-2</v>
      </c>
      <c r="I34">
        <f t="shared" si="3"/>
        <v>-4.8543187987003174E-4</v>
      </c>
    </row>
    <row r="35" spans="1:9" x14ac:dyDescent="0.25">
      <c r="A35">
        <v>-33</v>
      </c>
      <c r="B35">
        <v>-1.3609624999999999E-10</v>
      </c>
      <c r="C35">
        <v>-1.2269659999999999E-9</v>
      </c>
      <c r="D35">
        <f t="shared" si="0"/>
        <v>-3.3926526625061266E-9</v>
      </c>
      <c r="F35">
        <f t="shared" si="6"/>
        <v>6.978933E-11</v>
      </c>
      <c r="G35">
        <f t="shared" si="4"/>
        <v>5.7211793349017186E-8</v>
      </c>
      <c r="H35">
        <f t="shared" si="7"/>
        <v>3.4926231946712405E-2</v>
      </c>
      <c r="I35">
        <f t="shared" si="3"/>
        <v>-4.9410652296377115E-4</v>
      </c>
    </row>
    <row r="36" spans="1:9" x14ac:dyDescent="0.25">
      <c r="A36">
        <v>-34</v>
      </c>
      <c r="B36">
        <v>-1.3454775E-10</v>
      </c>
      <c r="C36">
        <v>-1.2636775E-9</v>
      </c>
      <c r="D36">
        <f t="shared" si="0"/>
        <v>-3.3540511386001359E-9</v>
      </c>
      <c r="F36">
        <f t="shared" si="6"/>
        <v>7.1860230000000001E-11</v>
      </c>
      <c r="G36">
        <f t="shared" si="4"/>
        <v>5.7211793349017186E-8</v>
      </c>
      <c r="H36">
        <f t="shared" si="7"/>
        <v>3.5440637133503351E-2</v>
      </c>
      <c r="I36">
        <f t="shared" si="3"/>
        <v>-5.0047311266085491E-4</v>
      </c>
    </row>
    <row r="37" spans="1:9" x14ac:dyDescent="0.25">
      <c r="A37">
        <v>-35</v>
      </c>
      <c r="B37">
        <v>-1.3827539999999999E-10</v>
      </c>
      <c r="C37">
        <v>-1.3180834999999999E-9</v>
      </c>
      <c r="D37">
        <f t="shared" si="0"/>
        <v>-3.4469752397226206E-9</v>
      </c>
      <c r="F37">
        <f t="shared" si="6"/>
        <v>7.3931130000000003E-11</v>
      </c>
      <c r="G37">
        <f t="shared" si="4"/>
        <v>5.7211793349017186E-8</v>
      </c>
      <c r="H37">
        <f t="shared" si="7"/>
        <v>3.5947682023487394E-2</v>
      </c>
      <c r="I37">
        <f t="shared" si="3"/>
        <v>-5.0986287706525444E-4</v>
      </c>
    </row>
    <row r="38" spans="1:9" x14ac:dyDescent="0.25">
      <c r="A38">
        <v>-36</v>
      </c>
      <c r="B38">
        <v>-1.41081599999999E-10</v>
      </c>
      <c r="C38">
        <v>-1.3567604999999999E-9</v>
      </c>
      <c r="D38">
        <f t="shared" si="0"/>
        <v>-3.5169291282501981E-9</v>
      </c>
      <c r="F38">
        <f t="shared" si="6"/>
        <v>7.6002030000000005E-11</v>
      </c>
      <c r="G38">
        <f t="shared" si="4"/>
        <v>5.7211793349017186E-8</v>
      </c>
      <c r="H38">
        <f t="shared" si="7"/>
        <v>3.6447673798129583E-2</v>
      </c>
      <c r="I38">
        <f t="shared" si="3"/>
        <v>-5.1866940997648563E-4</v>
      </c>
    </row>
    <row r="39" spans="1:9" x14ac:dyDescent="0.25">
      <c r="A39">
        <v>-37</v>
      </c>
      <c r="B39">
        <v>-1.3790825E-10</v>
      </c>
      <c r="C39">
        <v>-1.36719449999999E-9</v>
      </c>
      <c r="D39">
        <f t="shared" si="0"/>
        <v>-3.4378228022010938E-9</v>
      </c>
      <c r="F39">
        <f t="shared" si="6"/>
        <v>7.8072930000000006E-11</v>
      </c>
      <c r="G39">
        <f t="shared" si="4"/>
        <v>5.7211793349017186E-8</v>
      </c>
      <c r="H39">
        <f t="shared" si="7"/>
        <v>3.6940898848403299E-2</v>
      </c>
      <c r="I39">
        <f t="shared" si="3"/>
        <v>-5.237235805898514E-4</v>
      </c>
    </row>
    <row r="40" spans="1:9" x14ac:dyDescent="0.25">
      <c r="A40">
        <v>-38</v>
      </c>
      <c r="B40">
        <v>-1.42458499999999E-10</v>
      </c>
      <c r="C40">
        <v>-1.4192039999999899E-9</v>
      </c>
      <c r="D40">
        <f t="shared" si="0"/>
        <v>-3.5512529501850761E-9</v>
      </c>
      <c r="F40">
        <f t="shared" si="6"/>
        <v>8.0143830000000008E-11</v>
      </c>
      <c r="G40">
        <f t="shared" si="4"/>
        <v>5.7211793349017186E-8</v>
      </c>
      <c r="H40">
        <f t="shared" si="7"/>
        <v>3.7427624693013403E-2</v>
      </c>
      <c r="I40">
        <f t="shared" si="3"/>
        <v>-5.3348297173548456E-4</v>
      </c>
    </row>
    <row r="41" spans="1:9" x14ac:dyDescent="0.25">
      <c r="A41">
        <v>-39</v>
      </c>
      <c r="B41">
        <v>-1.4435625E-10</v>
      </c>
      <c r="C41">
        <v>-1.4425044999999999E-9</v>
      </c>
      <c r="D41">
        <f t="shared" si="0"/>
        <v>-3.5985606944489661E-9</v>
      </c>
      <c r="F41">
        <f t="shared" ref="F41" si="8">2*$S$3*(0.7+A41)</f>
        <v>-7.9315469999999999E-11</v>
      </c>
      <c r="G41">
        <f t="shared" si="4"/>
        <v>5.7211793349017186E-8</v>
      </c>
      <c r="H41" t="e">
        <f t="shared" si="7"/>
        <v>#NUM!</v>
      </c>
      <c r="I41" t="e">
        <f t="shared" si="3"/>
        <v>#NUM!</v>
      </c>
    </row>
    <row r="42" spans="1:9" x14ac:dyDescent="0.25">
      <c r="A42">
        <v>-40</v>
      </c>
      <c r="B42">
        <v>-1.4311225E-10</v>
      </c>
      <c r="C42">
        <v>-1.4771859999999999E-9</v>
      </c>
      <c r="D42">
        <f t="shared" si="0"/>
        <v>-3.5675498479917152E-9</v>
      </c>
      <c r="F42">
        <f t="shared" ref="F42:F60" si="9">2*$S$3*(0.7-A42)</f>
        <v>8.4285630000000011E-11</v>
      </c>
      <c r="G42">
        <f t="shared" si="4"/>
        <v>5.7211793349017186E-8</v>
      </c>
      <c r="H42">
        <f t="shared" si="7"/>
        <v>3.8382564466529219E-2</v>
      </c>
      <c r="I42">
        <f t="shared" si="3"/>
        <v>-5.4751824582376985E-4</v>
      </c>
    </row>
    <row r="43" spans="1:9" x14ac:dyDescent="0.25">
      <c r="A43">
        <v>-41</v>
      </c>
      <c r="B43">
        <v>-1.4519120000000001E-10</v>
      </c>
      <c r="C43">
        <v>-1.5437424999999899E-9</v>
      </c>
      <c r="D43">
        <f t="shared" si="0"/>
        <v>-3.6193746062250771E-9</v>
      </c>
      <c r="F43">
        <f t="shared" si="9"/>
        <v>8.635653E-11</v>
      </c>
      <c r="G43">
        <f t="shared" si="4"/>
        <v>5.7211793349017186E-8</v>
      </c>
      <c r="H43">
        <f t="shared" si="7"/>
        <v>3.8851233409769294E-2</v>
      </c>
      <c r="I43">
        <f t="shared" si="3"/>
        <v>-5.5557237191467012E-4</v>
      </c>
    </row>
    <row r="44" spans="1:9" x14ac:dyDescent="0.25">
      <c r="A44">
        <v>-42</v>
      </c>
      <c r="B44">
        <v>-1.4719815E-10</v>
      </c>
      <c r="C44">
        <v>-1.5291269999999999E-9</v>
      </c>
      <c r="D44">
        <f t="shared" si="0"/>
        <v>-3.6694045244705585E-9</v>
      </c>
      <c r="F44">
        <f t="shared" si="9"/>
        <v>8.8427430000000001E-11</v>
      </c>
      <c r="G44">
        <f t="shared" si="4"/>
        <v>5.7211793349017186E-8</v>
      </c>
      <c r="H44">
        <f t="shared" si="7"/>
        <v>3.9314315711881292E-2</v>
      </c>
      <c r="I44">
        <f t="shared" si="3"/>
        <v>-5.6353797228822521E-4</v>
      </c>
    </row>
    <row r="45" spans="1:9" x14ac:dyDescent="0.25">
      <c r="A45">
        <v>-43</v>
      </c>
      <c r="B45">
        <v>-1.4629595E-10</v>
      </c>
      <c r="C45">
        <v>-1.5770999999999899E-9</v>
      </c>
      <c r="D45">
        <f t="shared" si="0"/>
        <v>-3.6469141822891022E-9</v>
      </c>
      <c r="F45">
        <f t="shared" si="9"/>
        <v>9.0498330000000003E-11</v>
      </c>
      <c r="G45">
        <f t="shared" si="4"/>
        <v>5.7211793349017186E-8</v>
      </c>
      <c r="H45">
        <f t="shared" si="7"/>
        <v>3.9772006516224187E-2</v>
      </c>
      <c r="I45">
        <f t="shared" si="3"/>
        <v>-5.6948678852610912E-4</v>
      </c>
    </row>
    <row r="46" spans="1:9" x14ac:dyDescent="0.25">
      <c r="A46">
        <v>-44</v>
      </c>
      <c r="B46">
        <v>-1.48522799999999E-10</v>
      </c>
      <c r="C46">
        <v>-1.6041855E-9</v>
      </c>
      <c r="D46">
        <f t="shared" si="0"/>
        <v>-3.702425840997541E-9</v>
      </c>
      <c r="F46">
        <f t="shared" si="9"/>
        <v>9.2569230000000005E-11</v>
      </c>
      <c r="G46">
        <f t="shared" si="4"/>
        <v>5.7211793349017186E-8</v>
      </c>
      <c r="H46">
        <f t="shared" si="7"/>
        <v>4.0224489863262179E-2</v>
      </c>
      <c r="I46">
        <f t="shared" si="3"/>
        <v>-5.7749546529765861E-4</v>
      </c>
    </row>
    <row r="47" spans="1:9" x14ac:dyDescent="0.25">
      <c r="A47">
        <v>-45</v>
      </c>
      <c r="B47">
        <v>-1.5004455000000001E-10</v>
      </c>
      <c r="C47">
        <v>-1.673887E-9</v>
      </c>
      <c r="D47">
        <f t="shared" si="0"/>
        <v>-3.7403605319913937E-9</v>
      </c>
      <c r="F47">
        <f t="shared" si="9"/>
        <v>9.4640130000000006E-11</v>
      </c>
      <c r="G47">
        <f t="shared" si="4"/>
        <v>5.7211793349017186E-8</v>
      </c>
      <c r="H47">
        <f t="shared" si="7"/>
        <v>4.0671939555334512E-2</v>
      </c>
      <c r="I47">
        <f t="shared" si="3"/>
        <v>-5.8498109731097041E-4</v>
      </c>
    </row>
    <row r="48" spans="1:9" x14ac:dyDescent="0.25">
      <c r="A48">
        <v>-46</v>
      </c>
      <c r="B48">
        <v>-1.48922099999999E-10</v>
      </c>
      <c r="C48">
        <v>-1.669671E-9</v>
      </c>
      <c r="D48">
        <f t="shared" si="0"/>
        <v>-3.7123797244303226E-9</v>
      </c>
      <c r="F48">
        <f t="shared" si="9"/>
        <v>9.6711030000000008E-11</v>
      </c>
      <c r="G48">
        <f t="shared" si="4"/>
        <v>5.7211793349017186E-8</v>
      </c>
      <c r="H48">
        <f t="shared" si="7"/>
        <v>4.111451993670711E-2</v>
      </c>
      <c r="I48">
        <f t="shared" si="3"/>
        <v>-5.9055469455336607E-4</v>
      </c>
    </row>
    <row r="49" spans="1:9" x14ac:dyDescent="0.25">
      <c r="A49">
        <v>-47</v>
      </c>
      <c r="B49">
        <v>-1.5244064999999999E-10</v>
      </c>
      <c r="C49">
        <v>-1.7040625E-9</v>
      </c>
      <c r="D49">
        <f t="shared" si="0"/>
        <v>-3.8000913110880321E-9</v>
      </c>
      <c r="F49">
        <f t="shared" si="9"/>
        <v>9.8781930000000009E-11</v>
      </c>
      <c r="G49">
        <f t="shared" si="4"/>
        <v>5.7211793349017186E-8</v>
      </c>
      <c r="H49">
        <f t="shared" si="7"/>
        <v>4.1552386598834354E-2</v>
      </c>
      <c r="I49">
        <f t="shared" ref="I49:I66" si="10" xml:space="preserve"> - ( 1.6*10^(-19) * $Q$3 * H49) /(2* (D49+O$18))</f>
        <v>-5.9936038804037843E-4</v>
      </c>
    </row>
    <row r="50" spans="1:9" x14ac:dyDescent="0.25">
      <c r="A50">
        <v>-48</v>
      </c>
      <c r="B50">
        <v>-1.543806E-10</v>
      </c>
      <c r="C50">
        <v>-1.7459064999999999E-9</v>
      </c>
      <c r="D50">
        <f t="shared" si="0"/>
        <v>-3.84845103101146E-9</v>
      </c>
      <c r="F50">
        <f t="shared" si="9"/>
        <v>1.0085283000000001E-10</v>
      </c>
      <c r="G50">
        <f t="shared" si="4"/>
        <v>5.7211793349017186E-8</v>
      </c>
      <c r="H50">
        <f t="shared" si="7"/>
        <v>4.198568701941284E-2</v>
      </c>
      <c r="I50">
        <f t="shared" si="10"/>
        <v>-6.0702143823957301E-4</v>
      </c>
    </row>
    <row r="51" spans="1:9" x14ac:dyDescent="0.25">
      <c r="A51">
        <v>-49</v>
      </c>
      <c r="B51">
        <v>-1.5513535000000001E-10</v>
      </c>
      <c r="C51">
        <v>-1.793878E-9</v>
      </c>
      <c r="D51">
        <f t="shared" si="0"/>
        <v>-3.867265690467738E-9</v>
      </c>
      <c r="F51">
        <f t="shared" si="9"/>
        <v>1.0292373E-10</v>
      </c>
      <c r="G51">
        <f t="shared" si="4"/>
        <v>5.7211793349017186E-8</v>
      </c>
      <c r="H51">
        <f t="shared" si="7"/>
        <v>4.2414561142668845E-2</v>
      </c>
      <c r="I51">
        <f t="shared" si="10"/>
        <v>-6.137783981826553E-4</v>
      </c>
    </row>
    <row r="52" spans="1:9" x14ac:dyDescent="0.25">
      <c r="A52">
        <v>-50</v>
      </c>
      <c r="B52">
        <v>-1.5516269999999999E-10</v>
      </c>
      <c r="C52">
        <v>-1.8195950000000001E-9</v>
      </c>
      <c r="D52">
        <f t="shared" si="0"/>
        <v>-3.8679474803798004E-9</v>
      </c>
      <c r="F52">
        <f t="shared" si="9"/>
        <v>1.0499463E-10</v>
      </c>
      <c r="G52">
        <f t="shared" si="4"/>
        <v>5.7211793349017186E-8</v>
      </c>
      <c r="H52">
        <f t="shared" si="7"/>
        <v>4.2839141907352635E-2</v>
      </c>
      <c r="I52">
        <f t="shared" si="10"/>
        <v>-6.1994286168655236E-4</v>
      </c>
    </row>
    <row r="53" spans="1:9" x14ac:dyDescent="0.25">
      <c r="A53">
        <v>-51</v>
      </c>
      <c r="B53">
        <v>-1.5577365E-10</v>
      </c>
      <c r="C53">
        <v>-1.8591625E-9</v>
      </c>
      <c r="D53">
        <f t="shared" si="0"/>
        <v>-3.8831774455269524E-9</v>
      </c>
      <c r="F53">
        <f t="shared" si="9"/>
        <v>1.0706553E-10</v>
      </c>
      <c r="G53">
        <f t="shared" si="4"/>
        <v>5.7211793349017186E-8</v>
      </c>
      <c r="H53">
        <f t="shared" si="7"/>
        <v>4.3259555728086235E-2</v>
      </c>
      <c r="I53">
        <f t="shared" si="10"/>
        <v>-6.2648697189306179E-4</v>
      </c>
    </row>
    <row r="54" spans="1:9" x14ac:dyDescent="0.25">
      <c r="A54">
        <v>-52</v>
      </c>
      <c r="B54">
        <v>-1.5593159999999999E-10</v>
      </c>
      <c r="C54">
        <v>-1.8803875E-9</v>
      </c>
      <c r="D54">
        <f t="shared" si="0"/>
        <v>-3.887114875750363E-9</v>
      </c>
      <c r="F54">
        <f t="shared" si="9"/>
        <v>1.0913643E-10</v>
      </c>
      <c r="G54">
        <f t="shared" si="4"/>
        <v>5.7211793349017186E-8</v>
      </c>
      <c r="H54">
        <f t="shared" si="7"/>
        <v>4.3675922935005065E-2</v>
      </c>
      <c r="I54">
        <f t="shared" si="10"/>
        <v>-6.3263703582993941E-4</v>
      </c>
    </row>
    <row r="55" spans="1:9" x14ac:dyDescent="0.25">
      <c r="A55">
        <v>-53</v>
      </c>
      <c r="B55">
        <v>-1.5797705E-10</v>
      </c>
      <c r="C55">
        <v>-1.9010114999999999E-9</v>
      </c>
      <c r="D55">
        <f t="shared" si="0"/>
        <v>-3.9381045348226971E-9</v>
      </c>
      <c r="F55">
        <f t="shared" si="9"/>
        <v>1.1120733000000001E-10</v>
      </c>
      <c r="G55">
        <f t="shared" si="4"/>
        <v>5.7211793349017186E-8</v>
      </c>
      <c r="H55">
        <f t="shared" si="7"/>
        <v>4.4088358176026514E-2</v>
      </c>
      <c r="I55">
        <f t="shared" si="10"/>
        <v>-6.4018672447044701E-4</v>
      </c>
    </row>
    <row r="56" spans="1:9" x14ac:dyDescent="0.25">
      <c r="A56">
        <v>-54</v>
      </c>
      <c r="B56">
        <v>-1.5910224999999999E-10</v>
      </c>
      <c r="C56">
        <v>-1.9616944999999999E-9</v>
      </c>
      <c r="D56">
        <f t="shared" si="0"/>
        <v>-3.9661538952999474E-9</v>
      </c>
      <c r="F56">
        <f t="shared" si="9"/>
        <v>1.1327823000000001E-10</v>
      </c>
      <c r="G56">
        <f t="shared" si="4"/>
        <v>5.7211793349017186E-8</v>
      </c>
      <c r="H56">
        <f t="shared" si="7"/>
        <v>4.4496970785556922E-2</v>
      </c>
      <c r="I56">
        <f t="shared" si="10"/>
        <v>-6.4699814474879084E-4</v>
      </c>
    </row>
    <row r="57" spans="1:9" x14ac:dyDescent="0.25">
      <c r="A57">
        <v>-55</v>
      </c>
      <c r="B57">
        <v>-1.6057824999999999E-10</v>
      </c>
      <c r="C57">
        <v>-2.0066249999999899E-9</v>
      </c>
      <c r="D57">
        <f t="shared" si="0"/>
        <v>-4.0029481150514764E-9</v>
      </c>
      <c r="F57">
        <f t="shared" si="9"/>
        <v>1.1534913000000001E-10</v>
      </c>
      <c r="G57">
        <f t="shared" si="4"/>
        <v>5.7211793349017186E-8</v>
      </c>
      <c r="H57">
        <f t="shared" si="7"/>
        <v>4.4901865122996938E-2</v>
      </c>
      <c r="I57">
        <f t="shared" si="10"/>
        <v>-6.5405148118730702E-4</v>
      </c>
    </row>
    <row r="58" spans="1:9" x14ac:dyDescent="0.25">
      <c r="A58">
        <v>-56</v>
      </c>
      <c r="B58">
        <v>-1.6040495000000001E-10</v>
      </c>
      <c r="C58">
        <v>-2.0556905000000001E-9</v>
      </c>
      <c r="D58">
        <f t="shared" si="0"/>
        <v>-3.998628034913983E-9</v>
      </c>
      <c r="F58">
        <f t="shared" si="9"/>
        <v>1.1742003E-10</v>
      </c>
      <c r="G58">
        <f t="shared" si="4"/>
        <v>5.7211793349017186E-8</v>
      </c>
      <c r="H58">
        <f t="shared" si="7"/>
        <v>4.5303140884014999E-2</v>
      </c>
      <c r="I58">
        <f t="shared" si="10"/>
        <v>-6.5975821067094345E-4</v>
      </c>
    </row>
    <row r="59" spans="1:9" x14ac:dyDescent="0.25">
      <c r="A59">
        <v>-57</v>
      </c>
      <c r="B59">
        <v>-1.629304E-10</v>
      </c>
      <c r="C59">
        <v>-2.0718880000000002E-9</v>
      </c>
      <c r="D59">
        <f t="shared" si="0"/>
        <v>-4.0615832939055133E-9</v>
      </c>
      <c r="F59">
        <f t="shared" si="9"/>
        <v>1.1949093E-10</v>
      </c>
      <c r="G59">
        <f t="shared" si="4"/>
        <v>5.7211793349017186E-8</v>
      </c>
      <c r="H59">
        <f t="shared" si="7"/>
        <v>4.5700893387219617E-2</v>
      </c>
      <c r="I59">
        <f t="shared" si="10"/>
        <v>-6.675904075546875E-4</v>
      </c>
    </row>
    <row r="60" spans="1:9" x14ac:dyDescent="0.25">
      <c r="A60">
        <v>-58</v>
      </c>
      <c r="B60">
        <v>-1.6256245000000001E-10</v>
      </c>
      <c r="C60">
        <v>-2.0775619999999998E-9</v>
      </c>
      <c r="D60">
        <f t="shared" si="0"/>
        <v>-4.0524109137174545E-9</v>
      </c>
      <c r="F60">
        <f t="shared" si="9"/>
        <v>1.2156183E-10</v>
      </c>
      <c r="G60">
        <f t="shared" si="4"/>
        <v>5.7211793349017186E-8</v>
      </c>
      <c r="H60">
        <f t="shared" si="7"/>
        <v>4.6095213838565893E-2</v>
      </c>
      <c r="I60">
        <f t="shared" si="10"/>
        <v>-6.7305005034928389E-4</v>
      </c>
    </row>
    <row r="61" spans="1:9" x14ac:dyDescent="0.25">
      <c r="A61">
        <v>-59</v>
      </c>
      <c r="B61">
        <v>-1.645107E-10</v>
      </c>
      <c r="C61">
        <v>-2.0925175000000002E-9</v>
      </c>
      <c r="D61">
        <f t="shared" si="0"/>
        <v>-4.1009775388061511E-9</v>
      </c>
      <c r="F61">
        <f>2*$S$3*(0.7-A61)</f>
        <v>1.2363273E-10</v>
      </c>
      <c r="G61">
        <f t="shared" si="4"/>
        <v>5.7211793349017186E-8</v>
      </c>
      <c r="H61">
        <f t="shared" si="7"/>
        <v>4.6486189575574148E-2</v>
      </c>
      <c r="I61">
        <f t="shared" si="10"/>
        <v>-6.8036659656732826E-4</v>
      </c>
    </row>
    <row r="62" spans="1:9" x14ac:dyDescent="0.25">
      <c r="A62">
        <v>-60</v>
      </c>
      <c r="B62">
        <v>-1.6550029999999999E-10</v>
      </c>
      <c r="C62">
        <v>-2.1718844999999999E-9</v>
      </c>
      <c r="D62">
        <f t="shared" si="0"/>
        <v>-4.125646617306228E-9</v>
      </c>
      <c r="F62">
        <f t="shared" ref="F62:F72" si="11">2*$S$3*(0.7-A62)</f>
        <v>1.2570363E-10</v>
      </c>
      <c r="G62">
        <f t="shared" si="4"/>
        <v>5.7211793349017186E-8</v>
      </c>
      <c r="H62">
        <f t="shared" si="7"/>
        <v>4.6873904293213309E-2</v>
      </c>
      <c r="I62">
        <f t="shared" si="10"/>
        <v>-6.8686756827283739E-4</v>
      </c>
    </row>
    <row r="63" spans="1:9" x14ac:dyDescent="0.25">
      <c r="A63">
        <v>-61</v>
      </c>
      <c r="B63">
        <v>-1.6555340000000001E-10</v>
      </c>
      <c r="C63">
        <v>-2.1934175000000001E-9</v>
      </c>
      <c r="D63">
        <f t="shared" si="0"/>
        <v>-4.1269703117972896E-9</v>
      </c>
      <c r="F63">
        <f t="shared" si="11"/>
        <v>1.2777453000000001E-10</v>
      </c>
      <c r="G63">
        <f t="shared" si="4"/>
        <v>5.7211793349017186E-8</v>
      </c>
      <c r="H63">
        <f t="shared" si="7"/>
        <v>4.7258438253103795E-2</v>
      </c>
      <c r="I63">
        <f t="shared" si="10"/>
        <v>-6.925471080907273E-4</v>
      </c>
    </row>
    <row r="64" spans="1:9" x14ac:dyDescent="0.25">
      <c r="A64">
        <v>-62</v>
      </c>
      <c r="B64">
        <v>-1.6454300000000001E-10</v>
      </c>
      <c r="C64">
        <v>-2.2253859999999999E-9</v>
      </c>
      <c r="D64">
        <f t="shared" si="0"/>
        <v>-4.1017827239673807E-9</v>
      </c>
      <c r="F64">
        <f t="shared" si="11"/>
        <v>1.2984543000000001E-10</v>
      </c>
      <c r="G64">
        <f t="shared" si="4"/>
        <v>5.7211793349017186E-8</v>
      </c>
      <c r="H64">
        <f t="shared" si="7"/>
        <v>4.7639868477521288E-2</v>
      </c>
      <c r="I64">
        <f t="shared" si="10"/>
        <v>-6.9727909295283139E-4</v>
      </c>
    </row>
    <row r="65" spans="1:9" x14ac:dyDescent="0.25">
      <c r="A65">
        <v>-63</v>
      </c>
      <c r="B65">
        <v>-1.6859810000000001E-10</v>
      </c>
      <c r="C65">
        <v>-2.2974764999999999E-9</v>
      </c>
      <c r="D65">
        <f t="shared" si="0"/>
        <v>-4.2028696077847426E-9</v>
      </c>
      <c r="F65">
        <f t="shared" si="11"/>
        <v>1.3191633000000001E-10</v>
      </c>
      <c r="G65">
        <f t="shared" si="4"/>
        <v>5.7211793349017186E-8</v>
      </c>
      <c r="H65">
        <f t="shared" si="7"/>
        <v>4.8018268929529609E-2</v>
      </c>
      <c r="I65">
        <f t="shared" si="10"/>
        <v>-7.0629992751497506E-4</v>
      </c>
    </row>
    <row r="66" spans="1:9" x14ac:dyDescent="0.25">
      <c r="A66">
        <v>-64</v>
      </c>
      <c r="B66">
        <v>-1.6601904999999999E-10</v>
      </c>
      <c r="C66">
        <v>-2.3149290000000001E-9</v>
      </c>
      <c r="D66">
        <f t="shared" si="0"/>
        <v>-4.1385781901355679E-9</v>
      </c>
      <c r="F66">
        <f t="shared" si="11"/>
        <v>1.3398723000000001E-10</v>
      </c>
      <c r="G66">
        <f t="shared" si="4"/>
        <v>5.7211793349017186E-8</v>
      </c>
      <c r="H66">
        <f t="shared" si="7"/>
        <v>4.8393710680435853E-2</v>
      </c>
      <c r="I66">
        <f t="shared" si="10"/>
        <v>-7.0958615777094974E-4</v>
      </c>
    </row>
    <row r="67" spans="1:9" x14ac:dyDescent="0.25">
      <c r="A67">
        <v>-65</v>
      </c>
      <c r="B67">
        <v>-1.687369E-10</v>
      </c>
      <c r="C67">
        <v>-2.3435465E-9</v>
      </c>
      <c r="D67">
        <f t="shared" ref="D67:D72" si="12">B67 / (PI() * (T$3^2) )</f>
        <v>-4.2063296604280432E-9</v>
      </c>
      <c r="F67">
        <f t="shared" si="11"/>
        <v>1.3605813000000001E-10</v>
      </c>
      <c r="G67">
        <f t="shared" si="4"/>
        <v>5.7211793349017186E-8</v>
      </c>
      <c r="H67">
        <f t="shared" si="7"/>
        <v>4.8766262065641594E-2</v>
      </c>
      <c r="I67">
        <f t="shared" ref="I67:I72" si="13" xml:space="preserve"> - ( 1.6*10^(-19) * $Q$3 * H67) /(2* (D67+O$18))</f>
        <v>-7.1742382048180892E-4</v>
      </c>
    </row>
    <row r="68" spans="1:9" x14ac:dyDescent="0.25">
      <c r="A68">
        <v>-66</v>
      </c>
      <c r="B68">
        <v>-1.6661334999999999E-10</v>
      </c>
      <c r="C68">
        <v>-2.364416E-9</v>
      </c>
      <c r="D68">
        <f t="shared" si="12"/>
        <v>-4.1533930985355227E-9</v>
      </c>
      <c r="F68">
        <f t="shared" si="11"/>
        <v>1.3812903000000001E-10</v>
      </c>
      <c r="G68">
        <f t="shared" ref="G68:G72" si="14">1.6*(10^(-19))*($R$7 )</f>
        <v>5.7211793349017186E-8</v>
      </c>
      <c r="H68">
        <f t="shared" si="7"/>
        <v>4.9135988829858063E-2</v>
      </c>
      <c r="I68">
        <f t="shared" si="13"/>
        <v>-7.2099193522552477E-4</v>
      </c>
    </row>
    <row r="69" spans="1:9" x14ac:dyDescent="0.25">
      <c r="A69">
        <v>-67</v>
      </c>
      <c r="B69">
        <v>-1.7069569999999999E-10</v>
      </c>
      <c r="C69">
        <v>-2.410089E-9</v>
      </c>
      <c r="D69">
        <f t="shared" si="12"/>
        <v>-4.2551592794316307E-9</v>
      </c>
      <c r="F69">
        <f t="shared" si="11"/>
        <v>1.4019993000000002E-10</v>
      </c>
      <c r="G69">
        <f t="shared" si="14"/>
        <v>5.7211793349017186E-8</v>
      </c>
      <c r="H69">
        <f t="shared" si="7"/>
        <v>4.9502954262559309E-2</v>
      </c>
      <c r="I69">
        <f t="shared" si="13"/>
        <v>-7.3000918523848026E-4</v>
      </c>
    </row>
    <row r="70" spans="1:9" x14ac:dyDescent="0.25">
      <c r="A70">
        <v>-68</v>
      </c>
      <c r="B70">
        <v>-1.7126164999999999E-10</v>
      </c>
      <c r="C70">
        <v>-2.4409914999999999E-9</v>
      </c>
      <c r="D70">
        <f t="shared" si="12"/>
        <v>-4.2692674695863582E-9</v>
      </c>
      <c r="F70">
        <f t="shared" si="11"/>
        <v>1.4227083000000002E-10</v>
      </c>
      <c r="G70">
        <f t="shared" si="14"/>
        <v>5.7211793349017186E-8</v>
      </c>
      <c r="H70">
        <f t="shared" si="7"/>
        <v>4.9867219324463453E-2</v>
      </c>
      <c r="I70">
        <f t="shared" si="13"/>
        <v>-7.3589112096646126E-4</v>
      </c>
    </row>
    <row r="71" spans="1:9" x14ac:dyDescent="0.25">
      <c r="A71">
        <v>-69</v>
      </c>
      <c r="B71">
        <v>-1.7195219999999999E-10</v>
      </c>
      <c r="C71">
        <v>-2.4634074999999999E-9</v>
      </c>
      <c r="D71">
        <f t="shared" si="12"/>
        <v>-4.2864817300534436E-9</v>
      </c>
      <c r="F71">
        <f t="shared" si="11"/>
        <v>1.4434172999999999E-10</v>
      </c>
      <c r="G71">
        <f t="shared" si="14"/>
        <v>5.7211793349017186E-8</v>
      </c>
      <c r="H71">
        <f t="shared" si="7"/>
        <v>5.0228842765758043E-2</v>
      </c>
      <c r="I71">
        <f t="shared" si="13"/>
        <v>-7.4185560795908317E-4</v>
      </c>
    </row>
    <row r="72" spans="1:9" x14ac:dyDescent="0.25">
      <c r="A72">
        <v>-70</v>
      </c>
      <c r="B72">
        <v>-1.7131165000000001E-10</v>
      </c>
      <c r="C72">
        <v>-2.5289385000000001E-9</v>
      </c>
      <c r="D72">
        <f t="shared" si="12"/>
        <v>-4.270513886244608E-9</v>
      </c>
      <c r="F72">
        <f t="shared" si="11"/>
        <v>1.4641262999999999E-10</v>
      </c>
      <c r="G72">
        <f t="shared" si="14"/>
        <v>5.7211793349017186E-8</v>
      </c>
      <c r="H72">
        <f t="shared" si="7"/>
        <v>5.0587881236718604E-2</v>
      </c>
      <c r="I72">
        <f t="shared" si="13"/>
        <v>-7.4657169746436059E-4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FA517-B256-46A5-8643-1E3412E2B867}">
  <dimension ref="A1:U39"/>
  <sheetViews>
    <sheetView tabSelected="1" topLeftCell="B31" zoomScaleNormal="100" workbookViewId="0">
      <selection activeCell="S43" sqref="S43"/>
    </sheetView>
  </sheetViews>
  <sheetFormatPr defaultRowHeight="15" x14ac:dyDescent="0.25"/>
  <cols>
    <col min="5" max="5" width="12" bestFit="1" customWidth="1"/>
    <col min="6" max="8" width="12" customWidth="1"/>
  </cols>
  <sheetData>
    <row r="1" spans="1:21" s="2" customFormat="1" x14ac:dyDescent="0.25">
      <c r="A1" s="2" t="s">
        <v>26</v>
      </c>
      <c r="B1" s="2" t="s">
        <v>41</v>
      </c>
      <c r="C1" s="2" t="s">
        <v>42</v>
      </c>
      <c r="D1" s="2" t="s">
        <v>37</v>
      </c>
      <c r="E1" s="2" t="s">
        <v>38</v>
      </c>
      <c r="F1" s="2" t="s">
        <v>36</v>
      </c>
      <c r="G1" s="2" t="s">
        <v>39</v>
      </c>
      <c r="H1" s="2" t="s">
        <v>53</v>
      </c>
      <c r="I1" s="2" t="s">
        <v>33</v>
      </c>
      <c r="J1" s="2" t="s">
        <v>34</v>
      </c>
      <c r="K1" s="2" t="s">
        <v>5</v>
      </c>
      <c r="L1" s="2" t="s">
        <v>7</v>
      </c>
      <c r="M1" s="2" t="s">
        <v>31</v>
      </c>
      <c r="N1" t="s">
        <v>3</v>
      </c>
      <c r="O1" t="s">
        <v>4</v>
      </c>
      <c r="P1" s="2" t="s">
        <v>30</v>
      </c>
      <c r="Q1" s="2" t="s">
        <v>27</v>
      </c>
      <c r="R1" s="2" t="s">
        <v>28</v>
      </c>
      <c r="S1" s="2" t="s">
        <v>51</v>
      </c>
      <c r="T1" s="2" t="s">
        <v>32</v>
      </c>
      <c r="U1" s="2" t="s">
        <v>29</v>
      </c>
    </row>
    <row r="2" spans="1:21" x14ac:dyDescent="0.25">
      <c r="A2">
        <v>0.5</v>
      </c>
      <c r="B2">
        <f>C2-$J$4</f>
        <v>9.81</v>
      </c>
      <c r="C2">
        <v>11.01</v>
      </c>
      <c r="D2">
        <f>1/B2*1000000</f>
        <v>101936.79918450559</v>
      </c>
      <c r="E2">
        <f>1/((B2/$P$2)^2)*1E+24</f>
        <v>1.6721510448902277E+19</v>
      </c>
      <c r="F2">
        <f>$Q$2/(B2/$P$2)*10000*1000000000000</f>
        <v>42.341562918383588</v>
      </c>
      <c r="H2" s="3">
        <f>SQRT((2*$Q$2*($K$4+A2))/($R$2*$M$2))*10000</f>
        <v>65.147426666518598</v>
      </c>
      <c r="I2">
        <v>1.08</v>
      </c>
      <c r="J2">
        <v>0.62</v>
      </c>
      <c r="K2">
        <v>1.1265410862068965</v>
      </c>
      <c r="L2">
        <v>3751047333.2867484</v>
      </c>
      <c r="M2" s="3">
        <f>2/($R$2*$Q$2*$S$9)</f>
        <v>359244315270.53491</v>
      </c>
      <c r="N2">
        <f>273+16</f>
        <v>289</v>
      </c>
      <c r="O2">
        <v>2.5160763999999999E-2</v>
      </c>
      <c r="P2">
        <f>PI()*$U2^2</f>
        <v>4.0114996593688057E-2</v>
      </c>
      <c r="Q2">
        <f>11.7*8.85*(10^(-12))* 10^(-2)</f>
        <v>1.03545E-12</v>
      </c>
      <c r="R2" s="3">
        <v>1.5999999999999999E-19</v>
      </c>
      <c r="S2" s="3">
        <f>$O2/$R2*(LN($M2/$L2)+$T2/$O2)</f>
        <v>4.1723751569902444E+18</v>
      </c>
      <c r="T2">
        <f>$K2/2-3/4*$O2*LN($I2/$J2)</f>
        <v>0.55279743468022458</v>
      </c>
      <c r="U2">
        <f>1.13*10^-1</f>
        <v>0.11299999999999999</v>
      </c>
    </row>
    <row r="3" spans="1:21" x14ac:dyDescent="0.25">
      <c r="A3">
        <v>0.6</v>
      </c>
      <c r="B3">
        <f>C3-$J$4</f>
        <v>8.17</v>
      </c>
      <c r="C3">
        <v>9.3699999999999992</v>
      </c>
      <c r="D3">
        <f t="shared" ref="D3:D30" si="0">1/B3*1000000</f>
        <v>122399.02080783353</v>
      </c>
      <c r="E3">
        <f t="shared" ref="E3:E30" si="1">1/((B3/$P$2)^2)*1E+24</f>
        <v>2.410845649458799E+19</v>
      </c>
      <c r="F3">
        <f t="shared" ref="F3:F30" si="2">$Q$2/(B3/$P$2)*10000*1000000000000</f>
        <v>50.840970897104405</v>
      </c>
      <c r="G3" s="3">
        <f>2/($R$2*$Q$2)/((E4-E2)/(A4-A2))</f>
        <v>199258556469.88739</v>
      </c>
      <c r="H3" s="3">
        <f>SQRT((2*$Q$2*($K$4+A3))/($R$2*$M$2))*10000</f>
        <v>67.85628003049915</v>
      </c>
      <c r="J3" t="s">
        <v>40</v>
      </c>
      <c r="K3" t="s">
        <v>52</v>
      </c>
      <c r="M3" t="s">
        <v>43</v>
      </c>
      <c r="N3" t="s">
        <v>44</v>
      </c>
    </row>
    <row r="4" spans="1:21" x14ac:dyDescent="0.25">
      <c r="A4">
        <v>0.7</v>
      </c>
      <c r="B4">
        <f t="shared" ref="B4:B30" si="3">C4-$J$4</f>
        <v>7.47</v>
      </c>
      <c r="C4">
        <v>8.67</v>
      </c>
      <c r="D4">
        <f t="shared" si="0"/>
        <v>133868.80856760376</v>
      </c>
      <c r="E4">
        <f t="shared" si="1"/>
        <v>2.8838476650226156E+19</v>
      </c>
      <c r="F4">
        <f t="shared" si="2"/>
        <v>55.605185037395316</v>
      </c>
      <c r="G4" s="3">
        <f>2/($R$2*$Q$2)/((E5-E3)/(A5-A3))</f>
        <v>273536076240.9989</v>
      </c>
      <c r="H4" s="3">
        <f t="shared" ref="H3:H30" si="4">SQRT((2*$Q$2*($K$4+A4))/($R$2*$M$2))*10000</f>
        <v>70.461069236037133</v>
      </c>
      <c r="J4">
        <v>1.2</v>
      </c>
      <c r="K4">
        <v>0.67800000000000005</v>
      </c>
      <c r="M4" s="3">
        <f>1/($N$4*$M$2*$R$2)</f>
        <v>12887.134</v>
      </c>
      <c r="N4">
        <v>1350</v>
      </c>
    </row>
    <row r="5" spans="1:21" x14ac:dyDescent="0.25">
      <c r="A5">
        <v>0.8</v>
      </c>
      <c r="B5">
        <f t="shared" si="3"/>
        <v>6.9899999999999993</v>
      </c>
      <c r="C5">
        <v>8.19</v>
      </c>
      <c r="D5">
        <f t="shared" si="0"/>
        <v>143061.5164520744</v>
      </c>
      <c r="E5">
        <f t="shared" si="1"/>
        <v>3.2935113757679669E+19</v>
      </c>
      <c r="F5">
        <f t="shared" si="2"/>
        <v>59.423566842538335</v>
      </c>
      <c r="G5" s="3">
        <f t="shared" ref="G5:G29" si="5">2/($R$2*$Q$2)/((E6-E4)/(A6-A4))</f>
        <v>306354751537.52759</v>
      </c>
      <c r="H5" s="3">
        <f t="shared" si="4"/>
        <v>72.972938930768834</v>
      </c>
    </row>
    <row r="6" spans="1:21" x14ac:dyDescent="0.25">
      <c r="A6">
        <v>0.9</v>
      </c>
      <c r="B6">
        <f t="shared" si="3"/>
        <v>6.62</v>
      </c>
      <c r="C6">
        <v>7.82</v>
      </c>
      <c r="D6">
        <f t="shared" si="0"/>
        <v>151057.40181268883</v>
      </c>
      <c r="E6">
        <f t="shared" si="1"/>
        <v>3.6719566079891665E+19</v>
      </c>
      <c r="F6">
        <f t="shared" si="2"/>
        <v>62.744823599598639</v>
      </c>
      <c r="G6" s="3">
        <f t="shared" si="5"/>
        <v>317291717562.70337</v>
      </c>
      <c r="H6" s="3">
        <f t="shared" si="4"/>
        <v>75.401176081688661</v>
      </c>
    </row>
    <row r="7" spans="1:21" x14ac:dyDescent="0.25">
      <c r="A7">
        <v>1</v>
      </c>
      <c r="B7">
        <f t="shared" si="3"/>
        <v>6.3</v>
      </c>
      <c r="C7">
        <v>7.5</v>
      </c>
      <c r="D7">
        <f t="shared" si="0"/>
        <v>158730.15873015873</v>
      </c>
      <c r="E7">
        <f t="shared" si="1"/>
        <v>4.0544544008858771E+19</v>
      </c>
      <c r="F7">
        <f t="shared" si="2"/>
        <v>65.93186225862587</v>
      </c>
      <c r="G7" s="3">
        <f t="shared" si="5"/>
        <v>334335052297.37982</v>
      </c>
      <c r="H7" s="3">
        <f t="shared" si="4"/>
        <v>77.753616589904794</v>
      </c>
    </row>
    <row r="8" spans="1:21" x14ac:dyDescent="0.25">
      <c r="A8">
        <v>1.5</v>
      </c>
      <c r="B8">
        <f t="shared" si="3"/>
        <v>5.25</v>
      </c>
      <c r="C8">
        <v>6.45</v>
      </c>
      <c r="D8">
        <f t="shared" si="0"/>
        <v>190476.19047619047</v>
      </c>
      <c r="E8">
        <f t="shared" si="1"/>
        <v>5.8384143372756623E+19</v>
      </c>
      <c r="F8">
        <f t="shared" si="2"/>
        <v>79.118234710351047</v>
      </c>
      <c r="G8" s="3">
        <f t="shared" si="5"/>
        <v>343193343456.66516</v>
      </c>
      <c r="H8" s="3">
        <f t="shared" si="4"/>
        <v>88.583647386808465</v>
      </c>
      <c r="S8" t="s">
        <v>35</v>
      </c>
    </row>
    <row r="9" spans="1:21" x14ac:dyDescent="0.25">
      <c r="A9">
        <v>2</v>
      </c>
      <c r="B9">
        <f t="shared" si="3"/>
        <v>4.6099999999999994</v>
      </c>
      <c r="C9">
        <v>5.81</v>
      </c>
      <c r="D9">
        <f t="shared" si="0"/>
        <v>216919.7396963124</v>
      </c>
      <c r="E9">
        <f t="shared" si="1"/>
        <v>7.572018537987326E+19</v>
      </c>
      <c r="F9">
        <f t="shared" si="2"/>
        <v>90.102111112655749</v>
      </c>
      <c r="G9" s="3">
        <f t="shared" si="5"/>
        <v>348864282700.06836</v>
      </c>
      <c r="H9" s="3">
        <f t="shared" si="4"/>
        <v>98.226779830608919</v>
      </c>
      <c r="S9" s="3">
        <v>3.3604E+19</v>
      </c>
    </row>
    <row r="10" spans="1:21" x14ac:dyDescent="0.25">
      <c r="A10">
        <f>A9+0.5</f>
        <v>2.5</v>
      </c>
      <c r="B10">
        <f t="shared" si="3"/>
        <v>4.16</v>
      </c>
      <c r="C10">
        <v>5.36</v>
      </c>
      <c r="D10">
        <f t="shared" si="0"/>
        <v>240384.61538461538</v>
      </c>
      <c r="E10">
        <f t="shared" si="1"/>
        <v>9.2987989535849923E+19</v>
      </c>
      <c r="F10">
        <f t="shared" si="2"/>
        <v>99.848733708976667</v>
      </c>
      <c r="G10" s="3">
        <f t="shared" si="5"/>
        <v>361313531552.29565</v>
      </c>
      <c r="H10" s="3">
        <f t="shared" si="4"/>
        <v>107.00438293561352</v>
      </c>
    </row>
    <row r="11" spans="1:21" x14ac:dyDescent="0.25">
      <c r="A11">
        <f t="shared" ref="A11" si="6">A10+0.5</f>
        <v>3</v>
      </c>
      <c r="B11">
        <f t="shared" si="3"/>
        <v>3.84</v>
      </c>
      <c r="C11">
        <v>5.04</v>
      </c>
      <c r="D11">
        <f t="shared" si="0"/>
        <v>260416.66666666669</v>
      </c>
      <c r="E11">
        <f t="shared" si="1"/>
        <v>1.0913173771915723E+20</v>
      </c>
      <c r="F11">
        <f t="shared" si="2"/>
        <v>108.16946151805809</v>
      </c>
      <c r="G11" s="3">
        <f t="shared" si="5"/>
        <v>365439938167.79504</v>
      </c>
      <c r="H11" s="3">
        <f t="shared" si="4"/>
        <v>115.11461965785197</v>
      </c>
    </row>
    <row r="12" spans="1:21" x14ac:dyDescent="0.25">
      <c r="A12">
        <v>4</v>
      </c>
      <c r="B12">
        <f t="shared" si="3"/>
        <v>3.3599999999999994</v>
      </c>
      <c r="C12">
        <v>4.5599999999999996</v>
      </c>
      <c r="D12">
        <f t="shared" si="0"/>
        <v>297619.04761904769</v>
      </c>
      <c r="E12">
        <f t="shared" si="1"/>
        <v>1.4253941253114416E+20</v>
      </c>
      <c r="F12">
        <f t="shared" si="2"/>
        <v>123.62224173492353</v>
      </c>
      <c r="G12" s="3">
        <f t="shared" si="5"/>
        <v>365008776228.18701</v>
      </c>
      <c r="H12" s="3">
        <f t="shared" si="4"/>
        <v>129.82392322701128</v>
      </c>
      <c r="S12" t="s">
        <v>45</v>
      </c>
    </row>
    <row r="13" spans="1:21" x14ac:dyDescent="0.25">
      <c r="A13">
        <v>5</v>
      </c>
      <c r="B13">
        <f t="shared" si="3"/>
        <v>3.0300000000000002</v>
      </c>
      <c r="C13">
        <v>4.2300000000000004</v>
      </c>
      <c r="D13">
        <f t="shared" si="0"/>
        <v>330033.00330033002</v>
      </c>
      <c r="E13">
        <f t="shared" si="1"/>
        <v>1.7527834435748178E+20</v>
      </c>
      <c r="F13">
        <f t="shared" si="2"/>
        <v>137.08605024070727</v>
      </c>
      <c r="G13" s="3">
        <f t="shared" si="5"/>
        <v>367594613444.99438</v>
      </c>
      <c r="H13" s="3">
        <f t="shared" si="4"/>
        <v>143.02841125151994</v>
      </c>
      <c r="S13" s="3">
        <v>7.508E+18</v>
      </c>
    </row>
    <row r="14" spans="1:21" x14ac:dyDescent="0.25">
      <c r="A14">
        <v>6</v>
      </c>
      <c r="B14">
        <f t="shared" si="3"/>
        <v>2.7800000000000002</v>
      </c>
      <c r="C14">
        <v>3.98</v>
      </c>
      <c r="D14">
        <f t="shared" si="0"/>
        <v>359712.23021582729</v>
      </c>
      <c r="E14">
        <f t="shared" si="1"/>
        <v>2.0822071214114226E+20</v>
      </c>
      <c r="F14">
        <f t="shared" si="2"/>
        <v>149.41393245659816</v>
      </c>
      <c r="G14" s="3">
        <f t="shared" si="5"/>
        <v>363200678202.76923</v>
      </c>
      <c r="H14" s="3">
        <f t="shared" si="4"/>
        <v>155.11286796463702</v>
      </c>
    </row>
    <row r="15" spans="1:21" x14ac:dyDescent="0.25">
      <c r="A15">
        <v>7</v>
      </c>
      <c r="B15">
        <f t="shared" si="3"/>
        <v>2.58</v>
      </c>
      <c r="C15">
        <v>3.78</v>
      </c>
      <c r="D15">
        <f t="shared" si="0"/>
        <v>387596.89922480617</v>
      </c>
      <c r="E15">
        <f t="shared" si="1"/>
        <v>2.4175424429295174E+20</v>
      </c>
      <c r="F15">
        <f t="shared" si="2"/>
        <v>160.99640784083061</v>
      </c>
      <c r="G15" s="3">
        <f t="shared" si="5"/>
        <v>359071476648.3811</v>
      </c>
      <c r="H15" s="3">
        <f t="shared" si="4"/>
        <v>166.3216077101707</v>
      </c>
      <c r="S15" t="s">
        <v>50</v>
      </c>
    </row>
    <row r="16" spans="1:21" x14ac:dyDescent="0.25">
      <c r="A16">
        <v>8</v>
      </c>
      <c r="B16">
        <f t="shared" si="3"/>
        <v>2.4169999999999998</v>
      </c>
      <c r="C16">
        <v>3.617</v>
      </c>
      <c r="D16">
        <f t="shared" si="0"/>
        <v>413736.03640877124</v>
      </c>
      <c r="E16">
        <f t="shared" si="1"/>
        <v>2.7546106263087245E+20</v>
      </c>
      <c r="F16">
        <f t="shared" si="2"/>
        <v>171.85384039277744</v>
      </c>
      <c r="G16" s="3">
        <f t="shared" si="5"/>
        <v>358819938274.11591</v>
      </c>
      <c r="H16" s="3">
        <f t="shared" si="4"/>
        <v>176.82124469185518</v>
      </c>
      <c r="S16" s="3">
        <f>$S$13*$R$2*$Q$2/2*$M$2</f>
        <v>0.22342578264492322</v>
      </c>
    </row>
    <row r="17" spans="1:8" x14ac:dyDescent="0.25">
      <c r="A17">
        <v>10</v>
      </c>
      <c r="B17">
        <f t="shared" si="3"/>
        <v>2.1669999999999998</v>
      </c>
      <c r="C17">
        <v>3.367</v>
      </c>
      <c r="D17">
        <f t="shared" si="0"/>
        <v>461467.46654360869</v>
      </c>
      <c r="E17">
        <f t="shared" si="1"/>
        <v>3.4268547482949544E+20</v>
      </c>
      <c r="F17">
        <f t="shared" si="2"/>
        <v>191.68007947823855</v>
      </c>
      <c r="G17" s="3">
        <f t="shared" si="5"/>
        <v>358763200913.04248</v>
      </c>
      <c r="H17" s="3">
        <f t="shared" si="4"/>
        <v>196.14153904907272</v>
      </c>
    </row>
    <row r="18" spans="1:8" x14ac:dyDescent="0.25">
      <c r="A18">
        <v>12</v>
      </c>
      <c r="B18">
        <f t="shared" si="3"/>
        <v>1.9810000000000001</v>
      </c>
      <c r="C18">
        <v>3.181</v>
      </c>
      <c r="D18">
        <f t="shared" si="0"/>
        <v>504795.55779909133</v>
      </c>
      <c r="E18">
        <f t="shared" si="1"/>
        <v>4.1005731932194924E+20</v>
      </c>
      <c r="F18">
        <f t="shared" si="2"/>
        <v>209.67730046912817</v>
      </c>
      <c r="G18" s="3">
        <f t="shared" si="5"/>
        <v>355738650306.21466</v>
      </c>
      <c r="H18" s="3">
        <f t="shared" si="4"/>
        <v>213.72237624240685</v>
      </c>
    </row>
    <row r="19" spans="1:8" x14ac:dyDescent="0.25">
      <c r="A19">
        <v>14</v>
      </c>
      <c r="B19">
        <f t="shared" si="3"/>
        <v>1.8339999999999999</v>
      </c>
      <c r="C19">
        <v>3.0339999999999998</v>
      </c>
      <c r="D19">
        <f t="shared" si="0"/>
        <v>545256.27044711018</v>
      </c>
      <c r="E19">
        <f t="shared" si="1"/>
        <v>4.7842609182413029E+20</v>
      </c>
      <c r="F19">
        <f t="shared" si="2"/>
        <v>226.4834963082568</v>
      </c>
      <c r="G19" s="3">
        <f t="shared" si="5"/>
        <v>353944808078.80133</v>
      </c>
      <c r="H19" s="3">
        <f t="shared" si="4"/>
        <v>229.96305110356951</v>
      </c>
    </row>
    <row r="20" spans="1:8" x14ac:dyDescent="0.25">
      <c r="A20">
        <v>16</v>
      </c>
      <c r="B20">
        <f t="shared" si="3"/>
        <v>1.716</v>
      </c>
      <c r="C20">
        <v>2.9159999999999999</v>
      </c>
      <c r="D20">
        <f t="shared" si="0"/>
        <v>582750.58275058283</v>
      </c>
      <c r="E20">
        <f t="shared" si="1"/>
        <v>5.4648588891592242E+20</v>
      </c>
      <c r="F20">
        <f t="shared" si="2"/>
        <v>242.0575362641859</v>
      </c>
      <c r="G20" s="3">
        <f t="shared" si="5"/>
        <v>362424977195.23456</v>
      </c>
      <c r="H20" s="3">
        <f t="shared" si="4"/>
        <v>245.13007901729424</v>
      </c>
    </row>
    <row r="21" spans="1:8" x14ac:dyDescent="0.25">
      <c r="A21">
        <v>18</v>
      </c>
      <c r="B21">
        <f t="shared" si="3"/>
        <v>1.6220000000000001</v>
      </c>
      <c r="C21">
        <v>2.8220000000000001</v>
      </c>
      <c r="D21">
        <f t="shared" si="0"/>
        <v>616522.8113440196</v>
      </c>
      <c r="E21">
        <f t="shared" si="1"/>
        <v>6.1166244947006561E+20</v>
      </c>
      <c r="F21">
        <f t="shared" si="2"/>
        <v>256.08553158405857</v>
      </c>
      <c r="G21" s="3">
        <f t="shared" si="5"/>
        <v>399946873440.71112</v>
      </c>
      <c r="H21" s="3">
        <f t="shared" si="4"/>
        <v>259.41184707947889</v>
      </c>
    </row>
    <row r="22" spans="1:8" x14ac:dyDescent="0.25">
      <c r="A22">
        <v>20</v>
      </c>
      <c r="B22">
        <f t="shared" si="3"/>
        <v>1.5530000000000002</v>
      </c>
      <c r="C22">
        <v>2.7530000000000001</v>
      </c>
      <c r="D22">
        <f t="shared" si="0"/>
        <v>643915.00321957492</v>
      </c>
      <c r="E22">
        <f t="shared" si="1"/>
        <v>6.6722238440589794E+20</v>
      </c>
      <c r="F22">
        <f t="shared" si="2"/>
        <v>267.4634463807746</v>
      </c>
      <c r="G22" s="3">
        <f t="shared" si="5"/>
        <v>456240071064.39923</v>
      </c>
      <c r="H22" s="3">
        <f t="shared" si="4"/>
        <v>272.94735238017773</v>
      </c>
    </row>
    <row r="23" spans="1:8" x14ac:dyDescent="0.25">
      <c r="A23">
        <v>21</v>
      </c>
      <c r="B23">
        <f t="shared" si="3"/>
        <v>1.526</v>
      </c>
      <c r="C23">
        <v>2.726</v>
      </c>
      <c r="D23">
        <f t="shared" si="0"/>
        <v>655307.99475753598</v>
      </c>
      <c r="E23">
        <f t="shared" si="1"/>
        <v>6.9104201344953287E+20</v>
      </c>
      <c r="F23">
        <f t="shared" si="2"/>
        <v>272.1957616181802</v>
      </c>
      <c r="G23" s="3">
        <f t="shared" si="5"/>
        <v>628970281251.84485</v>
      </c>
      <c r="H23" s="3">
        <f t="shared" si="4"/>
        <v>279.46937677396772</v>
      </c>
    </row>
    <row r="24" spans="1:8" x14ac:dyDescent="0.25">
      <c r="A24">
        <v>22.5</v>
      </c>
      <c r="B24">
        <f t="shared" si="3"/>
        <v>1.5000000000000002</v>
      </c>
      <c r="C24">
        <v>2.7</v>
      </c>
      <c r="D24">
        <f t="shared" si="0"/>
        <v>666666.66666666651</v>
      </c>
      <c r="E24">
        <f t="shared" si="1"/>
        <v>7.1520575631626849E+20</v>
      </c>
      <c r="F24">
        <f t="shared" si="2"/>
        <v>276.91382148622864</v>
      </c>
      <c r="G24" s="3">
        <f t="shared" si="5"/>
        <v>973210505821.7373</v>
      </c>
      <c r="H24" s="3">
        <f t="shared" si="4"/>
        <v>288.97654857972719</v>
      </c>
    </row>
    <row r="25" spans="1:8" x14ac:dyDescent="0.25">
      <c r="A25">
        <v>25</v>
      </c>
      <c r="B25">
        <f t="shared" si="3"/>
        <v>1.474</v>
      </c>
      <c r="C25">
        <v>2.6739999999999999</v>
      </c>
      <c r="D25">
        <f t="shared" si="0"/>
        <v>678426.05156037991</v>
      </c>
      <c r="E25">
        <f t="shared" si="1"/>
        <v>7.4065942262518881E+20</v>
      </c>
      <c r="F25">
        <f t="shared" si="2"/>
        <v>281.79832580009707</v>
      </c>
      <c r="G25" s="3">
        <f t="shared" si="5"/>
        <v>1602676902995.2329</v>
      </c>
      <c r="H25" s="3">
        <f t="shared" si="4"/>
        <v>304.16218385386753</v>
      </c>
    </row>
    <row r="26" spans="1:8" x14ac:dyDescent="0.25">
      <c r="A26">
        <v>27.5</v>
      </c>
      <c r="B26">
        <f t="shared" si="3"/>
        <v>1.462</v>
      </c>
      <c r="C26">
        <v>2.6619999999999999</v>
      </c>
      <c r="D26">
        <f t="shared" si="0"/>
        <v>683994.5280437757</v>
      </c>
      <c r="E26">
        <f t="shared" si="1"/>
        <v>7.5286788880158006E+20</v>
      </c>
      <c r="F26">
        <f t="shared" si="2"/>
        <v>284.11130795440698</v>
      </c>
      <c r="G26" s="3">
        <f t="shared" si="5"/>
        <v>2942117936051.8569</v>
      </c>
      <c r="H26" s="3">
        <f t="shared" si="4"/>
        <v>318.62489316507646</v>
      </c>
    </row>
    <row r="27" spans="1:8" x14ac:dyDescent="0.25">
      <c r="A27">
        <v>30</v>
      </c>
      <c r="B27">
        <f t="shared" si="3"/>
        <v>1.454</v>
      </c>
      <c r="C27">
        <v>2.6539999999999999</v>
      </c>
      <c r="D27">
        <f t="shared" si="0"/>
        <v>687757.909215956</v>
      </c>
      <c r="E27">
        <f t="shared" si="1"/>
        <v>7.6117533366740727E+20</v>
      </c>
      <c r="F27">
        <f t="shared" si="2"/>
        <v>285.67450634755363</v>
      </c>
      <c r="G27" s="3">
        <f t="shared" si="5"/>
        <v>5404376177602.7822</v>
      </c>
      <c r="H27" s="3">
        <f t="shared" si="4"/>
        <v>332.45903657767963</v>
      </c>
    </row>
    <row r="28" spans="1:8" x14ac:dyDescent="0.25">
      <c r="A28">
        <v>35</v>
      </c>
      <c r="B28">
        <f t="shared" si="3"/>
        <v>1.446</v>
      </c>
      <c r="C28">
        <v>2.6459999999999999</v>
      </c>
      <c r="D28">
        <f t="shared" si="0"/>
        <v>691562.93222683261</v>
      </c>
      <c r="E28">
        <f t="shared" si="1"/>
        <v>7.696210425055833E+20</v>
      </c>
      <c r="F28">
        <f t="shared" si="2"/>
        <v>287.25500154173096</v>
      </c>
      <c r="G28" s="3">
        <f t="shared" si="5"/>
        <v>11411222661409.137</v>
      </c>
      <c r="H28" s="3">
        <f t="shared" si="4"/>
        <v>358.52947984449469</v>
      </c>
    </row>
    <row r="29" spans="1:8" x14ac:dyDescent="0.25">
      <c r="A29">
        <v>40</v>
      </c>
      <c r="B29">
        <f t="shared" si="3"/>
        <v>1.4440000000000002</v>
      </c>
      <c r="C29">
        <v>2.6440000000000001</v>
      </c>
      <c r="D29">
        <f t="shared" si="0"/>
        <v>692520.77562326868</v>
      </c>
      <c r="E29">
        <f t="shared" si="1"/>
        <v>7.7175443314565749E+20</v>
      </c>
      <c r="F29">
        <f t="shared" si="2"/>
        <v>287.65286165466961</v>
      </c>
      <c r="G29" s="3">
        <f t="shared" si="5"/>
        <v>14058418781119.248</v>
      </c>
      <c r="H29" s="3">
        <f t="shared" si="4"/>
        <v>382.82863638052061</v>
      </c>
    </row>
    <row r="30" spans="1:8" x14ac:dyDescent="0.25">
      <c r="A30">
        <v>45</v>
      </c>
      <c r="B30">
        <f t="shared" si="3"/>
        <v>1.4379999999999999</v>
      </c>
      <c r="C30">
        <v>2.6379999999999999</v>
      </c>
      <c r="D30">
        <f t="shared" si="0"/>
        <v>695410.2920723228</v>
      </c>
      <c r="E30">
        <f t="shared" si="1"/>
        <v>7.7820810066504293E+20</v>
      </c>
      <c r="F30">
        <f t="shared" si="2"/>
        <v>288.85308221790194</v>
      </c>
      <c r="H30" s="3">
        <f t="shared" si="4"/>
        <v>405.67492127117481</v>
      </c>
    </row>
    <row r="38" spans="18:19" x14ac:dyDescent="0.25">
      <c r="R38" t="s">
        <v>54</v>
      </c>
      <c r="S38" t="s">
        <v>55</v>
      </c>
    </row>
    <row r="39" spans="18:19" x14ac:dyDescent="0.25">
      <c r="R39" t="s">
        <v>56</v>
      </c>
      <c r="S39" t="s">
        <v>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diretta</vt:lpstr>
      <vt:lpstr>inversa</vt:lpstr>
      <vt:lpstr>CV_reverse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CONTIN GIACOMO</dc:creator>
  <cp:lastModifiedBy>CONTIN GIACOMO</cp:lastModifiedBy>
  <dcterms:created xsi:type="dcterms:W3CDTF">2024-11-26T11:26:19Z</dcterms:created>
  <dcterms:modified xsi:type="dcterms:W3CDTF">2024-12-04T11:21:23Z</dcterms:modified>
</cp:coreProperties>
</file>