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F:\ARCHIVIO_MOBILE\20220204-093400  (Completo)\UNITS\Didattica\DIDATTICA_TS\Materiali_AA_vari\Slide_Ts_21-22\Valutazione EPP\Materiali\Modello Treviso aggiornato\"/>
    </mc:Choice>
  </mc:AlternateContent>
  <xr:revisionPtr revIDLastSave="0" documentId="13_ncr:1_{B5BA1571-0E1C-4273-825E-948229C8E2C4}" xr6:coauthVersionLast="36" xr6:coauthVersionMax="36" xr10:uidLastSave="{00000000-0000-0000-0000-000000000000}"/>
  <bookViews>
    <workbookView xWindow="0" yWindow="0" windowWidth="28800" windowHeight="12300" activeTab="2" xr2:uid="{00000000-000D-0000-FFFF-FFFF00000000}"/>
  </bookViews>
  <sheets>
    <sheet name="Descrizione" sheetId="7" r:id="rId1"/>
    <sheet name="Distribuzione Costi&amp;Ricavi" sheetId="2" r:id="rId2"/>
    <sheet name="Ca - Costo area" sheetId="3" r:id="rId3"/>
    <sheet name="Cc - Costo costruzione" sheetId="6" r:id="rId4"/>
    <sheet name="On - Oneri concessori" sheetId="4" r:id="rId5"/>
    <sheet name="St - Spese tecniche" sheetId="5" r:id="rId6"/>
    <sheet name="Sg - Spese generali" sheetId="9" r:id="rId7"/>
    <sheet name="RT - Ricavi totali" sheetId="10" r:id="rId8"/>
    <sheet name="Ricavi da Locazione" sheetId="14" r:id="rId9"/>
    <sheet name="Sc - Spese commercializzazione" sheetId="8" r:id="rId10"/>
    <sheet name="I - Interessi" sheetId="11" r:id="rId11"/>
    <sheet name="T - Tasse" sheetId="12" r:id="rId12"/>
    <sheet name="Flusso di cassa" sheetId="1" r:id="rId13"/>
    <sheet name="Grafici" sheetId="13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12" i="3"/>
  <c r="B8" i="3"/>
  <c r="B23" i="1" l="1"/>
  <c r="A23" i="1"/>
  <c r="C5" i="4" l="1"/>
  <c r="C4" i="4"/>
  <c r="B48" i="7" l="1"/>
  <c r="B24" i="14" l="1"/>
  <c r="B26" i="14" s="1"/>
  <c r="B7" i="14"/>
  <c r="B8" i="14" s="1"/>
  <c r="H8" i="14" s="1"/>
  <c r="H6" i="14" l="1"/>
  <c r="H19" i="14" s="1"/>
  <c r="H7" i="14"/>
  <c r="H15" i="14" l="1"/>
  <c r="H14" i="14"/>
  <c r="H13" i="14"/>
  <c r="H18" i="14"/>
  <c r="H9" i="14"/>
  <c r="H16" i="14"/>
  <c r="H17" i="14"/>
  <c r="H12" i="14"/>
  <c r="H20" i="14" l="1"/>
  <c r="H21" i="14" s="1"/>
  <c r="H22" i="14" s="1"/>
  <c r="B33" i="14" l="1"/>
  <c r="H23" i="14"/>
  <c r="B27" i="14" s="1"/>
  <c r="B28" i="14" s="1"/>
  <c r="B34" i="14" s="1"/>
  <c r="B35" i="14" l="1"/>
  <c r="B36" i="14" s="1"/>
  <c r="B4" i="6" l="1"/>
  <c r="C53" i="3"/>
  <c r="C58" i="3"/>
  <c r="C48" i="3"/>
  <c r="C49" i="3"/>
  <c r="C45" i="3"/>
  <c r="C46" i="3"/>
  <c r="C47" i="3"/>
  <c r="C44" i="3"/>
  <c r="C59" i="3" l="1"/>
  <c r="C60" i="3" s="1"/>
  <c r="C61" i="3" s="1"/>
  <c r="C50" i="3"/>
  <c r="C51" i="3" s="1"/>
  <c r="B55" i="7" l="1"/>
  <c r="B57" i="7"/>
  <c r="B51" i="7"/>
  <c r="B49" i="7"/>
  <c r="B50" i="7" s="1"/>
  <c r="C42" i="7"/>
  <c r="B42" i="7"/>
  <c r="A56" i="10"/>
  <c r="A55" i="10"/>
  <c r="C52" i="10"/>
  <c r="A52" i="10"/>
  <c r="E51" i="10"/>
  <c r="D51" i="10"/>
  <c r="C51" i="10"/>
  <c r="B51" i="10"/>
  <c r="A51" i="10"/>
  <c r="A50" i="10"/>
  <c r="E49" i="10"/>
  <c r="D49" i="10"/>
  <c r="C49" i="10"/>
  <c r="B49" i="10"/>
  <c r="A49" i="10"/>
  <c r="A48" i="10"/>
  <c r="A27" i="10"/>
  <c r="E26" i="10"/>
  <c r="E50" i="10" s="1"/>
  <c r="D26" i="10"/>
  <c r="D50" i="10" s="1"/>
  <c r="C26" i="10"/>
  <c r="C50" i="10"/>
  <c r="B26" i="10"/>
  <c r="B50" i="10"/>
  <c r="A26" i="10"/>
  <c r="E25" i="10"/>
  <c r="E56" i="10" s="1"/>
  <c r="D25" i="10"/>
  <c r="D56" i="10" s="1"/>
  <c r="C25" i="10"/>
  <c r="C56" i="10" s="1"/>
  <c r="B25" i="10"/>
  <c r="B56" i="10" s="1"/>
  <c r="A25" i="10"/>
  <c r="E24" i="10"/>
  <c r="E55" i="10"/>
  <c r="D24" i="10"/>
  <c r="D55" i="10" s="1"/>
  <c r="C24" i="10"/>
  <c r="C55" i="10" s="1"/>
  <c r="B24" i="10"/>
  <c r="B55" i="10"/>
  <c r="A24" i="10"/>
  <c r="F11" i="10"/>
  <c r="E48" i="10" s="1"/>
  <c r="E11" i="10"/>
  <c r="D48" i="10" s="1"/>
  <c r="D11" i="10"/>
  <c r="C48" i="10" s="1"/>
  <c r="C11" i="10"/>
  <c r="B48" i="10" s="1"/>
  <c r="B8" i="7"/>
  <c r="B12" i="7" s="1"/>
  <c r="B41" i="6"/>
  <c r="C38" i="6" s="1"/>
  <c r="E38" i="6" s="1"/>
  <c r="C34" i="6"/>
  <c r="E34" i="6" s="1"/>
  <c r="C26" i="6"/>
  <c r="E26" i="6" s="1"/>
  <c r="C23" i="6"/>
  <c r="C33" i="6"/>
  <c r="E33" i="6" s="1"/>
  <c r="C25" i="6"/>
  <c r="E25" i="6" s="1"/>
  <c r="C36" i="6"/>
  <c r="E36" i="6" s="1"/>
  <c r="C32" i="6"/>
  <c r="E32" i="6"/>
  <c r="C28" i="6"/>
  <c r="E28" i="6" s="1"/>
  <c r="D17" i="6"/>
  <c r="F17" i="6" s="1"/>
  <c r="F16" i="6"/>
  <c r="F15" i="6"/>
  <c r="D20" i="3"/>
  <c r="F20" i="3" s="1"/>
  <c r="D21" i="3"/>
  <c r="F21" i="3" s="1"/>
  <c r="D19" i="3"/>
  <c r="F19" i="3" s="1"/>
  <c r="A5" i="5"/>
  <c r="A6" i="5"/>
  <c r="A7" i="5"/>
  <c r="A4" i="5"/>
  <c r="B14" i="11"/>
  <c r="C14" i="11"/>
  <c r="D14" i="11"/>
  <c r="E14" i="11"/>
  <c r="F14" i="11"/>
  <c r="D29" i="1"/>
  <c r="E29" i="1"/>
  <c r="F29" i="1"/>
  <c r="G29" i="1"/>
  <c r="C29" i="1"/>
  <c r="B31" i="1"/>
  <c r="B30" i="1"/>
  <c r="D4" i="6"/>
  <c r="B9" i="3" s="1"/>
  <c r="A16" i="4"/>
  <c r="A15" i="4"/>
  <c r="A14" i="4"/>
  <c r="H5" i="2"/>
  <c r="H7" i="2"/>
  <c r="H8" i="2"/>
  <c r="H9" i="2"/>
  <c r="H10" i="2"/>
  <c r="H12" i="2"/>
  <c r="H4" i="2"/>
  <c r="D53" i="10" l="1"/>
  <c r="D54" i="10" s="1"/>
  <c r="D57" i="10" s="1"/>
  <c r="E53" i="10"/>
  <c r="E54" i="10" s="1"/>
  <c r="E57" i="10" s="1"/>
  <c r="C8" i="1"/>
  <c r="B53" i="10"/>
  <c r="B54" i="10" s="1"/>
  <c r="B57" i="10" s="1"/>
  <c r="C53" i="10"/>
  <c r="C54" i="10" s="1"/>
  <c r="C57" i="10" s="1"/>
  <c r="B52" i="7"/>
  <c r="B56" i="7" s="1"/>
  <c r="F18" i="6"/>
  <c r="B43" i="7"/>
  <c r="B3" i="3"/>
  <c r="B28" i="3" s="1"/>
  <c r="B6" i="6"/>
  <c r="B19" i="7"/>
  <c r="B16" i="7"/>
  <c r="B13" i="7" s="1"/>
  <c r="B17" i="7"/>
  <c r="B8" i="4"/>
  <c r="D8" i="1"/>
  <c r="E8" i="1"/>
  <c r="B4" i="5"/>
  <c r="D4" i="5" s="1"/>
  <c r="G8" i="1"/>
  <c r="F8" i="1"/>
  <c r="F22" i="3"/>
  <c r="E23" i="6"/>
  <c r="B43" i="6"/>
  <c r="C27" i="6"/>
  <c r="E27" i="6" s="1"/>
  <c r="C30" i="6"/>
  <c r="E30" i="6" s="1"/>
  <c r="C31" i="6"/>
  <c r="E31" i="6" s="1"/>
  <c r="C24" i="6"/>
  <c r="E24" i="6" s="1"/>
  <c r="C40" i="6"/>
  <c r="E40" i="6" s="1"/>
  <c r="C29" i="6"/>
  <c r="E29" i="6" s="1"/>
  <c r="C37" i="6"/>
  <c r="E37" i="6" s="1"/>
  <c r="C39" i="6"/>
  <c r="E39" i="6" s="1"/>
  <c r="C35" i="6"/>
  <c r="E35" i="6" s="1"/>
  <c r="B4" i="4" l="1"/>
  <c r="D4" i="4" s="1"/>
  <c r="F4" i="4" s="1"/>
  <c r="B60" i="10"/>
  <c r="C60" i="10" s="1"/>
  <c r="C3" i="10" s="1"/>
  <c r="B61" i="10"/>
  <c r="C61" i="10" s="1"/>
  <c r="B62" i="10"/>
  <c r="B45" i="7"/>
  <c r="B58" i="7" s="1"/>
  <c r="B59" i="7" s="1"/>
  <c r="B15" i="7"/>
  <c r="B5" i="6"/>
  <c r="D5" i="6" s="1"/>
  <c r="E9" i="1" s="1"/>
  <c r="B21" i="7"/>
  <c r="B5" i="4"/>
  <c r="C41" i="6"/>
  <c r="H8" i="1"/>
  <c r="E41" i="6"/>
  <c r="E43" i="6" s="1"/>
  <c r="E46" i="6" s="1"/>
  <c r="C6" i="6" s="1"/>
  <c r="C7" i="6" s="1"/>
  <c r="B63" i="10"/>
  <c r="C62" i="10"/>
  <c r="B9" i="4"/>
  <c r="B10" i="4" s="1"/>
  <c r="D10" i="4" s="1"/>
  <c r="F10" i="4" s="1"/>
  <c r="B16" i="4" s="1"/>
  <c r="B7" i="6"/>
  <c r="D5" i="4" l="1"/>
  <c r="F5" i="4" s="1"/>
  <c r="B15" i="4" s="1"/>
  <c r="D9" i="1"/>
  <c r="B14" i="4"/>
  <c r="B22" i="7"/>
  <c r="B29" i="3" s="1"/>
  <c r="B30" i="3" s="1"/>
  <c r="B33" i="3" s="1"/>
  <c r="B34" i="3" s="1"/>
  <c r="C9" i="1"/>
  <c r="B5" i="5"/>
  <c r="D5" i="5" s="1"/>
  <c r="C54" i="3"/>
  <c r="C55" i="3" s="1"/>
  <c r="C62" i="3" s="1"/>
  <c r="C63" i="3" s="1"/>
  <c r="F9" i="1"/>
  <c r="G9" i="1"/>
  <c r="D6" i="6"/>
  <c r="D7" i="6"/>
  <c r="B17" i="4" l="1"/>
  <c r="G6" i="1" s="1"/>
  <c r="B3" i="10"/>
  <c r="D3" i="10" s="1"/>
  <c r="D4" i="10" s="1"/>
  <c r="H9" i="1"/>
  <c r="C4" i="8"/>
  <c r="C6" i="8" s="1"/>
  <c r="D17" i="1"/>
  <c r="D14" i="1" s="1"/>
  <c r="E17" i="1"/>
  <c r="E14" i="1" s="1"/>
  <c r="G17" i="1"/>
  <c r="G14" i="1" s="1"/>
  <c r="C17" i="1"/>
  <c r="C14" i="1" s="1"/>
  <c r="F17" i="1"/>
  <c r="F14" i="1" s="1"/>
  <c r="B4" i="3"/>
  <c r="B5" i="3" s="1"/>
  <c r="B10" i="3" s="1"/>
  <c r="C10" i="1"/>
  <c r="G10" i="1"/>
  <c r="E10" i="1"/>
  <c r="D10" i="1"/>
  <c r="B6" i="5"/>
  <c r="D6" i="5" s="1"/>
  <c r="F10" i="1"/>
  <c r="D8" i="6"/>
  <c r="B4" i="9" s="1"/>
  <c r="F11" i="1"/>
  <c r="C11" i="1"/>
  <c r="G11" i="1"/>
  <c r="D11" i="1"/>
  <c r="B7" i="5"/>
  <c r="D7" i="5" s="1"/>
  <c r="E11" i="1"/>
  <c r="F6" i="1" l="1"/>
  <c r="C6" i="1"/>
  <c r="E6" i="1"/>
  <c r="D6" i="1"/>
  <c r="H6" i="1" s="1"/>
  <c r="B11" i="3"/>
  <c r="H14" i="1"/>
  <c r="H17" i="1"/>
  <c r="D8" i="5"/>
  <c r="B5" i="9" s="1"/>
  <c r="B6" i="9" s="1"/>
  <c r="B8" i="9" s="1"/>
  <c r="E12" i="1"/>
  <c r="E7" i="1"/>
  <c r="H11" i="1"/>
  <c r="D7" i="1"/>
  <c r="D12" i="1"/>
  <c r="G7" i="1"/>
  <c r="G12" i="1"/>
  <c r="F7" i="1"/>
  <c r="F12" i="1"/>
  <c r="H10" i="1"/>
  <c r="C12" i="1"/>
  <c r="C7" i="1"/>
  <c r="B14" i="3" l="1"/>
  <c r="F5" i="1" s="1"/>
  <c r="G13" i="1"/>
  <c r="E13" i="1"/>
  <c r="H7" i="1"/>
  <c r="C13" i="1"/>
  <c r="H12" i="1"/>
  <c r="D13" i="1"/>
  <c r="F13" i="1"/>
  <c r="D5" i="1" l="1"/>
  <c r="D15" i="1" s="1"/>
  <c r="D18" i="1" s="1"/>
  <c r="G5" i="1"/>
  <c r="G15" i="1" s="1"/>
  <c r="G18" i="1" s="1"/>
  <c r="C5" i="1"/>
  <c r="C15" i="1" s="1"/>
  <c r="E5" i="1"/>
  <c r="E15" i="1" s="1"/>
  <c r="E18" i="1" s="1"/>
  <c r="E23" i="1" s="1"/>
  <c r="F15" i="1"/>
  <c r="F18" i="1" s="1"/>
  <c r="H13" i="1"/>
  <c r="G30" i="1" l="1"/>
  <c r="G23" i="1"/>
  <c r="F30" i="1"/>
  <c r="F23" i="1"/>
  <c r="C5" i="11"/>
  <c r="C15" i="11" s="1"/>
  <c r="D23" i="1"/>
  <c r="E5" i="11"/>
  <c r="E15" i="11" s="1"/>
  <c r="D30" i="1"/>
  <c r="H5" i="1"/>
  <c r="D5" i="11"/>
  <c r="D15" i="11" s="1"/>
  <c r="E30" i="1"/>
  <c r="F5" i="11"/>
  <c r="F15" i="11" s="1"/>
  <c r="H15" i="1"/>
  <c r="H18" i="1" s="1"/>
  <c r="H23" i="1" s="1"/>
  <c r="C18" i="1"/>
  <c r="G10" i="7" l="1"/>
  <c r="C23" i="1"/>
  <c r="C30" i="1"/>
  <c r="B5" i="11"/>
  <c r="G9" i="7"/>
  <c r="B15" i="11" l="1"/>
  <c r="B6" i="11"/>
  <c r="G5" i="11"/>
  <c r="B16" i="11" l="1"/>
  <c r="B5" i="12" s="1"/>
  <c r="B6" i="12" s="1"/>
  <c r="B7" i="12" s="1"/>
  <c r="B8" i="12" s="1"/>
  <c r="C26" i="1" s="1"/>
  <c r="B7" i="11"/>
  <c r="B8" i="11" s="1"/>
  <c r="B9" i="11"/>
  <c r="B11" i="11" l="1"/>
  <c r="B10" i="11"/>
  <c r="C6" i="11"/>
  <c r="C7" i="11" l="1"/>
  <c r="C8" i="11" s="1"/>
  <c r="C9" i="11"/>
  <c r="C16" i="11"/>
  <c r="C5" i="12" s="1"/>
  <c r="C6" i="12" s="1"/>
  <c r="C7" i="12" s="1"/>
  <c r="C8" i="12" s="1"/>
  <c r="D26" i="1" s="1"/>
  <c r="B12" i="11"/>
  <c r="C24" i="1" l="1"/>
  <c r="C10" i="11"/>
  <c r="C11" i="11"/>
  <c r="C12" i="11" s="1"/>
  <c r="D6" i="11"/>
  <c r="D24" i="1" l="1"/>
  <c r="D25" i="1" s="1"/>
  <c r="D27" i="1" s="1"/>
  <c r="D31" i="1" s="1"/>
  <c r="D9" i="11"/>
  <c r="D16" i="11"/>
  <c r="D5" i="12" s="1"/>
  <c r="D6" i="12" s="1"/>
  <c r="D7" i="12" s="1"/>
  <c r="D8" i="12" s="1"/>
  <c r="E26" i="1" s="1"/>
  <c r="D7" i="11"/>
  <c r="D8" i="11" s="1"/>
  <c r="E6" i="11" s="1"/>
  <c r="C25" i="1"/>
  <c r="C27" i="1" s="1"/>
  <c r="E7" i="11" l="1"/>
  <c r="E8" i="11" s="1"/>
  <c r="D10" i="11"/>
  <c r="D11" i="11"/>
  <c r="D12" i="11" s="1"/>
  <c r="E9" i="11" l="1"/>
  <c r="E16" i="11" s="1"/>
  <c r="E5" i="12" s="1"/>
  <c r="E6" i="12" s="1"/>
  <c r="E7" i="12" s="1"/>
  <c r="E8" i="12" s="1"/>
  <c r="F26" i="1" s="1"/>
  <c r="F6" i="11"/>
  <c r="E24" i="1"/>
  <c r="C31" i="1"/>
  <c r="E10" i="11" l="1"/>
  <c r="E11" i="11" s="1"/>
  <c r="E12" i="11" s="1"/>
  <c r="F24" i="1" s="1"/>
  <c r="F25" i="1" s="1"/>
  <c r="F27" i="1" s="1"/>
  <c r="F31" i="1" s="1"/>
  <c r="F7" i="11"/>
  <c r="F8" i="11" s="1"/>
  <c r="E25" i="1"/>
  <c r="F9" i="11" l="1"/>
  <c r="F16" i="11" s="1"/>
  <c r="F5" i="12" s="1"/>
  <c r="F6" i="12" s="1"/>
  <c r="F7" i="12" s="1"/>
  <c r="F8" i="12" s="1"/>
  <c r="G26" i="1" s="1"/>
  <c r="E27" i="1"/>
  <c r="F10" i="11" l="1"/>
  <c r="F11" i="11" s="1"/>
  <c r="E31" i="1"/>
  <c r="F12" i="11" l="1"/>
  <c r="G24" i="1" s="1"/>
  <c r="G25" i="1" s="1"/>
  <c r="G8" i="11" l="1"/>
  <c r="G27" i="1"/>
  <c r="G31" i="1" l="1"/>
  <c r="H26" i="1" l="1"/>
  <c r="G11" i="11" l="1"/>
  <c r="G12" i="11" l="1"/>
  <c r="H24" i="1" l="1"/>
  <c r="H25" i="1" l="1"/>
  <c r="H27" i="1" s="1"/>
  <c r="G14" i="7" l="1"/>
  <c r="G15" i="7"/>
</calcChain>
</file>

<file path=xl/sharedStrings.xml><?xml version="1.0" encoding="utf-8"?>
<sst xmlns="http://schemas.openxmlformats.org/spreadsheetml/2006/main" count="522" uniqueCount="373">
  <si>
    <t>Spese tecniche</t>
  </si>
  <si>
    <t>Costo costruzione</t>
  </si>
  <si>
    <t>. Residenze</t>
  </si>
  <si>
    <t>. Autorimesse</t>
  </si>
  <si>
    <t>Spese commercializzazione</t>
  </si>
  <si>
    <t>Spese generali</t>
  </si>
  <si>
    <t>Totale</t>
  </si>
  <si>
    <t>RICAVI</t>
  </si>
  <si>
    <t>Totale costi</t>
  </si>
  <si>
    <t>Totale ricavi</t>
  </si>
  <si>
    <t>Tasse</t>
  </si>
  <si>
    <t>Acquisizione area</t>
  </si>
  <si>
    <t>. Opere urbanizzazione</t>
  </si>
  <si>
    <t>RT</t>
  </si>
  <si>
    <t>FE</t>
  </si>
  <si>
    <t>SPESE</t>
  </si>
  <si>
    <t>FF</t>
  </si>
  <si>
    <t>T</t>
  </si>
  <si>
    <t>Oneri concessori</t>
  </si>
  <si>
    <t>. Demolizioni</t>
  </si>
  <si>
    <t>Importo</t>
  </si>
  <si>
    <t>Oneri</t>
  </si>
  <si>
    <t>Urbanizzazione primaria</t>
  </si>
  <si>
    <t>Urbanizzazione secondaria</t>
  </si>
  <si>
    <t>Tariffa (€/mc)</t>
  </si>
  <si>
    <t>Dimensioni (mq)</t>
  </si>
  <si>
    <t>Superficie residenziale</t>
  </si>
  <si>
    <t>Superficie equivalente</t>
  </si>
  <si>
    <t>Costo unitario (€/mq)</t>
  </si>
  <si>
    <t>Costo totale (€)</t>
  </si>
  <si>
    <t>Totale (€)</t>
  </si>
  <si>
    <t>Aliquota</t>
  </si>
  <si>
    <t>Contributo (€)</t>
  </si>
  <si>
    <t>Riepilogo oneri</t>
  </si>
  <si>
    <t>Contributo costo costruzione</t>
  </si>
  <si>
    <t>Importo (€)</t>
  </si>
  <si>
    <t>Costo unitario (€/mc-mq)</t>
  </si>
  <si>
    <t>Superficie lotto (mq)</t>
  </si>
  <si>
    <t>Indice fondiario (mc/mq)</t>
  </si>
  <si>
    <t>Volume edificabile (mc)</t>
  </si>
  <si>
    <t>Altezza interpiano (ml)</t>
  </si>
  <si>
    <t>Superficie residenziale (mq)</t>
  </si>
  <si>
    <t>S1 - Acquisizione area (€)</t>
  </si>
  <si>
    <t>Valore totale (€)</t>
  </si>
  <si>
    <t>Spese intermediario (€)</t>
  </si>
  <si>
    <t>Spese notarili (€)</t>
  </si>
  <si>
    <t>Aliquote</t>
  </si>
  <si>
    <t>Voce</t>
  </si>
  <si>
    <t>Dimensioni (mc/mq)</t>
  </si>
  <si>
    <t>Importo CC (€)</t>
  </si>
  <si>
    <t>RT - Ricavi totali</t>
  </si>
  <si>
    <t>Quantità (mq)</t>
  </si>
  <si>
    <t xml:space="preserve">Totale </t>
  </si>
  <si>
    <t>Valore unitario (€/mq)</t>
  </si>
  <si>
    <t>Ricavo totale</t>
  </si>
  <si>
    <t>Totale spese</t>
  </si>
  <si>
    <t>FE - Flusso economico</t>
  </si>
  <si>
    <t>Capitale a debito</t>
  </si>
  <si>
    <t>Dimensioni</t>
  </si>
  <si>
    <t>Struttura finanziaria</t>
  </si>
  <si>
    <t>DESCRIZIONE INVESTIMENTO</t>
  </si>
  <si>
    <t>Interessi passivi</t>
  </si>
  <si>
    <t>T - Tasse</t>
  </si>
  <si>
    <t>Tasse sugli utili</t>
  </si>
  <si>
    <t>IRAP</t>
  </si>
  <si>
    <t>Tasso interesse passivo (TAN)</t>
  </si>
  <si>
    <t>Beta</t>
  </si>
  <si>
    <t>Tasso inflazione</t>
  </si>
  <si>
    <t>Tassazione</t>
  </si>
  <si>
    <t>Saggio rendimento interno annuo</t>
  </si>
  <si>
    <t>Ca - Costo area</t>
  </si>
  <si>
    <t>On - Oneri concessori</t>
  </si>
  <si>
    <t>CC - Costo di costruzione</t>
  </si>
  <si>
    <t>St - Spese tecniche</t>
  </si>
  <si>
    <t>Sg - Spese generali</t>
  </si>
  <si>
    <t>Cc - Costo costruzione</t>
  </si>
  <si>
    <t>Sc - Spese commercializzazione</t>
  </si>
  <si>
    <t>I - Interessi</t>
  </si>
  <si>
    <t>Ca</t>
  </si>
  <si>
    <t>On</t>
  </si>
  <si>
    <t>Cc</t>
  </si>
  <si>
    <t>Cc1</t>
  </si>
  <si>
    <t>Cc2</t>
  </si>
  <si>
    <t>Cc3</t>
  </si>
  <si>
    <t>Cc4</t>
  </si>
  <si>
    <t>St</t>
  </si>
  <si>
    <t>Sg</t>
  </si>
  <si>
    <t>Sc</t>
  </si>
  <si>
    <t>CT</t>
  </si>
  <si>
    <t>I</t>
  </si>
  <si>
    <t>Interessi</t>
  </si>
  <si>
    <t>FN</t>
  </si>
  <si>
    <t>Esposizione/Int. Passivi</t>
  </si>
  <si>
    <t>Esposizione/Int. Attivi</t>
  </si>
  <si>
    <t>Tasso interesse attivo (TAN)</t>
  </si>
  <si>
    <t>Imponibile</t>
  </si>
  <si>
    <t>Valutazione intervento di demolizione e ricostruzione edificio uso residenziale</t>
  </si>
  <si>
    <t>Superficie in pianta (mq)</t>
  </si>
  <si>
    <t>Altezza massima (ml)</t>
  </si>
  <si>
    <t>Piani fuori terra</t>
  </si>
  <si>
    <t>Superficie scoperta (mq)</t>
  </si>
  <si>
    <t>Via Verdi</t>
  </si>
  <si>
    <t>Via Malcanton</t>
  </si>
  <si>
    <t>Via Castellana</t>
  </si>
  <si>
    <t>Superficie (mq)</t>
  </si>
  <si>
    <t>Prezzo (€)</t>
  </si>
  <si>
    <t xml:space="preserve">Media </t>
  </si>
  <si>
    <t>Prezzo unitario (€/mc)</t>
  </si>
  <si>
    <t>Unità di misura</t>
  </si>
  <si>
    <t>Aliquote (%)</t>
  </si>
  <si>
    <t>Riferimento</t>
  </si>
  <si>
    <t xml:space="preserve">Ricavo </t>
  </si>
  <si>
    <t>Valore di mercato del fabbricato</t>
  </si>
  <si>
    <t>€ / mq fabbricato</t>
  </si>
  <si>
    <t>Mercato immobiliare</t>
  </si>
  <si>
    <t>Costo di produzione del fabbricato (area esclusa)</t>
  </si>
  <si>
    <t>Costo di costruzione</t>
  </si>
  <si>
    <t>Mercato costruzioni</t>
  </si>
  <si>
    <t>Utile normale del promotore</t>
  </si>
  <si>
    <t>Valore mercato fabbricato</t>
  </si>
  <si>
    <t xml:space="preserve">Valore di trasformazione </t>
  </si>
  <si>
    <t>Indice fondiario</t>
  </si>
  <si>
    <t>€ / mq area</t>
  </si>
  <si>
    <t>Costo di urbanizzazione (area esclusa)</t>
  </si>
  <si>
    <t>€ / mq</t>
  </si>
  <si>
    <t>Al lordo interessi sul valore area</t>
  </si>
  <si>
    <t>Comparazione</t>
  </si>
  <si>
    <t>Valore di trasformazione</t>
  </si>
  <si>
    <t>Valori</t>
  </si>
  <si>
    <t>Incidenza area</t>
  </si>
  <si>
    <t>Superfice area (mq)</t>
  </si>
  <si>
    <t>Valore mercato abitazioni nuove ordinarie (€/mq)</t>
  </si>
  <si>
    <t>Valore ordinariamente costruibile (€)</t>
  </si>
  <si>
    <t>Valore totale area (€)</t>
  </si>
  <si>
    <t>Valore unitario area (€/mq)</t>
  </si>
  <si>
    <t>Anno di costruzione</t>
  </si>
  <si>
    <t>Is</t>
  </si>
  <si>
    <t>Ia</t>
  </si>
  <si>
    <t>Costo di costruzione attuale (€/mq)</t>
  </si>
  <si>
    <t>Costo di costruzione (€/mq)</t>
  </si>
  <si>
    <t>Anno</t>
  </si>
  <si>
    <t>Indice ISTAT</t>
  </si>
  <si>
    <t>Elementi funzionali</t>
  </si>
  <si>
    <t>Costo noto (€)</t>
  </si>
  <si>
    <r>
      <t>P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</si>
  <si>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</si>
  <si>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f</t>
    </r>
    <r>
      <rPr>
        <i/>
        <sz val="11"/>
        <color theme="1"/>
        <rFont val="Calibri"/>
        <family val="2"/>
        <scheme val="minor"/>
      </rPr>
      <t>*C</t>
    </r>
    <r>
      <rPr>
        <i/>
        <vertAlign val="subscript"/>
        <sz val="11"/>
        <color theme="1"/>
        <rFont val="Calibri"/>
        <family val="2"/>
        <scheme val="minor"/>
      </rPr>
      <t>f</t>
    </r>
  </si>
  <si>
    <t>Scavi e movimenti di terra</t>
  </si>
  <si>
    <t>Sondaggi e diaframmi</t>
  </si>
  <si>
    <t>Fondazioni</t>
  </si>
  <si>
    <t>Strutture c.a.</t>
  </si>
  <si>
    <t>Murature e tavolati</t>
  </si>
  <si>
    <t>Vespai, sottofondi e pavimenti</t>
  </si>
  <si>
    <t>Opere in pietra</t>
  </si>
  <si>
    <t>Rivestimenti e zoccolini</t>
  </si>
  <si>
    <t>Intonaci e tinteggiature</t>
  </si>
  <si>
    <t>Canne e fognature</t>
  </si>
  <si>
    <t>Coibentazione</t>
  </si>
  <si>
    <t>Impermeabilizzazioni e copertura</t>
  </si>
  <si>
    <t>Opere e serramenti e lattonerie</t>
  </si>
  <si>
    <t>Serramenti in legno</t>
  </si>
  <si>
    <t>Impianto di climatizzazione</t>
  </si>
  <si>
    <t>Impianto idrosanitario</t>
  </si>
  <si>
    <t>Impianto elettrico</t>
  </si>
  <si>
    <t>Impianto ascensori</t>
  </si>
  <si>
    <t>Somma</t>
  </si>
  <si>
    <t>Costo unitario storico (€/mq)</t>
  </si>
  <si>
    <t>Stima per comparazione diretta</t>
  </si>
  <si>
    <t>Stima per elementi funzionali</t>
  </si>
  <si>
    <t>Indici CC</t>
  </si>
  <si>
    <t>Costo unitario medio attuale (€/mq)</t>
  </si>
  <si>
    <t>Cc1 - Demolizioni (mc)</t>
  </si>
  <si>
    <t>Cc3 - Residenze (mq)</t>
  </si>
  <si>
    <t>Cc4 - Autorimesse/cantine (mq)</t>
  </si>
  <si>
    <t>Componente</t>
  </si>
  <si>
    <t>Superficie non residenziale (peso 0,6)</t>
  </si>
  <si>
    <t>Tabella dei dati</t>
  </si>
  <si>
    <t>Prezzo</t>
  </si>
  <si>
    <t>?</t>
  </si>
  <si>
    <t>Prezzo unitario</t>
  </si>
  <si>
    <t>Finiture</t>
  </si>
  <si>
    <t>Ottime</t>
  </si>
  <si>
    <t>Buone</t>
  </si>
  <si>
    <t>Normali</t>
  </si>
  <si>
    <t xml:space="preserve">Orto/giardino esclusivo (mq) </t>
  </si>
  <si>
    <t>Garage/Cantina (mq)</t>
  </si>
  <si>
    <t>Climatizzazione centralizzata</t>
  </si>
  <si>
    <t>SI</t>
  </si>
  <si>
    <t>NO</t>
  </si>
  <si>
    <t>Localizzazione</t>
  </si>
  <si>
    <t>Periferia</t>
  </si>
  <si>
    <t>Semiperiferia</t>
  </si>
  <si>
    <t>Tabella degli aggiustamenti</t>
  </si>
  <si>
    <t>Parametri</t>
  </si>
  <si>
    <t>Immobili simili</t>
  </si>
  <si>
    <t>da Buone a Ottime</t>
  </si>
  <si>
    <t>da Normali a Ottime</t>
  </si>
  <si>
    <t>da Semiperiferia a Periferia</t>
  </si>
  <si>
    <t>Prezzi marginali</t>
  </si>
  <si>
    <t xml:space="preserve">  . da Normali a Buone</t>
  </si>
  <si>
    <t>€/mq</t>
  </si>
  <si>
    <t xml:space="preserve">  .da Buone a Ottime</t>
  </si>
  <si>
    <t>€/ mq per cambio di classe</t>
  </si>
  <si>
    <t xml:space="preserve">  . da Periferia a Semiperiferia</t>
  </si>
  <si>
    <t>Tabella di valutazione</t>
  </si>
  <si>
    <t>Prezzo unitario corretto</t>
  </si>
  <si>
    <t>Prezzo totale corretto  (€)</t>
  </si>
  <si>
    <t xml:space="preserve">Prezzo totale (€) </t>
  </si>
  <si>
    <t>Prezzo unitario (€/mq)</t>
  </si>
  <si>
    <t>Media</t>
  </si>
  <si>
    <t>Minimo</t>
  </si>
  <si>
    <t>Massimo</t>
  </si>
  <si>
    <t>Scarto massimo/Media</t>
  </si>
  <si>
    <t>Immobile da stimare</t>
  </si>
  <si>
    <t>Prezzo totale corretto parz.</t>
  </si>
  <si>
    <t>Superficie commerciale</t>
  </si>
  <si>
    <t>Interessi attivi</t>
  </si>
  <si>
    <t>CAPM</t>
  </si>
  <si>
    <t>PAM</t>
  </si>
  <si>
    <t>Rischio specifico</t>
  </si>
  <si>
    <t>Tasso di sconto</t>
  </si>
  <si>
    <r>
      <t>Il costo del capitale proprio (k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</si>
  <si>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r>
      <t>Il costo del capitale a debito (k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>)</t>
    </r>
  </si>
  <si>
    <t>Tasso interesse bancario</t>
  </si>
  <si>
    <t>Costo del capitale a debito</t>
  </si>
  <si>
    <t>Il costo medio ponderato del capitale (WACC)</t>
  </si>
  <si>
    <t>Capitale debito</t>
  </si>
  <si>
    <t>Capitale proprio</t>
  </si>
  <si>
    <t>La convenienza dell'investimento</t>
  </si>
  <si>
    <t>Valore attuale netto (Saggio ke)</t>
  </si>
  <si>
    <t>Costo del capitale a debito reale annuo</t>
  </si>
  <si>
    <t>Costo capitale proprio nominale</t>
  </si>
  <si>
    <t>Media costo MOSI/PAM</t>
  </si>
  <si>
    <t>Superficie non residenziale (mq)</t>
  </si>
  <si>
    <t>Orto/giardino esclusivo</t>
  </si>
  <si>
    <t>Garage/Cantina</t>
  </si>
  <si>
    <t>Coefficiente di ponderazione SNR</t>
  </si>
  <si>
    <t>Superficie residenziale SR (mq)</t>
  </si>
  <si>
    <t xml:space="preserve">Superficie commerciale (mq) </t>
  </si>
  <si>
    <t>Superficie commerciale (mq)</t>
  </si>
  <si>
    <t>Prassi catastale</t>
  </si>
  <si>
    <t>Coefficiente ponderazione scoperto SR</t>
  </si>
  <si>
    <t>Coefficiente pond. scoperto &gt; SR</t>
  </si>
  <si>
    <t>€ / mq fabbricato (SR)</t>
  </si>
  <si>
    <t>mc fabbricato SR  / mq area</t>
  </si>
  <si>
    <t>Coefficiente  area inedeficata</t>
  </si>
  <si>
    <t>Rapporto SC/SR</t>
  </si>
  <si>
    <t>mq SR / mq area</t>
  </si>
  <si>
    <t>mq SC  / mq SR</t>
  </si>
  <si>
    <t>Valore di trasfor. area urbanizzata</t>
  </si>
  <si>
    <t>Costo costruzione opere urbanizzazione</t>
  </si>
  <si>
    <t>PRG - NTO</t>
  </si>
  <si>
    <t>Stima progetto sul lotto</t>
  </si>
  <si>
    <t>Al netto interessi sul valore area</t>
  </si>
  <si>
    <t>Valore di trasfor. area non urbanizzata</t>
  </si>
  <si>
    <t>Valore di trasf. area non urbanizzata</t>
  </si>
  <si>
    <t>Immobile costruito</t>
  </si>
  <si>
    <t>Immobile da costruire</t>
  </si>
  <si>
    <t>Calcolati come da norma di legge e parametri comunali</t>
  </si>
  <si>
    <t>Aliquote stimate in base alla complessità progettuale ed esecutiva</t>
  </si>
  <si>
    <t>Costo di produzione delle finiture</t>
  </si>
  <si>
    <t>Letteratura specialistica</t>
  </si>
  <si>
    <t>Costo di realizzazione</t>
  </si>
  <si>
    <t>Fonte</t>
  </si>
  <si>
    <t>Mercato suoli pertinenziali non edif.</t>
  </si>
  <si>
    <t>STIMA PER CAPITALIZZAZIONE DEL REDDITO</t>
  </si>
  <si>
    <t>DATI DI INPUT</t>
  </si>
  <si>
    <t>CALCOLO DEL REDDITO NETTO DA LOCAZIONE</t>
  </si>
  <si>
    <t>Note</t>
  </si>
  <si>
    <t>Importi (€)</t>
  </si>
  <si>
    <t>Dimensioni (SC mq)</t>
  </si>
  <si>
    <t>Da progetto</t>
  </si>
  <si>
    <t>Canone mensile (€/mq/mese)</t>
  </si>
  <si>
    <t>OMI- Agenzia del territorio</t>
  </si>
  <si>
    <t>Canone annuo locazione</t>
  </si>
  <si>
    <t>Canone mensile anticipato</t>
  </si>
  <si>
    <t>Interessi su canoni anticipati</t>
  </si>
  <si>
    <t>Cauzione anticipata</t>
  </si>
  <si>
    <t>Massimo tre canoni</t>
  </si>
  <si>
    <t>Interessi su cauzione</t>
  </si>
  <si>
    <t>Tasso Interesse attivo</t>
  </si>
  <si>
    <t>Cauzione</t>
  </si>
  <si>
    <t>Reddito padronale lordo</t>
  </si>
  <si>
    <t>Tasso interesse legale</t>
  </si>
  <si>
    <t>Tasso interesse passivo</t>
  </si>
  <si>
    <t>Spese annue antipate (Sa,Qa,Qm, Imp. Loc.)</t>
  </si>
  <si>
    <t>Spese amministrazione</t>
  </si>
  <si>
    <t>Canone annuo</t>
  </si>
  <si>
    <t>Quota sfitto</t>
  </si>
  <si>
    <t>Quote</t>
  </si>
  <si>
    <t>Assicurazione</t>
  </si>
  <si>
    <t>Quota inesigibilità</t>
  </si>
  <si>
    <t>Reintegrazione</t>
  </si>
  <si>
    <t>Quota assicurazione</t>
  </si>
  <si>
    <t>Manutenzione</t>
  </si>
  <si>
    <t xml:space="preserve">Quota manutenzione </t>
  </si>
  <si>
    <t>Imposte</t>
  </si>
  <si>
    <t>Locali</t>
  </si>
  <si>
    <t>Quota reintegrazione</t>
  </si>
  <si>
    <t>Reddito</t>
  </si>
  <si>
    <t>Imposte sul reddito</t>
  </si>
  <si>
    <t>Canone annuo/Cedolare secca</t>
  </si>
  <si>
    <t>Improduttività</t>
  </si>
  <si>
    <t>Sfitto</t>
  </si>
  <si>
    <t>Imposte locali TASI/IMU</t>
  </si>
  <si>
    <t>Inesigibilità</t>
  </si>
  <si>
    <t>Interessi su anticipazioni</t>
  </si>
  <si>
    <t>CALCOLO DEL SAGGIO MEDIO DI CAPITALIZZAZIONE</t>
  </si>
  <si>
    <t>Spese totali</t>
  </si>
  <si>
    <t>Canone (€/mese/mq)</t>
  </si>
  <si>
    <t>REDDITO NETTO</t>
  </si>
  <si>
    <t>Canone (€/anno/mq)</t>
  </si>
  <si>
    <t>Valore (€/mq)</t>
  </si>
  <si>
    <t>Rendimento lordo</t>
  </si>
  <si>
    <t>Bilancio da locazione ordinario</t>
  </si>
  <si>
    <t>SAGGIO DI CAPITALIZZAZIONE</t>
  </si>
  <si>
    <t>CALCOLO DEL VALORE DI CAPITALIZZAZIONE/MERCATO</t>
  </si>
  <si>
    <t>VALORE DI MERCATO</t>
  </si>
  <si>
    <t>VALORE DI MERCATO (€/mq)</t>
  </si>
  <si>
    <t>Quota reddito netto</t>
  </si>
  <si>
    <t>Importi</t>
  </si>
  <si>
    <t>OMI- Agenzia del territorio corretto</t>
  </si>
  <si>
    <t>Cc - Costo Costruzione</t>
  </si>
  <si>
    <t>Superficie commerciale scoperto SR</t>
  </si>
  <si>
    <t>Superficie commerciale scoperto &gt; SR</t>
  </si>
  <si>
    <t>Superficie commerciale SNR</t>
  </si>
  <si>
    <t>PRG</t>
  </si>
  <si>
    <t>Costo capitale proprio reale</t>
  </si>
  <si>
    <t>Costo reale del capitale proprio</t>
  </si>
  <si>
    <t xml:space="preserve">Costo medio ponderato reale </t>
  </si>
  <si>
    <t>Valore attuale netto (Saggio WACC)</t>
  </si>
  <si>
    <t>Costo di costruzione + ST</t>
  </si>
  <si>
    <t>Costo di costruzione + ST + SG</t>
  </si>
  <si>
    <t>Aree simili compravendute di recente</t>
  </si>
  <si>
    <t>Consulente immobiliare</t>
  </si>
  <si>
    <t>Media stime</t>
  </si>
  <si>
    <t>Prassi locale</t>
  </si>
  <si>
    <t>Media parcelle</t>
  </si>
  <si>
    <t>Agenzia Entrate</t>
  </si>
  <si>
    <t>Imposte  (€)</t>
  </si>
  <si>
    <t>Media stime CC</t>
  </si>
  <si>
    <t>50% Cc3</t>
  </si>
  <si>
    <t>2021 (lugl.)</t>
  </si>
  <si>
    <t xml:space="preserve">Costo </t>
  </si>
  <si>
    <t>Aggiustato</t>
  </si>
  <si>
    <t>Costo aggiustato unitario attuale (€/mq)</t>
  </si>
  <si>
    <t>Edifici simili costruiti di recente</t>
  </si>
  <si>
    <t>Condominio Ai Fiumi</t>
  </si>
  <si>
    <t>Residence Dese</t>
  </si>
  <si>
    <t>Residenza I Ronchi</t>
  </si>
  <si>
    <t>Cc2 - Opere urbanizzazione (mq)</t>
  </si>
  <si>
    <t>Costo demolizione fabbricato (€)</t>
  </si>
  <si>
    <t>Valore di mercato (€)</t>
  </si>
  <si>
    <t>Volume residenziale preesistente (mc)</t>
  </si>
  <si>
    <t>Nuova volumetria (mc)</t>
  </si>
  <si>
    <t>Volume residenziale di progetto (mc)</t>
  </si>
  <si>
    <t>Classe energetica (n. A)</t>
  </si>
  <si>
    <t>FLUSSO CASSA ECONOMICO</t>
  </si>
  <si>
    <t>COSTI</t>
  </si>
  <si>
    <t>ANNO</t>
  </si>
  <si>
    <t>Esposizione  finanziaria</t>
  </si>
  <si>
    <t>FLUSSO CASSA NETTO</t>
  </si>
  <si>
    <t>FLUSSO CASSA FINANZIARIO</t>
  </si>
  <si>
    <t>ESPOSIZIONE FINANZIARIA</t>
  </si>
  <si>
    <t>Flusso di cassa economico</t>
  </si>
  <si>
    <t>Flusso di cassa netto</t>
  </si>
  <si>
    <t>Rendimento lordo risk free (rf)</t>
  </si>
  <si>
    <t>Rendimento lordo mercato (rm)</t>
  </si>
  <si>
    <t>Stato di conservazione</t>
  </si>
  <si>
    <t>Nuovo</t>
  </si>
  <si>
    <t>Rendita catastale (€)</t>
  </si>
  <si>
    <t>Valore catastale (€)</t>
  </si>
  <si>
    <t>Coefficiente moltiplicatore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</si>
</sst>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\ &quot;€&quot;;[Red]\-#,##0\ &quot;€&quot;"/>
    <numFmt numFmtId="165" formatCode="0.0%"/>
    <numFmt numFmtId="166" formatCode="_-* #,##0.00\ _€_-;\-* #,##0.00\ _€_-;_-* &quot;-&quot;??\ _€_-;_-@_-"/>
    <numFmt numFmtId="167" formatCode="_-* #,##0_-;\-* #,##0_-;_-* &quot;-&quot;??_-;_-@_-"/>
    <numFmt numFmtId="168" formatCode="_-* #,##0.0_-;\-* #,##0.0_-;_-* &quot;-&quot;??_-;_-@_-"/>
    <numFmt numFmtId="169" formatCode="0.0"/>
    <numFmt numFmtId="170" formatCode="_-* #,##0\ _€_-;\-* #,##0\ _€_-;_-* &quot;-&quot;??\ _€_-;_-@_-"/>
    <numFmt numFmtId="171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30">
    <xf numFmtId="0" fontId="0" fillId="0" borderId="0" xfId="0"/>
    <xf numFmtId="0" fontId="0" fillId="0" borderId="0" xfId="0" applyAlignment="1"/>
    <xf numFmtId="9" fontId="0" fillId="0" borderId="0" xfId="2" applyFont="1"/>
    <xf numFmtId="165" fontId="0" fillId="0" borderId="0" xfId="2" applyNumberFormat="1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wrapText="1"/>
    </xf>
    <xf numFmtId="43" fontId="0" fillId="0" borderId="0" xfId="1" applyFont="1"/>
    <xf numFmtId="43" fontId="0" fillId="2" borderId="0" xfId="1" applyFont="1" applyFill="1"/>
    <xf numFmtId="9" fontId="0" fillId="2" borderId="0" xfId="2" applyFont="1" applyFill="1"/>
    <xf numFmtId="0" fontId="0" fillId="0" borderId="1" xfId="0" applyBorder="1"/>
    <xf numFmtId="9" fontId="0" fillId="2" borderId="1" xfId="2" applyFont="1" applyFill="1" applyBorder="1"/>
    <xf numFmtId="9" fontId="0" fillId="0" borderId="1" xfId="0" applyNumberFormat="1" applyBorder="1"/>
    <xf numFmtId="0" fontId="0" fillId="0" borderId="1" xfId="0" applyBorder="1" applyAlignment="1"/>
    <xf numFmtId="165" fontId="0" fillId="2" borderId="0" xfId="2" applyNumberFormat="1" applyFont="1" applyFill="1"/>
    <xf numFmtId="0" fontId="3" fillId="0" borderId="0" xfId="0" applyFont="1"/>
    <xf numFmtId="9" fontId="0" fillId="0" borderId="0" xfId="2" applyFont="1" applyFill="1"/>
    <xf numFmtId="10" fontId="0" fillId="0" borderId="0" xfId="2" applyNumberFormat="1" applyFont="1" applyFill="1"/>
    <xf numFmtId="167" fontId="0" fillId="0" borderId="0" xfId="1" applyNumberFormat="1" applyFont="1"/>
    <xf numFmtId="167" fontId="0" fillId="0" borderId="0" xfId="0" applyNumberFormat="1"/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3" xfId="3" applyBorder="1"/>
    <xf numFmtId="0" fontId="5" fillId="0" borderId="3" xfId="3" applyBorder="1" applyAlignment="1">
      <alignment horizontal="right"/>
    </xf>
    <xf numFmtId="0" fontId="5" fillId="0" borderId="4" xfId="3" applyBorder="1"/>
    <xf numFmtId="0" fontId="6" fillId="0" borderId="4" xfId="3" applyFont="1" applyBorder="1"/>
    <xf numFmtId="0" fontId="7" fillId="0" borderId="4" xfId="3" applyFont="1" applyBorder="1"/>
    <xf numFmtId="43" fontId="6" fillId="0" borderId="6" xfId="4" applyFont="1" applyBorder="1"/>
    <xf numFmtId="0" fontId="5" fillId="0" borderId="9" xfId="3" applyBorder="1"/>
    <xf numFmtId="0" fontId="5" fillId="0" borderId="10" xfId="3" applyBorder="1"/>
    <xf numFmtId="0" fontId="6" fillId="0" borderId="10" xfId="3" applyFont="1" applyBorder="1"/>
    <xf numFmtId="43" fontId="6" fillId="0" borderId="11" xfId="4" applyFont="1" applyBorder="1"/>
    <xf numFmtId="0" fontId="6" fillId="0" borderId="2" xfId="3" applyFont="1" applyBorder="1"/>
    <xf numFmtId="0" fontId="7" fillId="0" borderId="6" xfId="3" applyFont="1" applyBorder="1"/>
    <xf numFmtId="0" fontId="5" fillId="0" borderId="11" xfId="3" applyBorder="1"/>
    <xf numFmtId="0" fontId="6" fillId="0" borderId="6" xfId="3" applyFont="1" applyBorder="1"/>
    <xf numFmtId="0" fontId="6" fillId="0" borderId="11" xfId="3" applyFont="1" applyBorder="1"/>
    <xf numFmtId="0" fontId="6" fillId="0" borderId="4" xfId="3" applyFont="1" applyFill="1" applyBorder="1"/>
    <xf numFmtId="0" fontId="5" fillId="0" borderId="9" xfId="3" applyBorder="1" applyAlignment="1">
      <alignment horizontal="right"/>
    </xf>
    <xf numFmtId="10" fontId="5" fillId="0" borderId="11" xfId="3" applyNumberFormat="1" applyBorder="1"/>
    <xf numFmtId="10" fontId="5" fillId="0" borderId="10" xfId="3" applyNumberFormat="1" applyBorder="1"/>
    <xf numFmtId="10" fontId="5" fillId="3" borderId="10" xfId="3" applyNumberFormat="1" applyFill="1" applyBorder="1"/>
    <xf numFmtId="10" fontId="5" fillId="0" borderId="9" xfId="3" applyNumberFormat="1" applyBorder="1"/>
    <xf numFmtId="43" fontId="6" fillId="0" borderId="1" xfId="4" applyFont="1" applyBorder="1"/>
    <xf numFmtId="0" fontId="0" fillId="0" borderId="4" xfId="0" applyBorder="1"/>
    <xf numFmtId="0" fontId="0" fillId="0" borderId="6" xfId="0" applyBorder="1"/>
    <xf numFmtId="0" fontId="5" fillId="0" borderId="2" xfId="3" applyBorder="1" applyAlignment="1">
      <alignment horizontal="center"/>
    </xf>
    <xf numFmtId="0" fontId="0" fillId="0" borderId="12" xfId="0" applyBorder="1"/>
    <xf numFmtId="43" fontId="0" fillId="0" borderId="10" xfId="1" applyFont="1" applyBorder="1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165" fontId="0" fillId="0" borderId="13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5" xfId="2" applyNumberFormat="1" applyFont="1" applyBorder="1" applyAlignment="1">
      <alignment horizontal="center"/>
    </xf>
    <xf numFmtId="165" fontId="0" fillId="2" borderId="5" xfId="2" applyNumberFormat="1" applyFont="1" applyFill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0" fontId="0" fillId="0" borderId="13" xfId="0" applyBorder="1" applyAlignment="1">
      <alignment horizontal="right"/>
    </xf>
    <xf numFmtId="165" fontId="0" fillId="0" borderId="14" xfId="2" applyNumberFormat="1" applyFont="1" applyBorder="1" applyAlignment="1">
      <alignment horizontal="center"/>
    </xf>
    <xf numFmtId="43" fontId="0" fillId="0" borderId="9" xfId="1" applyNumberFormat="1" applyFont="1" applyBorder="1"/>
    <xf numFmtId="43" fontId="0" fillId="2" borderId="10" xfId="1" applyNumberFormat="1" applyFont="1" applyFill="1" applyBorder="1"/>
    <xf numFmtId="43" fontId="0" fillId="0" borderId="10" xfId="1" applyNumberFormat="1" applyFont="1" applyBorder="1"/>
    <xf numFmtId="43" fontId="0" fillId="0" borderId="11" xfId="0" applyNumberFormat="1" applyBorder="1"/>
    <xf numFmtId="0" fontId="0" fillId="0" borderId="1" xfId="0" applyFont="1" applyBorder="1"/>
    <xf numFmtId="0" fontId="8" fillId="0" borderId="15" xfId="0" applyFont="1" applyBorder="1" applyAlignment="1">
      <alignment horizontal="left" wrapText="1" readingOrder="1"/>
    </xf>
    <xf numFmtId="0" fontId="8" fillId="0" borderId="16" xfId="0" applyFont="1" applyBorder="1" applyAlignment="1">
      <alignment horizontal="left" wrapText="1" readingOrder="1"/>
    </xf>
    <xf numFmtId="0" fontId="8" fillId="0" borderId="17" xfId="0" applyFont="1" applyBorder="1" applyAlignment="1">
      <alignment horizontal="left" wrapText="1" readingOrder="1"/>
    </xf>
    <xf numFmtId="169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2" xfId="0" applyBorder="1"/>
    <xf numFmtId="167" fontId="0" fillId="0" borderId="9" xfId="1" applyNumberFormat="1" applyFont="1" applyBorder="1"/>
    <xf numFmtId="10" fontId="0" fillId="0" borderId="18" xfId="2" applyNumberFormat="1" applyFont="1" applyBorder="1"/>
    <xf numFmtId="169" fontId="0" fillId="0" borderId="10" xfId="0" applyNumberFormat="1" applyBorder="1"/>
    <xf numFmtId="10" fontId="0" fillId="0" borderId="5" xfId="2" applyNumberFormat="1" applyFont="1" applyBorder="1"/>
    <xf numFmtId="167" fontId="0" fillId="0" borderId="11" xfId="1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67" fontId="0" fillId="0" borderId="1" xfId="1" applyNumberFormat="1" applyFont="1" applyBorder="1"/>
    <xf numFmtId="10" fontId="0" fillId="0" borderId="14" xfId="2" applyNumberFormat="1" applyFont="1" applyBorder="1"/>
    <xf numFmtId="167" fontId="0" fillId="0" borderId="3" xfId="0" applyNumberFormat="1" applyBorder="1"/>
    <xf numFmtId="167" fontId="0" fillId="0" borderId="9" xfId="0" applyNumberFormat="1" applyBorder="1"/>
    <xf numFmtId="167" fontId="0" fillId="0" borderId="18" xfId="0" applyNumberFormat="1" applyBorder="1"/>
    <xf numFmtId="167" fontId="0" fillId="0" borderId="7" xfId="0" applyNumberFormat="1" applyBorder="1"/>
    <xf numFmtId="167" fontId="0" fillId="0" borderId="11" xfId="0" applyNumberFormat="1" applyBorder="1"/>
    <xf numFmtId="167" fontId="0" fillId="0" borderId="8" xfId="0" applyNumberFormat="1" applyBorder="1"/>
    <xf numFmtId="168" fontId="0" fillId="0" borderId="10" xfId="1" applyNumberFormat="1" applyFont="1" applyBorder="1"/>
    <xf numFmtId="167" fontId="0" fillId="0" borderId="0" xfId="0" applyNumberFormat="1" applyBorder="1"/>
    <xf numFmtId="167" fontId="0" fillId="0" borderId="10" xfId="0" applyNumberFormat="1" applyBorder="1"/>
    <xf numFmtId="168" fontId="0" fillId="0" borderId="5" xfId="0" applyNumberFormat="1" applyBorder="1"/>
    <xf numFmtId="167" fontId="0" fillId="0" borderId="2" xfId="1" applyNumberFormat="1" applyFont="1" applyBorder="1"/>
    <xf numFmtId="167" fontId="0" fillId="0" borderId="4" xfId="1" applyNumberFormat="1" applyFont="1" applyBorder="1"/>
    <xf numFmtId="167" fontId="0" fillId="0" borderId="6" xfId="1" applyNumberFormat="1" applyFont="1" applyBorder="1"/>
    <xf numFmtId="0" fontId="9" fillId="0" borderId="3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167" fontId="0" fillId="2" borderId="0" xfId="1" applyNumberFormat="1" applyFont="1" applyFill="1" applyBorder="1"/>
    <xf numFmtId="167" fontId="0" fillId="0" borderId="5" xfId="1" applyNumberFormat="1" applyFont="1" applyBorder="1"/>
    <xf numFmtId="167" fontId="0" fillId="0" borderId="0" xfId="1" applyNumberFormat="1" applyFont="1" applyBorder="1"/>
    <xf numFmtId="167" fontId="0" fillId="2" borderId="10" xfId="1" applyNumberFormat="1" applyFont="1" applyFill="1" applyBorder="1"/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7" fontId="0" fillId="0" borderId="14" xfId="0" applyNumberFormat="1" applyBorder="1"/>
    <xf numFmtId="0" fontId="0" fillId="0" borderId="1" xfId="0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left"/>
    </xf>
    <xf numFmtId="0" fontId="11" fillId="0" borderId="0" xfId="0" quotePrefix="1" applyFont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0" xfId="0" applyNumberFormat="1" applyFont="1"/>
    <xf numFmtId="167" fontId="11" fillId="0" borderId="0" xfId="4" applyNumberFormat="1" applyFont="1"/>
    <xf numFmtId="0" fontId="11" fillId="0" borderId="1" xfId="0" applyFont="1" applyBorder="1"/>
    <xf numFmtId="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67" fontId="11" fillId="0" borderId="1" xfId="4" applyNumberFormat="1" applyFont="1" applyBorder="1" applyAlignment="1">
      <alignment horizontal="right"/>
    </xf>
    <xf numFmtId="0" fontId="11" fillId="0" borderId="1" xfId="0" quotePrefix="1" applyFont="1" applyBorder="1" applyAlignment="1">
      <alignment horizontal="left"/>
    </xf>
    <xf numFmtId="0" fontId="11" fillId="0" borderId="1" xfId="0" quotePrefix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0" fontId="11" fillId="0" borderId="6" xfId="0" quotePrefix="1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2" xfId="0" applyFont="1" applyBorder="1"/>
    <xf numFmtId="0" fontId="11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167" fontId="11" fillId="0" borderId="10" xfId="4" applyNumberFormat="1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/>
    <xf numFmtId="0" fontId="11" fillId="0" borderId="12" xfId="0" quotePrefix="1" applyFont="1" applyBorder="1" applyAlignment="1">
      <alignment horizontal="left"/>
    </xf>
    <xf numFmtId="167" fontId="11" fillId="0" borderId="10" xfId="4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167" fontId="11" fillId="0" borderId="11" xfId="4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167" fontId="11" fillId="0" borderId="1" xfId="4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4" xfId="0" applyFont="1" applyBorder="1"/>
    <xf numFmtId="3" fontId="11" fillId="0" borderId="0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11" fillId="0" borderId="8" xfId="0" applyNumberFormat="1" applyFont="1" applyBorder="1" applyAlignment="1">
      <alignment horizontal="right"/>
    </xf>
    <xf numFmtId="0" fontId="11" fillId="0" borderId="6" xfId="0" applyFont="1" applyBorder="1"/>
    <xf numFmtId="167" fontId="11" fillId="0" borderId="10" xfId="4" applyNumberFormat="1" applyFont="1" applyBorder="1"/>
    <xf numFmtId="167" fontId="11" fillId="0" borderId="11" xfId="4" applyNumberFormat="1" applyFont="1" applyBorder="1"/>
    <xf numFmtId="3" fontId="11" fillId="0" borderId="10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167" fontId="11" fillId="0" borderId="1" xfId="4" applyNumberFormat="1" applyFont="1" applyBorder="1"/>
    <xf numFmtId="167" fontId="11" fillId="0" borderId="13" xfId="4" applyNumberFormat="1" applyFont="1" applyBorder="1"/>
    <xf numFmtId="167" fontId="11" fillId="0" borderId="14" xfId="4" applyNumberFormat="1" applyFont="1" applyBorder="1"/>
    <xf numFmtId="167" fontId="11" fillId="0" borderId="9" xfId="4" applyNumberFormat="1" applyFont="1" applyBorder="1"/>
    <xf numFmtId="3" fontId="11" fillId="0" borderId="3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0" fontId="11" fillId="0" borderId="12" xfId="0" applyFont="1" applyBorder="1"/>
    <xf numFmtId="165" fontId="11" fillId="0" borderId="11" xfId="2" applyNumberFormat="1" applyFont="1" applyBorder="1" applyAlignment="1">
      <alignment horizontal="right"/>
    </xf>
    <xf numFmtId="0" fontId="13" fillId="0" borderId="0" xfId="0" applyFont="1"/>
    <xf numFmtId="0" fontId="13" fillId="0" borderId="9" xfId="0" applyFont="1" applyBorder="1"/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18" xfId="0" applyFont="1" applyBorder="1" applyAlignment="1">
      <alignment vertical="center"/>
    </xf>
    <xf numFmtId="0" fontId="13" fillId="0" borderId="1" xfId="0" applyFont="1" applyBorder="1" applyAlignment="1"/>
    <xf numFmtId="43" fontId="13" fillId="0" borderId="13" xfId="0" applyNumberFormat="1" applyFont="1" applyBorder="1"/>
    <xf numFmtId="167" fontId="13" fillId="2" borderId="1" xfId="1" applyNumberFormat="1" applyFont="1" applyFill="1" applyBorder="1"/>
    <xf numFmtId="167" fontId="13" fillId="0" borderId="14" xfId="1" applyNumberFormat="1" applyFont="1" applyBorder="1"/>
    <xf numFmtId="0" fontId="13" fillId="0" borderId="11" xfId="0" applyFont="1" applyBorder="1" applyAlignment="1"/>
    <xf numFmtId="167" fontId="13" fillId="0" borderId="8" xfId="1" applyNumberFormat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167" fontId="13" fillId="0" borderId="0" xfId="1" applyNumberFormat="1" applyFont="1" applyBorder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 applyFill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0" fontId="0" fillId="2" borderId="0" xfId="2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3" fillId="4" borderId="0" xfId="0" applyFont="1" applyFill="1"/>
    <xf numFmtId="0" fontId="0" fillId="4" borderId="0" xfId="0" applyFill="1"/>
    <xf numFmtId="0" fontId="0" fillId="4" borderId="0" xfId="0" applyFont="1" applyFill="1"/>
    <xf numFmtId="165" fontId="0" fillId="4" borderId="0" xfId="0" applyNumberFormat="1" applyFont="1" applyFill="1"/>
    <xf numFmtId="164" fontId="0" fillId="4" borderId="0" xfId="0" applyNumberFormat="1" applyFont="1" applyFill="1"/>
    <xf numFmtId="2" fontId="0" fillId="0" borderId="0" xfId="0" applyNumberFormat="1" applyAlignment="1"/>
    <xf numFmtId="43" fontId="0" fillId="0" borderId="10" xfId="1" applyFont="1" applyBorder="1" applyAlignment="1">
      <alignment horizontal="right"/>
    </xf>
    <xf numFmtId="43" fontId="0" fillId="0" borderId="11" xfId="1" applyFont="1" applyBorder="1" applyAlignment="1">
      <alignment horizontal="right"/>
    </xf>
    <xf numFmtId="167" fontId="0" fillId="0" borderId="10" xfId="1" applyNumberFormat="1" applyFont="1" applyBorder="1" applyAlignment="1">
      <alignment horizontal="right"/>
    </xf>
    <xf numFmtId="9" fontId="0" fillId="2" borderId="10" xfId="2" applyFont="1" applyFill="1" applyBorder="1" applyAlignment="1">
      <alignment horizontal="right"/>
    </xf>
    <xf numFmtId="43" fontId="0" fillId="2" borderId="10" xfId="1" applyFont="1" applyFill="1" applyBorder="1"/>
    <xf numFmtId="43" fontId="0" fillId="2" borderId="0" xfId="1" applyFont="1" applyFill="1" applyBorder="1" applyAlignment="1">
      <alignment horizontal="center"/>
    </xf>
    <xf numFmtId="43" fontId="0" fillId="2" borderId="0" xfId="1" applyFont="1" applyFill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6" fillId="0" borderId="10" xfId="3" applyFont="1" applyFill="1" applyBorder="1"/>
    <xf numFmtId="0" fontId="5" fillId="0" borderId="4" xfId="3" applyFill="1" applyBorder="1"/>
    <xf numFmtId="43" fontId="5" fillId="3" borderId="7" xfId="1" applyFont="1" applyFill="1" applyBorder="1"/>
    <xf numFmtId="43" fontId="5" fillId="0" borderId="0" xfId="1" applyFont="1" applyBorder="1"/>
    <xf numFmtId="43" fontId="5" fillId="3" borderId="0" xfId="1" applyFont="1" applyFill="1" applyBorder="1"/>
    <xf numFmtId="43" fontId="5" fillId="0" borderId="0" xfId="1" applyFont="1" applyFill="1" applyBorder="1"/>
    <xf numFmtId="43" fontId="6" fillId="0" borderId="7" xfId="1" applyFont="1" applyBorder="1"/>
    <xf numFmtId="43" fontId="6" fillId="0" borderId="13" xfId="1" applyFont="1" applyBorder="1"/>
    <xf numFmtId="43" fontId="5" fillId="0" borderId="3" xfId="1" applyFont="1" applyBorder="1"/>
    <xf numFmtId="0" fontId="6" fillId="0" borderId="2" xfId="3" applyFont="1" applyBorder="1" applyAlignment="1">
      <alignment wrapText="1"/>
    </xf>
    <xf numFmtId="0" fontId="5" fillId="0" borderId="18" xfId="3" applyBorder="1"/>
    <xf numFmtId="0" fontId="6" fillId="0" borderId="6" xfId="3" applyFont="1" applyFill="1" applyBorder="1"/>
    <xf numFmtId="0" fontId="0" fillId="0" borderId="5" xfId="0" applyBorder="1"/>
    <xf numFmtId="0" fontId="6" fillId="0" borderId="9" xfId="3" applyFont="1" applyBorder="1"/>
    <xf numFmtId="43" fontId="6" fillId="0" borderId="9" xfId="1" applyFont="1" applyBorder="1"/>
    <xf numFmtId="43" fontId="6" fillId="0" borderId="10" xfId="1" applyFont="1" applyBorder="1"/>
    <xf numFmtId="43" fontId="6" fillId="0" borderId="11" xfId="1" applyFont="1" applyBorder="1"/>
    <xf numFmtId="43" fontId="6" fillId="2" borderId="10" xfId="1" applyFont="1" applyFill="1" applyBorder="1"/>
    <xf numFmtId="43" fontId="3" fillId="2" borderId="10" xfId="1" applyFont="1" applyFill="1" applyBorder="1" applyAlignment="1">
      <alignment horizontal="right"/>
    </xf>
    <xf numFmtId="0" fontId="0" fillId="0" borderId="14" xfId="0" applyBorder="1" applyAlignment="1">
      <alignment horizontal="center" vertical="center"/>
    </xf>
    <xf numFmtId="167" fontId="0" fillId="5" borderId="10" xfId="1" applyNumberFormat="1" applyFont="1" applyFill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3" fontId="0" fillId="0" borderId="5" xfId="1" applyFont="1" applyBorder="1"/>
    <xf numFmtId="43" fontId="0" fillId="0" borderId="14" xfId="1" applyFont="1" applyBorder="1"/>
    <xf numFmtId="168" fontId="0" fillId="0" borderId="5" xfId="1" applyNumberFormat="1" applyFont="1" applyBorder="1"/>
    <xf numFmtId="168" fontId="0" fillId="0" borderId="14" xfId="1" applyNumberFormat="1" applyFont="1" applyBorder="1"/>
    <xf numFmtId="43" fontId="0" fillId="0" borderId="0" xfId="1" applyFont="1" applyBorder="1"/>
    <xf numFmtId="43" fontId="0" fillId="0" borderId="8" xfId="1" applyFont="1" applyBorder="1"/>
    <xf numFmtId="0" fontId="0" fillId="0" borderId="14" xfId="0" applyBorder="1"/>
    <xf numFmtId="9" fontId="0" fillId="2" borderId="10" xfId="2" applyFont="1" applyFill="1" applyBorder="1"/>
    <xf numFmtId="165" fontId="0" fillId="2" borderId="5" xfId="2" applyNumberFormat="1" applyFont="1" applyFill="1" applyBorder="1"/>
    <xf numFmtId="0" fontId="0" fillId="5" borderId="1" xfId="0" applyFill="1" applyBorder="1"/>
    <xf numFmtId="0" fontId="0" fillId="5" borderId="14" xfId="0" applyFill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4" xfId="0" applyFont="1" applyBorder="1" applyAlignment="1">
      <alignment horizontal="right"/>
    </xf>
    <xf numFmtId="0" fontId="11" fillId="0" borderId="12" xfId="0" applyFont="1" applyBorder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right"/>
    </xf>
    <xf numFmtId="0" fontId="15" fillId="0" borderId="0" xfId="0" applyFont="1" applyAlignment="1"/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left" wrapText="1"/>
    </xf>
    <xf numFmtId="0" fontId="15" fillId="0" borderId="13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left" wrapText="1"/>
    </xf>
    <xf numFmtId="170" fontId="15" fillId="0" borderId="10" xfId="1" applyNumberFormat="1" applyFont="1" applyBorder="1" applyAlignment="1"/>
    <xf numFmtId="0" fontId="15" fillId="0" borderId="5" xfId="0" applyFont="1" applyFill="1" applyBorder="1" applyAlignment="1"/>
    <xf numFmtId="0" fontId="15" fillId="0" borderId="13" xfId="0" applyFont="1" applyBorder="1" applyAlignment="1">
      <alignment horizontal="right"/>
    </xf>
    <xf numFmtId="0" fontId="15" fillId="0" borderId="1" xfId="0" applyFont="1" applyBorder="1" applyAlignment="1"/>
    <xf numFmtId="0" fontId="15" fillId="0" borderId="4" xfId="0" applyFont="1" applyBorder="1"/>
    <xf numFmtId="171" fontId="15" fillId="0" borderId="10" xfId="1" applyNumberFormat="1" applyFont="1" applyBorder="1" applyAlignment="1"/>
    <xf numFmtId="0" fontId="15" fillId="0" borderId="10" xfId="0" applyFont="1" applyBorder="1" applyAlignment="1"/>
    <xf numFmtId="165" fontId="15" fillId="0" borderId="10" xfId="2" applyNumberFormat="1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right"/>
    </xf>
    <xf numFmtId="0" fontId="15" fillId="0" borderId="4" xfId="0" applyFont="1" applyFill="1" applyBorder="1" applyAlignment="1">
      <alignment horizontal="left" wrapText="1"/>
    </xf>
    <xf numFmtId="0" fontId="15" fillId="0" borderId="12" xfId="0" applyFont="1" applyFill="1" applyBorder="1"/>
    <xf numFmtId="0" fontId="15" fillId="0" borderId="4" xfId="0" applyFont="1" applyBorder="1" applyAlignment="1">
      <alignment horizontal="left"/>
    </xf>
    <xf numFmtId="0" fontId="15" fillId="0" borderId="6" xfId="0" applyFont="1" applyBorder="1"/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15" fillId="0" borderId="6" xfId="0" applyFont="1" applyBorder="1" applyAlignment="1">
      <alignment horizontal="left" wrapText="1"/>
    </xf>
    <xf numFmtId="165" fontId="15" fillId="0" borderId="11" xfId="2" applyNumberFormat="1" applyFont="1" applyBorder="1" applyAlignment="1">
      <alignment horizontal="right" vertical="center"/>
    </xf>
    <xf numFmtId="0" fontId="15" fillId="0" borderId="11" xfId="0" applyFont="1" applyBorder="1" applyAlignment="1"/>
    <xf numFmtId="0" fontId="15" fillId="0" borderId="2" xfId="0" applyFont="1" applyBorder="1"/>
    <xf numFmtId="0" fontId="15" fillId="0" borderId="3" xfId="0" applyFont="1" applyBorder="1" applyAlignment="1">
      <alignment horizontal="right"/>
    </xf>
    <xf numFmtId="0" fontId="15" fillId="0" borderId="12" xfId="0" applyFont="1" applyBorder="1"/>
    <xf numFmtId="0" fontId="15" fillId="0" borderId="1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15" fillId="0" borderId="5" xfId="0" applyFont="1" applyBorder="1" applyAlignment="1"/>
    <xf numFmtId="165" fontId="15" fillId="0" borderId="10" xfId="2" applyNumberFormat="1" applyFont="1" applyBorder="1"/>
    <xf numFmtId="0" fontId="15" fillId="0" borderId="0" xfId="0" applyFont="1" applyBorder="1"/>
    <xf numFmtId="166" fontId="15" fillId="0" borderId="0" xfId="0" applyNumberFormat="1" applyFont="1" applyBorder="1" applyAlignment="1"/>
    <xf numFmtId="9" fontId="15" fillId="0" borderId="10" xfId="2" applyFont="1" applyBorder="1"/>
    <xf numFmtId="0" fontId="15" fillId="0" borderId="5" xfId="0" applyFont="1" applyBorder="1"/>
    <xf numFmtId="0" fontId="15" fillId="0" borderId="11" xfId="0" applyFont="1" applyBorder="1"/>
    <xf numFmtId="165" fontId="15" fillId="0" borderId="11" xfId="2" applyNumberFormat="1" applyFont="1" applyBorder="1"/>
    <xf numFmtId="0" fontId="15" fillId="0" borderId="8" xfId="0" applyFont="1" applyBorder="1" applyAlignment="1"/>
    <xf numFmtId="171" fontId="15" fillId="0" borderId="1" xfId="1" applyNumberFormat="1" applyFont="1" applyBorder="1" applyAlignment="1">
      <alignment horizontal="right"/>
    </xf>
    <xf numFmtId="0" fontId="15" fillId="0" borderId="1" xfId="0" applyFont="1" applyBorder="1"/>
    <xf numFmtId="171" fontId="15" fillId="0" borderId="1" xfId="0" applyNumberFormat="1" applyFont="1" applyBorder="1" applyAlignment="1">
      <alignment horizontal="right"/>
    </xf>
    <xf numFmtId="9" fontId="15" fillId="0" borderId="1" xfId="2" applyFont="1" applyBorder="1" applyAlignment="1">
      <alignment horizontal="right"/>
    </xf>
    <xf numFmtId="168" fontId="15" fillId="0" borderId="10" xfId="1" applyNumberFormat="1" applyFont="1" applyBorder="1" applyAlignment="1">
      <alignment horizontal="right"/>
    </xf>
    <xf numFmtId="168" fontId="15" fillId="0" borderId="11" xfId="1" applyNumberFormat="1" applyFont="1" applyBorder="1" applyAlignment="1">
      <alignment horizontal="right"/>
    </xf>
    <xf numFmtId="168" fontId="15" fillId="0" borderId="1" xfId="1" applyNumberFormat="1" applyFont="1" applyBorder="1" applyAlignment="1">
      <alignment horizontal="right"/>
    </xf>
    <xf numFmtId="168" fontId="15" fillId="0" borderId="11" xfId="1" applyNumberFormat="1" applyFont="1" applyBorder="1" applyAlignment="1">
      <alignment horizontal="right" vertical="center"/>
    </xf>
    <xf numFmtId="168" fontId="15" fillId="0" borderId="9" xfId="1" applyNumberFormat="1" applyFont="1" applyBorder="1" applyAlignment="1">
      <alignment horizontal="right"/>
    </xf>
    <xf numFmtId="167" fontId="15" fillId="0" borderId="10" xfId="1" applyNumberFormat="1" applyFont="1" applyBorder="1"/>
    <xf numFmtId="165" fontId="0" fillId="2" borderId="10" xfId="2" applyNumberFormat="1" applyFont="1" applyFill="1" applyBorder="1"/>
    <xf numFmtId="168" fontId="0" fillId="0" borderId="11" xfId="1" applyNumberFormat="1" applyFont="1" applyBorder="1"/>
    <xf numFmtId="9" fontId="0" fillId="5" borderId="1" xfId="2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165" fontId="0" fillId="0" borderId="13" xfId="2" applyNumberFormat="1" applyFont="1" applyBorder="1" applyAlignment="1">
      <alignment horizontal="center"/>
    </xf>
    <xf numFmtId="43" fontId="0" fillId="0" borderId="1" xfId="1" applyFont="1" applyBorder="1"/>
    <xf numFmtId="0" fontId="7" fillId="0" borderId="9" xfId="3" applyFont="1" applyBorder="1" applyAlignment="1">
      <alignment horizontal="center"/>
    </xf>
    <xf numFmtId="0" fontId="5" fillId="0" borderId="9" xfId="3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5" fillId="0" borderId="11" xfId="3" applyBorder="1" applyAlignment="1">
      <alignment horizontal="center"/>
    </xf>
    <xf numFmtId="0" fontId="5" fillId="0" borderId="18" xfId="3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5" fillId="0" borderId="5" xfId="3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8" xfId="3" applyBorder="1" applyAlignment="1">
      <alignment horizontal="center"/>
    </xf>
    <xf numFmtId="43" fontId="7" fillId="0" borderId="11" xfId="4" applyFont="1" applyBorder="1" applyAlignment="1">
      <alignment horizontal="center"/>
    </xf>
    <xf numFmtId="167" fontId="0" fillId="2" borderId="10" xfId="1" applyNumberFormat="1" applyFont="1" applyFill="1" applyBorder="1" applyAlignment="1">
      <alignment horizontal="right"/>
    </xf>
    <xf numFmtId="167" fontId="0" fillId="0" borderId="10" xfId="1" applyNumberFormat="1" applyFont="1" applyFill="1" applyBorder="1" applyAlignment="1">
      <alignment horizontal="right"/>
    </xf>
    <xf numFmtId="167" fontId="0" fillId="0" borderId="1" xfId="0" applyNumberFormat="1" applyBorder="1"/>
    <xf numFmtId="0" fontId="0" fillId="2" borderId="0" xfId="0" applyFill="1" applyBorder="1" applyAlignment="1">
      <alignment horizontal="center"/>
    </xf>
    <xf numFmtId="10" fontId="0" fillId="0" borderId="2" xfId="2" applyNumberFormat="1" applyFont="1" applyBorder="1"/>
    <xf numFmtId="10" fontId="0" fillId="0" borderId="4" xfId="2" applyNumberFormat="1" applyFont="1" applyBorder="1"/>
    <xf numFmtId="10" fontId="0" fillId="0" borderId="6" xfId="2" applyNumberFormat="1" applyFont="1" applyBorder="1"/>
    <xf numFmtId="0" fontId="9" fillId="0" borderId="9" xfId="0" applyFont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1" fontId="0" fillId="0" borderId="0" xfId="0" applyNumberFormat="1" applyBorder="1"/>
    <xf numFmtId="0" fontId="0" fillId="0" borderId="8" xfId="0" applyBorder="1"/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/>
    <xf numFmtId="43" fontId="0" fillId="2" borderId="1" xfId="1" applyFont="1" applyFill="1" applyBorder="1"/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1" fontId="15" fillId="0" borderId="1" xfId="1" applyNumberFormat="1" applyFont="1" applyBorder="1" applyAlignment="1">
      <alignment vertical="center"/>
    </xf>
    <xf numFmtId="165" fontId="15" fillId="0" borderId="10" xfId="2" applyNumberFormat="1" applyFont="1" applyBorder="1" applyAlignment="1">
      <alignment horizontal="center"/>
    </xf>
    <xf numFmtId="0" fontId="2" fillId="0" borderId="4" xfId="0" applyFont="1" applyBorder="1"/>
    <xf numFmtId="167" fontId="2" fillId="0" borderId="0" xfId="1" applyNumberFormat="1" applyFont="1" applyBorder="1"/>
    <xf numFmtId="167" fontId="0" fillId="0" borderId="5" xfId="0" applyNumberFormat="1" applyBorder="1"/>
    <xf numFmtId="0" fontId="0" fillId="0" borderId="7" xfId="0" applyBorder="1"/>
    <xf numFmtId="167" fontId="0" fillId="0" borderId="7" xfId="1" applyNumberFormat="1" applyFont="1" applyBorder="1"/>
    <xf numFmtId="167" fontId="0" fillId="0" borderId="8" xfId="1" applyNumberFormat="1" applyFont="1" applyBorder="1"/>
    <xf numFmtId="0" fontId="2" fillId="0" borderId="5" xfId="0" applyFont="1" applyBorder="1"/>
    <xf numFmtId="0" fontId="0" fillId="0" borderId="9" xfId="0" applyBorder="1"/>
    <xf numFmtId="167" fontId="0" fillId="0" borderId="10" xfId="1" applyNumberFormat="1" applyFont="1" applyBorder="1"/>
    <xf numFmtId="167" fontId="2" fillId="0" borderId="10" xfId="1" applyNumberFormat="1" applyFont="1" applyBorder="1"/>
    <xf numFmtId="0" fontId="0" fillId="0" borderId="18" xfId="0" applyBorder="1"/>
    <xf numFmtId="167" fontId="0" fillId="0" borderId="3" xfId="1" applyNumberFormat="1" applyFont="1" applyBorder="1"/>
    <xf numFmtId="0" fontId="0" fillId="0" borderId="2" xfId="0" applyBorder="1" applyAlignment="1"/>
    <xf numFmtId="0" fontId="0" fillId="0" borderId="18" xfId="0" applyBorder="1" applyAlignment="1"/>
    <xf numFmtId="0" fontId="0" fillId="0" borderId="6" xfId="0" applyBorder="1" applyAlignment="1"/>
    <xf numFmtId="167" fontId="1" fillId="0" borderId="7" xfId="1" applyNumberFormat="1" applyFont="1" applyBorder="1"/>
    <xf numFmtId="167" fontId="1" fillId="0" borderId="11" xfId="1" applyNumberFormat="1" applyFont="1" applyBorder="1"/>
    <xf numFmtId="167" fontId="1" fillId="0" borderId="11" xfId="0" applyNumberFormat="1" applyFont="1" applyBorder="1"/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7" fontId="0" fillId="0" borderId="13" xfId="1" applyNumberFormat="1" applyFont="1" applyBorder="1"/>
    <xf numFmtId="167" fontId="0" fillId="0" borderId="14" xfId="1" applyNumberFormat="1" applyFont="1" applyBorder="1"/>
    <xf numFmtId="167" fontId="0" fillId="0" borderId="18" xfId="1" applyNumberFormat="1" applyFont="1" applyBorder="1"/>
    <xf numFmtId="10" fontId="0" fillId="0" borderId="0" xfId="2" applyNumberFormat="1" applyFont="1" applyAlignment="1">
      <alignment horizontal="center"/>
    </xf>
    <xf numFmtId="10" fontId="0" fillId="2" borderId="0" xfId="0" applyNumberFormat="1" applyFill="1" applyAlignment="1">
      <alignment horizontal="center" vertical="center"/>
    </xf>
    <xf numFmtId="165" fontId="0" fillId="2" borderId="0" xfId="2" applyNumberFormat="1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</cellXfs>
  <cellStyles count="5">
    <cellStyle name="Migliaia" xfId="1" builtinId="3"/>
    <cellStyle name="Migliaia 2" xfId="4" xr:uid="{00000000-0005-0000-0000-000001000000}"/>
    <cellStyle name="Normale" xfId="0" builtinId="0"/>
    <cellStyle name="Normale 2" xfId="3" xr:uid="{00000000-0005-0000-0000-000003000000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Flussi di cassa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'Flusso di cassa'!$B$30</c:f>
              <c:strCache>
                <c:ptCount val="1"/>
                <c:pt idx="0">
                  <c:v>FLUSSO CASSA ECONOMICO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'Flusso di cassa'!$C$30:$G$30</c:f>
              <c:numCache>
                <c:formatCode>_(* #,##0.00_);_(* \(#,##0.00\);_(* "-"??_);_(@_)</c:formatCode>
                <c:ptCount val="5"/>
                <c:pt idx="0">
                  <c:v>-269326.87035117194</c:v>
                </c:pt>
                <c:pt idx="1">
                  <c:v>-54717.203333333331</c:v>
                </c:pt>
                <c:pt idx="2">
                  <c:v>-462208.67312672478</c:v>
                </c:pt>
                <c:pt idx="3">
                  <c:v>668603.22745281924</c:v>
                </c:pt>
                <c:pt idx="4">
                  <c:v>538700.27276787278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7-4003-B2F6-2E7100931131}"/>
            </c:ext>
          </c:extLst>
        </c:ser>
        <c:ser>
          <c:idx val="1"/>
          <c:order val="1"/>
          <c:tx>
            <c:strRef>
              <c:f>'Flusso di cassa'!$B$31</c:f>
              <c:strCache>
                <c:ptCount val="1"/>
                <c:pt idx="0">
                  <c:v>FLUSSO CASSA NETTO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'Flusso di cassa'!$C$31:$G$31</c:f>
              <c:numCache>
                <c:formatCode>_(* #,##0.00_);_(* \(#,##0.00\);_(* "-"??_);_(@_)</c:formatCode>
                <c:ptCount val="5"/>
                <c:pt idx="0">
                  <c:v>-274174.75401749305</c:v>
                </c:pt>
                <c:pt idx="1">
                  <c:v>-60637.258565648204</c:v>
                </c:pt>
                <c:pt idx="2">
                  <c:v>-476555.04546950239</c:v>
                </c:pt>
                <c:pt idx="3">
                  <c:v>666033.47850202245</c:v>
                </c:pt>
                <c:pt idx="4">
                  <c:v>430213.68761382753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7-4003-B2F6-2E7100931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9599871"/>
        <c:axId val="1239599039"/>
      </c:lineChart>
      <c:catAx>
        <c:axId val="1239599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9599039"/>
        <c:crosses val="autoZero"/>
        <c:auto val="1"/>
        <c:lblAlgn val="ctr"/>
        <c:lblOffset val="100"/>
        <c:noMultiLvlLbl val="0"/>
      </c:catAx>
      <c:valAx>
        <c:axId val="123959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959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Esposizione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 - Interessi'!$A$15</c:f>
              <c:strCache>
                <c:ptCount val="1"/>
                <c:pt idx="0">
                  <c:v>FLUSSO CASSA ECONOMICO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 - Interessi'!$B$14:$F$14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'I - Interessi'!$B$15:$F$15</c:f>
              <c:numCache>
                <c:formatCode>_-* #,##0_-;\-* #,##0_-;_-* "-"??_-;_-@_-</c:formatCode>
                <c:ptCount val="5"/>
                <c:pt idx="0">
                  <c:v>-269326.87035117194</c:v>
                </c:pt>
                <c:pt idx="1">
                  <c:v>-54717.203333333331</c:v>
                </c:pt>
                <c:pt idx="2">
                  <c:v>-462208.67312672478</c:v>
                </c:pt>
                <c:pt idx="3">
                  <c:v>668603.22745281924</c:v>
                </c:pt>
                <c:pt idx="4">
                  <c:v>538700.27276787278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5-45D8-92E7-D741AD6A31E7}"/>
            </c:ext>
          </c:extLst>
        </c:ser>
        <c:ser>
          <c:idx val="1"/>
          <c:order val="1"/>
          <c:tx>
            <c:strRef>
              <c:f>'I - Interessi'!$A$16</c:f>
              <c:strCache>
                <c:ptCount val="1"/>
                <c:pt idx="0">
                  <c:v>ESPOSIZIONE FINANZIARIA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 - Interessi'!$B$14:$F$14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'I - Interessi'!$B$16:$F$16</c:f>
              <c:numCache>
                <c:formatCode>_-* #,##0_-;\-* #,##0_-;_-* "-"??_-;_-@_-</c:formatCode>
                <c:ptCount val="5"/>
                <c:pt idx="0">
                  <c:v>-269326.87035117194</c:v>
                </c:pt>
                <c:pt idx="1">
                  <c:v>-328891.95735082636</c:v>
                </c:pt>
                <c:pt idx="2">
                  <c:v>-797020.685709866</c:v>
                </c:pt>
                <c:pt idx="3">
                  <c:v>-142763.83059982434</c:v>
                </c:pt>
                <c:pt idx="4">
                  <c:v>395936.44216804847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5-45D8-92E7-D741AD6A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046575"/>
        <c:axId val="1312046991"/>
      </c:lineChart>
      <c:catAx>
        <c:axId val="131204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2046991"/>
        <c:crosses val="autoZero"/>
        <c:auto val="1"/>
        <c:lblAlgn val="ctr"/>
        <c:lblOffset val="100"/>
        <c:noMultiLvlLbl val="0"/>
      </c:catAx>
      <c:valAx>
        <c:axId val="131204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204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47625</xdr:colOff>
      <xdr:row>19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380999</xdr:colOff>
      <xdr:row>0</xdr:row>
      <xdr:rowOff>0</xdr:rowOff>
    </xdr:from>
    <xdr:to>
      <xdr:col>22</xdr:col>
      <xdr:colOff>447674</xdr:colOff>
      <xdr:row>20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workbookViewId="0"/>
  </sheetViews>
  <sheetFormatPr defaultRowHeight="15" x14ac:dyDescent="0.25"/>
  <cols>
    <col min="1" max="1" width="37.28515625" customWidth="1"/>
    <col min="2" max="2" width="12.28515625" customWidth="1"/>
    <col min="3" max="3" width="18.140625" customWidth="1"/>
    <col min="6" max="6" width="32.140625" customWidth="1"/>
    <col min="7" max="7" width="15.140625" customWidth="1"/>
  </cols>
  <sheetData>
    <row r="1" spans="1:7" x14ac:dyDescent="0.25">
      <c r="A1" t="s">
        <v>60</v>
      </c>
    </row>
    <row r="2" spans="1:7" ht="18.75" x14ac:dyDescent="0.3">
      <c r="A2" s="19" t="s">
        <v>96</v>
      </c>
    </row>
    <row r="5" spans="1:7" x14ac:dyDescent="0.25">
      <c r="B5" s="311" t="s">
        <v>58</v>
      </c>
      <c r="C5" s="312" t="s">
        <v>263</v>
      </c>
    </row>
    <row r="6" spans="1:7" x14ac:dyDescent="0.25">
      <c r="A6" t="s">
        <v>37</v>
      </c>
      <c r="B6" s="7">
        <v>2830</v>
      </c>
      <c r="F6" s="191" t="s">
        <v>228</v>
      </c>
      <c r="G6" s="192"/>
    </row>
    <row r="7" spans="1:7" x14ac:dyDescent="0.25">
      <c r="A7" t="s">
        <v>38</v>
      </c>
      <c r="B7" s="7">
        <v>1</v>
      </c>
      <c r="C7" s="310" t="s">
        <v>326</v>
      </c>
    </row>
    <row r="8" spans="1:7" x14ac:dyDescent="0.25">
      <c r="A8" t="s">
        <v>39</v>
      </c>
      <c r="B8" s="6">
        <f>+B7*B6</f>
        <v>2830</v>
      </c>
      <c r="C8" s="310"/>
      <c r="F8" s="191" t="s">
        <v>364</v>
      </c>
      <c r="G8" s="192"/>
    </row>
    <row r="9" spans="1:7" x14ac:dyDescent="0.25">
      <c r="A9" t="s">
        <v>40</v>
      </c>
      <c r="B9" s="7">
        <v>3</v>
      </c>
      <c r="C9" s="310" t="s">
        <v>326</v>
      </c>
      <c r="F9" s="193" t="s">
        <v>69</v>
      </c>
      <c r="G9" s="194">
        <f>IRR('Flusso di cassa'!C18:G18)</f>
        <v>0.20873969361588474</v>
      </c>
    </row>
    <row r="10" spans="1:7" x14ac:dyDescent="0.25">
      <c r="A10" t="s">
        <v>98</v>
      </c>
      <c r="B10" s="7">
        <v>7</v>
      </c>
      <c r="C10" s="310" t="s">
        <v>326</v>
      </c>
      <c r="F10" s="193" t="s">
        <v>330</v>
      </c>
      <c r="G10" s="195">
        <f>NPV(B59,'Flusso di cassa'!C18:G18)</f>
        <v>257312.40227146479</v>
      </c>
    </row>
    <row r="11" spans="1:7" x14ac:dyDescent="0.25">
      <c r="A11" t="s">
        <v>99</v>
      </c>
      <c r="B11" s="7">
        <v>2</v>
      </c>
      <c r="C11" s="310" t="s">
        <v>326</v>
      </c>
    </row>
    <row r="12" spans="1:7" x14ac:dyDescent="0.25">
      <c r="A12" t="s">
        <v>237</v>
      </c>
      <c r="B12" s="6">
        <f>+B8/B9</f>
        <v>943.33333333333337</v>
      </c>
      <c r="C12" s="310"/>
      <c r="F12" s="192"/>
      <c r="G12" s="192"/>
    </row>
    <row r="13" spans="1:7" x14ac:dyDescent="0.25">
      <c r="A13" t="s">
        <v>233</v>
      </c>
      <c r="B13" s="6">
        <f>+B16</f>
        <v>471.66666666666669</v>
      </c>
      <c r="C13" s="310"/>
      <c r="F13" s="191" t="s">
        <v>365</v>
      </c>
      <c r="G13" s="192"/>
    </row>
    <row r="14" spans="1:7" x14ac:dyDescent="0.25">
      <c r="A14" t="s">
        <v>236</v>
      </c>
      <c r="B14" s="8">
        <v>0.5</v>
      </c>
      <c r="C14" s="310" t="s">
        <v>240</v>
      </c>
      <c r="F14" s="193" t="s">
        <v>69</v>
      </c>
      <c r="G14" s="194">
        <f>IRR('Flusso di cassa'!C27:G27)</f>
        <v>0.14749209963769161</v>
      </c>
    </row>
    <row r="15" spans="1:7" x14ac:dyDescent="0.25">
      <c r="A15" t="s">
        <v>325</v>
      </c>
      <c r="B15" s="196">
        <f>+B14*B13</f>
        <v>235.83333333333334</v>
      </c>
      <c r="C15" s="313"/>
      <c r="F15" s="193" t="s">
        <v>229</v>
      </c>
      <c r="G15" s="195">
        <f>NPV(B45,'Flusso di cassa'!C27:G27)</f>
        <v>113114.84799161651</v>
      </c>
    </row>
    <row r="16" spans="1:7" x14ac:dyDescent="0.25">
      <c r="A16" t="s">
        <v>97</v>
      </c>
      <c r="B16" s="6">
        <f>+B12/B11</f>
        <v>471.66666666666669</v>
      </c>
      <c r="C16" s="313"/>
    </row>
    <row r="17" spans="1:3" x14ac:dyDescent="0.25">
      <c r="A17" t="s">
        <v>100</v>
      </c>
      <c r="B17" s="6">
        <f>+B6-B16</f>
        <v>2358.3333333333335</v>
      </c>
      <c r="C17" s="313"/>
    </row>
    <row r="18" spans="1:3" x14ac:dyDescent="0.25">
      <c r="A18" t="s">
        <v>241</v>
      </c>
      <c r="B18" s="8">
        <v>0.1</v>
      </c>
      <c r="C18" s="310" t="s">
        <v>240</v>
      </c>
    </row>
    <row r="19" spans="1:3" x14ac:dyDescent="0.25">
      <c r="A19" t="s">
        <v>323</v>
      </c>
      <c r="B19" s="196">
        <f>+B18*B12</f>
        <v>94.333333333333343</v>
      </c>
      <c r="C19" s="313"/>
    </row>
    <row r="20" spans="1:3" x14ac:dyDescent="0.25">
      <c r="A20" t="s">
        <v>242</v>
      </c>
      <c r="B20" s="8">
        <v>0.02</v>
      </c>
      <c r="C20" s="310" t="s">
        <v>240</v>
      </c>
    </row>
    <row r="21" spans="1:3" x14ac:dyDescent="0.25">
      <c r="A21" t="s">
        <v>324</v>
      </c>
      <c r="B21" s="196">
        <f>+(B17-B12)*B20</f>
        <v>28.3</v>
      </c>
      <c r="C21" s="313"/>
    </row>
    <row r="22" spans="1:3" x14ac:dyDescent="0.25">
      <c r="A22" t="s">
        <v>238</v>
      </c>
      <c r="B22" s="6">
        <f>+B12+B15+B19+B21</f>
        <v>1301.8</v>
      </c>
      <c r="C22" s="310"/>
    </row>
    <row r="23" spans="1:3" x14ac:dyDescent="0.25">
      <c r="B23" s="6"/>
    </row>
    <row r="24" spans="1:3" x14ac:dyDescent="0.25">
      <c r="B24" s="6"/>
    </row>
    <row r="25" spans="1:3" x14ac:dyDescent="0.25">
      <c r="A25" s="14" t="s">
        <v>59</v>
      </c>
    </row>
    <row r="26" spans="1:3" x14ac:dyDescent="0.25">
      <c r="A26" t="s">
        <v>57</v>
      </c>
      <c r="B26" s="8">
        <v>0.4</v>
      </c>
    </row>
    <row r="27" spans="1:3" x14ac:dyDescent="0.25">
      <c r="A27" t="s">
        <v>65</v>
      </c>
      <c r="B27" s="16">
        <v>4.4999999999999998E-2</v>
      </c>
    </row>
    <row r="28" spans="1:3" x14ac:dyDescent="0.25">
      <c r="A28" t="s">
        <v>94</v>
      </c>
      <c r="B28" s="16">
        <v>5.0000000000000001E-3</v>
      </c>
    </row>
    <row r="29" spans="1:3" x14ac:dyDescent="0.25">
      <c r="B29" s="16"/>
    </row>
    <row r="31" spans="1:3" x14ac:dyDescent="0.25">
      <c r="A31" s="14" t="s">
        <v>68</v>
      </c>
      <c r="B31" s="15"/>
    </row>
    <row r="32" spans="1:3" x14ac:dyDescent="0.25">
      <c r="A32" t="s">
        <v>63</v>
      </c>
      <c r="B32" s="13">
        <v>0.24</v>
      </c>
    </row>
    <row r="33" spans="1:3" x14ac:dyDescent="0.25">
      <c r="A33" t="s">
        <v>64</v>
      </c>
      <c r="B33" s="13">
        <v>3.9E-2</v>
      </c>
    </row>
    <row r="34" spans="1:3" x14ac:dyDescent="0.25">
      <c r="B34" s="13"/>
    </row>
    <row r="35" spans="1:3" x14ac:dyDescent="0.25">
      <c r="A35" s="14" t="s">
        <v>220</v>
      </c>
    </row>
    <row r="36" spans="1:3" x14ac:dyDescent="0.25">
      <c r="A36" s="14"/>
    </row>
    <row r="37" spans="1:3" ht="18" x14ac:dyDescent="0.35">
      <c r="A37" s="14" t="s">
        <v>221</v>
      </c>
      <c r="B37" s="182" t="s">
        <v>217</v>
      </c>
      <c r="C37" s="182" t="s">
        <v>218</v>
      </c>
    </row>
    <row r="38" spans="1:3" x14ac:dyDescent="0.25">
      <c r="A38" t="s">
        <v>366</v>
      </c>
      <c r="B38" s="188">
        <v>1.8599999999999998E-2</v>
      </c>
      <c r="C38" s="188">
        <v>1.8599999999999998E-2</v>
      </c>
    </row>
    <row r="39" spans="1:3" x14ac:dyDescent="0.25">
      <c r="A39" t="s">
        <v>367</v>
      </c>
      <c r="B39" s="188">
        <v>5.6000000000000001E-2</v>
      </c>
      <c r="C39" s="383">
        <v>6.0100000000000001E-2</v>
      </c>
    </row>
    <row r="40" spans="1:3" x14ac:dyDescent="0.25">
      <c r="A40" t="s">
        <v>66</v>
      </c>
      <c r="B40" s="189">
        <v>0.89</v>
      </c>
      <c r="C40" s="383"/>
    </row>
    <row r="41" spans="1:3" x14ac:dyDescent="0.25">
      <c r="A41" t="s">
        <v>219</v>
      </c>
      <c r="B41" s="190">
        <v>2.5999999999999999E-2</v>
      </c>
      <c r="C41" s="383"/>
    </row>
    <row r="42" spans="1:3" x14ac:dyDescent="0.25">
      <c r="A42" t="s">
        <v>231</v>
      </c>
      <c r="B42" s="183">
        <f>+B38+B40*(B39-B38)+B41</f>
        <v>7.7885999999999997E-2</v>
      </c>
      <c r="C42" s="183">
        <f>+C39+C38</f>
        <v>7.8699999999999992E-2</v>
      </c>
    </row>
    <row r="43" spans="1:3" x14ac:dyDescent="0.25">
      <c r="A43" t="s">
        <v>232</v>
      </c>
      <c r="B43" s="382">
        <f>AVERAGE(B42:C42)</f>
        <v>7.8293000000000001E-2</v>
      </c>
      <c r="C43" s="382"/>
    </row>
    <row r="44" spans="1:3" x14ac:dyDescent="0.25">
      <c r="A44" t="s">
        <v>67</v>
      </c>
      <c r="B44" s="384">
        <v>6.0000000000000001E-3</v>
      </c>
      <c r="C44" s="384"/>
    </row>
    <row r="45" spans="1:3" x14ac:dyDescent="0.25">
      <c r="A45" t="s">
        <v>327</v>
      </c>
      <c r="B45" s="382">
        <f>+(1+B43)/(1+B44)-1</f>
        <v>7.1861829025844814E-2</v>
      </c>
      <c r="C45" s="382"/>
    </row>
    <row r="46" spans="1:3" x14ac:dyDescent="0.25">
      <c r="B46" s="184"/>
      <c r="C46" s="184"/>
    </row>
    <row r="47" spans="1:3" ht="18" x14ac:dyDescent="0.35">
      <c r="A47" s="14" t="s">
        <v>222</v>
      </c>
      <c r="B47" s="184"/>
      <c r="C47" s="184"/>
    </row>
    <row r="48" spans="1:3" x14ac:dyDescent="0.25">
      <c r="A48" t="s">
        <v>223</v>
      </c>
      <c r="B48" s="187">
        <f>+B27</f>
        <v>4.4999999999999998E-2</v>
      </c>
      <c r="C48" s="184"/>
    </row>
    <row r="49" spans="1:3" x14ac:dyDescent="0.25">
      <c r="A49" t="s">
        <v>68</v>
      </c>
      <c r="B49" s="187">
        <f>+B32+B33</f>
        <v>0.27899999999999997</v>
      </c>
    </row>
    <row r="50" spans="1:3" x14ac:dyDescent="0.25">
      <c r="A50" t="s">
        <v>224</v>
      </c>
      <c r="B50" s="187">
        <f>+B48*(1-B49)</f>
        <v>3.2445000000000002E-2</v>
      </c>
    </row>
    <row r="51" spans="1:3" x14ac:dyDescent="0.25">
      <c r="A51" t="s">
        <v>67</v>
      </c>
      <c r="B51" s="187">
        <f>+B44</f>
        <v>6.0000000000000001E-3</v>
      </c>
    </row>
    <row r="52" spans="1:3" x14ac:dyDescent="0.25">
      <c r="A52" t="s">
        <v>230</v>
      </c>
      <c r="B52" s="187">
        <f>+(1+B50)/(1+B51)-1</f>
        <v>2.6287276341948385E-2</v>
      </c>
      <c r="C52" s="186"/>
    </row>
    <row r="53" spans="1:3" x14ac:dyDescent="0.25">
      <c r="B53" s="186"/>
      <c r="C53" s="186"/>
    </row>
    <row r="54" spans="1:3" x14ac:dyDescent="0.25">
      <c r="A54" s="14" t="s">
        <v>225</v>
      </c>
      <c r="B54" s="186"/>
      <c r="C54" s="186"/>
    </row>
    <row r="55" spans="1:3" x14ac:dyDescent="0.25">
      <c r="A55" t="s">
        <v>226</v>
      </c>
      <c r="B55" s="186">
        <f>+B26</f>
        <v>0.4</v>
      </c>
      <c r="C55" s="186"/>
    </row>
    <row r="56" spans="1:3" x14ac:dyDescent="0.25">
      <c r="A56" t="s">
        <v>230</v>
      </c>
      <c r="B56" s="186">
        <f>+B52</f>
        <v>2.6287276341948385E-2</v>
      </c>
      <c r="C56" s="186"/>
    </row>
    <row r="57" spans="1:3" x14ac:dyDescent="0.25">
      <c r="A57" t="s">
        <v>227</v>
      </c>
      <c r="B57" s="186">
        <f>1-B55</f>
        <v>0.6</v>
      </c>
      <c r="C57" s="186"/>
    </row>
    <row r="58" spans="1:3" x14ac:dyDescent="0.25">
      <c r="A58" t="s">
        <v>328</v>
      </c>
      <c r="B58" s="186">
        <f>+B45</f>
        <v>7.1861829025844814E-2</v>
      </c>
      <c r="C58" s="186"/>
    </row>
    <row r="59" spans="1:3" x14ac:dyDescent="0.25">
      <c r="A59" t="s">
        <v>329</v>
      </c>
      <c r="B59" s="186">
        <f>+B58*B57+B56*B55</f>
        <v>5.3632007952286238E-2</v>
      </c>
      <c r="C59" s="186"/>
    </row>
    <row r="60" spans="1:3" x14ac:dyDescent="0.25">
      <c r="B60" s="185"/>
      <c r="C60" s="186"/>
    </row>
    <row r="61" spans="1:3" x14ac:dyDescent="0.25">
      <c r="B61" s="186"/>
    </row>
  </sheetData>
  <mergeCells count="4">
    <mergeCell ref="B45:C45"/>
    <mergeCell ref="C39:C41"/>
    <mergeCell ref="B43:C43"/>
    <mergeCell ref="B44:C4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B3" sqref="B3:C6"/>
    </sheetView>
  </sheetViews>
  <sheetFormatPr defaultRowHeight="15" x14ac:dyDescent="0.25"/>
  <cols>
    <col min="1" max="1" width="6.85546875" customWidth="1"/>
    <col min="2" max="2" width="20.140625" customWidth="1"/>
    <col min="3" max="3" width="13.28515625" bestFit="1" customWidth="1"/>
  </cols>
  <sheetData>
    <row r="1" spans="1:3" x14ac:dyDescent="0.25">
      <c r="A1" t="s">
        <v>76</v>
      </c>
    </row>
    <row r="3" spans="1:3" x14ac:dyDescent="0.25">
      <c r="B3" s="46"/>
      <c r="C3" s="204" t="s">
        <v>320</v>
      </c>
    </row>
    <row r="4" spans="1:3" x14ac:dyDescent="0.25">
      <c r="A4" s="1" t="s">
        <v>13</v>
      </c>
      <c r="B4" s="43" t="s">
        <v>54</v>
      </c>
      <c r="C4" s="86">
        <f>+'RT - Ricavi totali'!D3</f>
        <v>2875199.6226595901</v>
      </c>
    </row>
    <row r="5" spans="1:3" x14ac:dyDescent="0.25">
      <c r="B5" s="43" t="s">
        <v>31</v>
      </c>
      <c r="C5" s="307">
        <v>0.03</v>
      </c>
    </row>
    <row r="6" spans="1:3" x14ac:dyDescent="0.25">
      <c r="B6" s="44" t="s">
        <v>55</v>
      </c>
      <c r="C6" s="308">
        <f>+C5*C4</f>
        <v>86255.988679787697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6"/>
  <sheetViews>
    <sheetView workbookViewId="0">
      <selection activeCell="A17" sqref="A17"/>
    </sheetView>
  </sheetViews>
  <sheetFormatPr defaultRowHeight="15" x14ac:dyDescent="0.25"/>
  <cols>
    <col min="1" max="1" width="24.28515625" customWidth="1"/>
    <col min="2" max="2" width="12" bestFit="1" customWidth="1"/>
    <col min="3" max="3" width="13.42578125" bestFit="1" customWidth="1"/>
    <col min="4" max="4" width="11.85546875" bestFit="1" customWidth="1"/>
    <col min="5" max="6" width="12.140625" bestFit="1" customWidth="1"/>
    <col min="7" max="7" width="11.5703125" customWidth="1"/>
  </cols>
  <sheetData>
    <row r="1" spans="1:8" x14ac:dyDescent="0.25">
      <c r="A1" t="s">
        <v>77</v>
      </c>
    </row>
    <row r="3" spans="1:8" x14ac:dyDescent="0.25">
      <c r="A3" s="419"/>
      <c r="B3" s="390" t="s">
        <v>359</v>
      </c>
      <c r="C3" s="391"/>
      <c r="D3" s="391"/>
      <c r="E3" s="391"/>
      <c r="F3" s="391"/>
      <c r="G3" s="419" t="s">
        <v>6</v>
      </c>
    </row>
    <row r="4" spans="1:8" x14ac:dyDescent="0.25">
      <c r="A4" s="421"/>
      <c r="B4" s="377">
        <v>0</v>
      </c>
      <c r="C4" s="378">
        <v>1</v>
      </c>
      <c r="D4" s="376">
        <v>2</v>
      </c>
      <c r="E4" s="378">
        <v>3</v>
      </c>
      <c r="F4" s="376">
        <v>4</v>
      </c>
      <c r="G4" s="420"/>
    </row>
    <row r="5" spans="1:8" x14ac:dyDescent="0.25">
      <c r="A5" s="360" t="s">
        <v>56</v>
      </c>
      <c r="B5" s="364">
        <f>+'Flusso di cassa'!C18</f>
        <v>-269326.87035117194</v>
      </c>
      <c r="C5" s="71">
        <f>+'Flusso di cassa'!D18</f>
        <v>-54717.203333333331</v>
      </c>
      <c r="D5" s="364">
        <f>+'Flusso di cassa'!E18</f>
        <v>-462208.67312672478</v>
      </c>
      <c r="E5" s="71">
        <f>+'Flusso di cassa'!F18</f>
        <v>668603.22745281924</v>
      </c>
      <c r="F5" s="381">
        <f>+'Flusso di cassa'!G18</f>
        <v>538700.27276787278</v>
      </c>
      <c r="G5" s="361">
        <f>SUM(B5:F5)</f>
        <v>421050.75340946205</v>
      </c>
      <c r="H5" s="18"/>
    </row>
    <row r="6" spans="1:8" x14ac:dyDescent="0.25">
      <c r="A6" s="360" t="s">
        <v>92</v>
      </c>
      <c r="B6" s="364">
        <f>+B5</f>
        <v>-269326.87035117194</v>
      </c>
      <c r="C6" s="71">
        <f>+B6+C5+B8</f>
        <v>-328891.95735082636</v>
      </c>
      <c r="D6" s="364">
        <f t="shared" ref="D6:F6" si="0">+C6+D5+C8</f>
        <v>-797020.685709866</v>
      </c>
      <c r="E6" s="71">
        <f t="shared" si="0"/>
        <v>-142763.83059982434</v>
      </c>
      <c r="F6" s="364">
        <f t="shared" si="0"/>
        <v>393366.69321725162</v>
      </c>
      <c r="G6" s="71"/>
      <c r="H6" s="18"/>
    </row>
    <row r="7" spans="1:8" x14ac:dyDescent="0.25">
      <c r="A7" s="50"/>
      <c r="B7" s="99">
        <f>+B6*Descrizione!$B$26*Descrizione!$B$27</f>
        <v>-4847.883666321095</v>
      </c>
      <c r="C7" s="361">
        <f>+C6*Descrizione!$B$26*Descrizione!$B$27</f>
        <v>-5920.055232314874</v>
      </c>
      <c r="D7" s="99">
        <f>+D6*Descrizione!$B$26*Descrizione!$B$27</f>
        <v>-14346.372342777589</v>
      </c>
      <c r="E7" s="361">
        <f>+E6*Descrizione!$B$26*Descrizione!$B$27</f>
        <v>-2569.7489507968385</v>
      </c>
      <c r="F7" s="99">
        <f>+F6*Descrizione!$B$26*Descrizione!$B$27</f>
        <v>7080.6004779105297</v>
      </c>
      <c r="G7" s="88"/>
    </row>
    <row r="8" spans="1:8" x14ac:dyDescent="0.25">
      <c r="A8" s="51" t="s">
        <v>61</v>
      </c>
      <c r="B8" s="357">
        <f>IF(B6&lt;0,B7,0)</f>
        <v>-4847.883666321095</v>
      </c>
      <c r="C8" s="75">
        <f t="shared" ref="C8:F8" si="1">IF(C6&lt;0,C7,0)</f>
        <v>-5920.055232314874</v>
      </c>
      <c r="D8" s="357">
        <f t="shared" si="1"/>
        <v>-14346.372342777589</v>
      </c>
      <c r="E8" s="75">
        <f t="shared" si="1"/>
        <v>-2569.7489507968385</v>
      </c>
      <c r="F8" s="357">
        <f t="shared" si="1"/>
        <v>0</v>
      </c>
      <c r="G8" s="84">
        <f>SUM(B8:F8)</f>
        <v>-27684.0601922104</v>
      </c>
      <c r="H8" s="18"/>
    </row>
    <row r="9" spans="1:8" x14ac:dyDescent="0.25">
      <c r="A9" s="50" t="s">
        <v>93</v>
      </c>
      <c r="B9" s="99">
        <f>IF(B6&lt;0,B6,B9+B10)</f>
        <v>-269326.87035117194</v>
      </c>
      <c r="C9" s="361">
        <f>IF(C6&lt;0,C6,+B9+C5+B11)</f>
        <v>-328891.95735082636</v>
      </c>
      <c r="D9" s="99">
        <f>IF(D6&lt;0,D6,+C9+D5+C11)</f>
        <v>-797020.685709866</v>
      </c>
      <c r="E9" s="361">
        <f>IF(E6&lt;0,E6,+D9+E5+D11)</f>
        <v>-142763.83059982434</v>
      </c>
      <c r="F9" s="99">
        <f>IF(F6&lt;0,F6,+E9+F5+E11)</f>
        <v>395936.44216804847</v>
      </c>
      <c r="G9" s="50"/>
    </row>
    <row r="10" spans="1:8" x14ac:dyDescent="0.25">
      <c r="A10" s="50"/>
      <c r="B10" s="99">
        <f>+B9*Descrizione!$B$28</f>
        <v>-1346.6343517558596</v>
      </c>
      <c r="C10" s="361">
        <f>+C9*Descrizione!$B$28</f>
        <v>-1644.4597867541318</v>
      </c>
      <c r="D10" s="99">
        <f>+D9*Descrizione!$B$28</f>
        <v>-3985.1034285493301</v>
      </c>
      <c r="E10" s="361">
        <f>+E9*Descrizione!$B$28</f>
        <v>-713.81915299912168</v>
      </c>
      <c r="F10" s="99">
        <f>+F9*Descrizione!$B$28</f>
        <v>1979.6822108402423</v>
      </c>
      <c r="G10" s="50"/>
    </row>
    <row r="11" spans="1:8" x14ac:dyDescent="0.25">
      <c r="A11" s="51" t="s">
        <v>216</v>
      </c>
      <c r="B11" s="357">
        <f>IF(B9&gt;0,B10,0)</f>
        <v>0</v>
      </c>
      <c r="C11" s="75">
        <f t="shared" ref="C11:F11" si="2">IF(C9&gt;0,C10,0)</f>
        <v>0</v>
      </c>
      <c r="D11" s="357">
        <f t="shared" si="2"/>
        <v>0</v>
      </c>
      <c r="E11" s="75">
        <f t="shared" si="2"/>
        <v>0</v>
      </c>
      <c r="F11" s="357">
        <f t="shared" si="2"/>
        <v>1979.6822108402423</v>
      </c>
      <c r="G11" s="84">
        <f>SUM(B11:F11)</f>
        <v>1979.6822108402423</v>
      </c>
    </row>
    <row r="12" spans="1:8" x14ac:dyDescent="0.25">
      <c r="A12" s="51" t="s">
        <v>90</v>
      </c>
      <c r="B12" s="357">
        <f>+B8+B11</f>
        <v>-4847.883666321095</v>
      </c>
      <c r="C12" s="75">
        <f>+C8+C11</f>
        <v>-5920.055232314874</v>
      </c>
      <c r="D12" s="357">
        <f>+D8+D11</f>
        <v>-14346.372342777589</v>
      </c>
      <c r="E12" s="75">
        <f>+E8+E11</f>
        <v>-2569.7489507968385</v>
      </c>
      <c r="F12" s="357">
        <f>+F8+F11</f>
        <v>1979.6822108402423</v>
      </c>
      <c r="G12" s="84">
        <f>SUM(B12:F12)</f>
        <v>-25704.377981370159</v>
      </c>
    </row>
    <row r="14" spans="1:8" x14ac:dyDescent="0.25">
      <c r="B14">
        <f t="shared" ref="B14:F15" si="3">+B4</f>
        <v>0</v>
      </c>
      <c r="C14">
        <f t="shared" si="3"/>
        <v>1</v>
      </c>
      <c r="D14">
        <f t="shared" si="3"/>
        <v>2</v>
      </c>
      <c r="E14">
        <f t="shared" si="3"/>
        <v>3</v>
      </c>
      <c r="F14">
        <f t="shared" si="3"/>
        <v>4</v>
      </c>
    </row>
    <row r="15" spans="1:8" x14ac:dyDescent="0.25">
      <c r="A15" t="s">
        <v>357</v>
      </c>
      <c r="B15" s="18">
        <f t="shared" si="3"/>
        <v>-269326.87035117194</v>
      </c>
      <c r="C15" s="18">
        <f t="shared" si="3"/>
        <v>-54717.203333333331</v>
      </c>
      <c r="D15" s="18">
        <f t="shared" si="3"/>
        <v>-462208.67312672478</v>
      </c>
      <c r="E15" s="18">
        <f t="shared" si="3"/>
        <v>668603.22745281924</v>
      </c>
      <c r="F15" s="18">
        <f t="shared" si="3"/>
        <v>538700.27276787278</v>
      </c>
    </row>
    <row r="16" spans="1:8" x14ac:dyDescent="0.25">
      <c r="A16" t="s">
        <v>363</v>
      </c>
      <c r="B16" s="18">
        <f>IF(B6&lt;0,B6,B9)</f>
        <v>-269326.87035117194</v>
      </c>
      <c r="C16" s="18">
        <f>IF(C6&lt;0,C6,C9)</f>
        <v>-328891.95735082636</v>
      </c>
      <c r="D16" s="18">
        <f>IF(D6&lt;0,D6,D9)</f>
        <v>-797020.685709866</v>
      </c>
      <c r="E16" s="18">
        <f>IF(E6&lt;0,E6,E9)</f>
        <v>-142763.83059982434</v>
      </c>
      <c r="F16" s="18">
        <f>IF(F6&lt;0,F6,F9)</f>
        <v>395936.44216804847</v>
      </c>
    </row>
  </sheetData>
  <mergeCells count="3">
    <mergeCell ref="B3:F3"/>
    <mergeCell ref="G3:G4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workbookViewId="0">
      <selection activeCell="A3" sqref="A3:F8"/>
    </sheetView>
  </sheetViews>
  <sheetFormatPr defaultRowHeight="15" x14ac:dyDescent="0.25"/>
  <cols>
    <col min="1" max="1" width="24.28515625" customWidth="1"/>
    <col min="2" max="2" width="12" bestFit="1" customWidth="1"/>
    <col min="3" max="3" width="13.42578125" bestFit="1" customWidth="1"/>
    <col min="4" max="4" width="11.85546875" bestFit="1" customWidth="1"/>
    <col min="5" max="6" width="12.140625" bestFit="1" customWidth="1"/>
    <col min="7" max="7" width="11.5703125" customWidth="1"/>
  </cols>
  <sheetData>
    <row r="1" spans="1:7" x14ac:dyDescent="0.25">
      <c r="A1" t="s">
        <v>62</v>
      </c>
    </row>
    <row r="3" spans="1:7" x14ac:dyDescent="0.25">
      <c r="A3" s="419"/>
      <c r="B3" s="390" t="s">
        <v>359</v>
      </c>
      <c r="C3" s="391"/>
      <c r="D3" s="391"/>
      <c r="E3" s="391"/>
      <c r="F3" s="392"/>
      <c r="G3" s="1"/>
    </row>
    <row r="4" spans="1:7" x14ac:dyDescent="0.25">
      <c r="A4" s="420"/>
      <c r="B4" s="348">
        <v>0</v>
      </c>
      <c r="C4" s="347">
        <v>1</v>
      </c>
      <c r="D4" s="349">
        <v>2</v>
      </c>
      <c r="E4" s="347">
        <v>3</v>
      </c>
      <c r="F4" s="350">
        <v>4</v>
      </c>
      <c r="G4" s="1"/>
    </row>
    <row r="5" spans="1:7" x14ac:dyDescent="0.25">
      <c r="A5" s="50" t="s">
        <v>360</v>
      </c>
      <c r="B5" s="99">
        <f>+'I - Interessi'!B16</f>
        <v>-269326.87035117194</v>
      </c>
      <c r="C5" s="361">
        <f>+'I - Interessi'!C16</f>
        <v>-328891.95735082636</v>
      </c>
      <c r="D5" s="99">
        <f>+'I - Interessi'!D16</f>
        <v>-797020.685709866</v>
      </c>
      <c r="E5" s="361">
        <f>+'I - Interessi'!E16</f>
        <v>-142763.83059982434</v>
      </c>
      <c r="F5" s="98">
        <f>+'I - Interessi'!F16</f>
        <v>395936.44216804847</v>
      </c>
      <c r="G5" s="17"/>
    </row>
    <row r="6" spans="1:7" x14ac:dyDescent="0.25">
      <c r="A6" s="50"/>
      <c r="B6" s="99">
        <f>IF(B5&gt;0,B5,0)</f>
        <v>0</v>
      </c>
      <c r="C6" s="361">
        <f t="shared" ref="C6:F6" si="0">IF(C5&gt;0,C5,0)</f>
        <v>0</v>
      </c>
      <c r="D6" s="99">
        <f t="shared" si="0"/>
        <v>0</v>
      </c>
      <c r="E6" s="361">
        <f t="shared" si="0"/>
        <v>0</v>
      </c>
      <c r="F6" s="98">
        <f t="shared" si="0"/>
        <v>395936.44216804847</v>
      </c>
      <c r="G6" s="17"/>
    </row>
    <row r="7" spans="1:7" x14ac:dyDescent="0.25">
      <c r="A7" s="50" t="s">
        <v>95</v>
      </c>
      <c r="B7" s="99">
        <f>+B6</f>
        <v>0</v>
      </c>
      <c r="C7" s="361">
        <f>+C6-B6</f>
        <v>0</v>
      </c>
      <c r="D7" s="99">
        <f t="shared" ref="D7:F7" si="1">+D6-C6</f>
        <v>0</v>
      </c>
      <c r="E7" s="361">
        <f t="shared" si="1"/>
        <v>0</v>
      </c>
      <c r="F7" s="98">
        <f t="shared" si="1"/>
        <v>395936.44216804847</v>
      </c>
      <c r="G7" s="17"/>
    </row>
    <row r="8" spans="1:7" x14ac:dyDescent="0.25">
      <c r="A8" s="9" t="s">
        <v>10</v>
      </c>
      <c r="B8" s="379">
        <f>+B7*(Descrizione!$B$32+Descrizione!$B$33)</f>
        <v>0</v>
      </c>
      <c r="C8" s="78">
        <f>+C7*(Descrizione!$B$32+Descrizione!$B$33)</f>
        <v>0</v>
      </c>
      <c r="D8" s="379">
        <f>+D7*(Descrizione!$B$32+Descrizione!$B$33)</f>
        <v>0</v>
      </c>
      <c r="E8" s="78">
        <f>+E7*(Descrizione!$B$32+Descrizione!$B$33)</f>
        <v>0</v>
      </c>
      <c r="F8" s="380">
        <f>+F7*(Descrizione!$B$32+Descrizione!$B$33)</f>
        <v>110466.26736488551</v>
      </c>
      <c r="G8" s="18"/>
    </row>
    <row r="9" spans="1:7" x14ac:dyDescent="0.25">
      <c r="B9" s="17"/>
      <c r="C9" s="17"/>
      <c r="D9" s="17"/>
      <c r="E9" s="17"/>
      <c r="F9" s="17"/>
      <c r="G9" s="18"/>
    </row>
    <row r="10" spans="1:7" x14ac:dyDescent="0.25">
      <c r="B10" s="17"/>
      <c r="C10" s="17"/>
      <c r="D10" s="17"/>
      <c r="E10" s="17"/>
      <c r="F10" s="17"/>
      <c r="G10" s="18"/>
    </row>
    <row r="11" spans="1:7" x14ac:dyDescent="0.25">
      <c r="B11" s="17"/>
      <c r="C11" s="17"/>
      <c r="D11" s="17"/>
      <c r="E11" s="17"/>
      <c r="F11" s="17"/>
      <c r="G11" s="18"/>
    </row>
    <row r="12" spans="1:7" x14ac:dyDescent="0.25">
      <c r="B12" s="17"/>
      <c r="C12" s="17"/>
      <c r="D12" s="17"/>
      <c r="E12" s="17"/>
      <c r="F12" s="17"/>
      <c r="G12" s="18"/>
    </row>
  </sheetData>
  <mergeCells count="2">
    <mergeCell ref="B3:F3"/>
    <mergeCell ref="A3:A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31"/>
  <sheetViews>
    <sheetView zoomScale="130" zoomScaleNormal="130" workbookViewId="0">
      <selection activeCell="H18" sqref="A2:H18"/>
    </sheetView>
  </sheetViews>
  <sheetFormatPr defaultRowHeight="15" x14ac:dyDescent="0.25"/>
  <cols>
    <col min="1" max="1" width="5.85546875" customWidth="1"/>
    <col min="2" max="2" width="27.5703125" customWidth="1"/>
    <col min="3" max="3" width="13.5703125" bestFit="1" customWidth="1"/>
    <col min="4" max="4" width="12.42578125" bestFit="1" customWidth="1"/>
    <col min="5" max="5" width="12.28515625" bestFit="1" customWidth="1"/>
    <col min="6" max="6" width="12.42578125" bestFit="1" customWidth="1"/>
    <col min="7" max="7" width="12.42578125" customWidth="1"/>
    <col min="8" max="8" width="14.7109375" customWidth="1"/>
  </cols>
  <sheetData>
    <row r="2" spans="1:8" x14ac:dyDescent="0.25">
      <c r="A2" s="422"/>
      <c r="B2" s="423"/>
      <c r="C2" s="390" t="s">
        <v>359</v>
      </c>
      <c r="D2" s="391"/>
      <c r="E2" s="391"/>
      <c r="F2" s="391"/>
      <c r="G2" s="391"/>
      <c r="H2" s="426" t="s">
        <v>6</v>
      </c>
    </row>
    <row r="3" spans="1:8" x14ac:dyDescent="0.25">
      <c r="A3" s="424"/>
      <c r="B3" s="429"/>
      <c r="C3" s="374">
        <v>0</v>
      </c>
      <c r="D3" s="347">
        <v>1</v>
      </c>
      <c r="E3" s="375">
        <v>2</v>
      </c>
      <c r="F3" s="347">
        <v>3</v>
      </c>
      <c r="G3" s="375">
        <v>4</v>
      </c>
      <c r="H3" s="428"/>
    </row>
    <row r="4" spans="1:8" x14ac:dyDescent="0.25">
      <c r="A4" s="371" t="s">
        <v>358</v>
      </c>
      <c r="B4" s="372"/>
      <c r="C4" s="49"/>
      <c r="D4" s="360"/>
      <c r="E4" s="49"/>
      <c r="F4" s="360"/>
      <c r="G4" s="49"/>
      <c r="H4" s="373"/>
    </row>
    <row r="5" spans="1:8" x14ac:dyDescent="0.25">
      <c r="A5" s="70" t="s">
        <v>78</v>
      </c>
      <c r="B5" s="363" t="s">
        <v>11</v>
      </c>
      <c r="C5" s="364">
        <f>+'Ca - Costo area'!$B$14*'Distribuzione Costi&amp;Ricavi'!C4</f>
        <v>269326.87035117194</v>
      </c>
      <c r="D5" s="71">
        <f>+'Ca - Costo area'!$B$14*'Distribuzione Costi&amp;Ricavi'!D4</f>
        <v>0</v>
      </c>
      <c r="E5" s="364">
        <f>+'Ca - Costo area'!$B$14*'Distribuzione Costi&amp;Ricavi'!E4</f>
        <v>0</v>
      </c>
      <c r="F5" s="71">
        <f>+'Ca - Costo area'!$B$14*'Distribuzione Costi&amp;Ricavi'!F4</f>
        <v>0</v>
      </c>
      <c r="G5" s="364">
        <f>+'Ca - Costo area'!$B$14*'Distribuzione Costi&amp;Ricavi'!G4</f>
        <v>0</v>
      </c>
      <c r="H5" s="71">
        <f t="shared" ref="H5:H15" si="0">SUM(C5:G5)</f>
        <v>269326.87035117194</v>
      </c>
    </row>
    <row r="6" spans="1:8" x14ac:dyDescent="0.25">
      <c r="A6" s="43" t="s">
        <v>79</v>
      </c>
      <c r="B6" s="218" t="s">
        <v>18</v>
      </c>
      <c r="C6" s="99">
        <f>+'On - Oneri concessori'!$B$17*'Distribuzione Costi&amp;Ricavi'!C5</f>
        <v>0</v>
      </c>
      <c r="D6" s="361">
        <f>+'On - Oneri concessori'!$B$17*'Distribuzione Costi&amp;Ricavi'!D5</f>
        <v>35386.16333333333</v>
      </c>
      <c r="E6" s="99">
        <f>+'On - Oneri concessori'!$B$17*'Distribuzione Costi&amp;Ricavi'!E5</f>
        <v>35386.16333333333</v>
      </c>
      <c r="F6" s="361">
        <f>+'On - Oneri concessori'!$B$17*'Distribuzione Costi&amp;Ricavi'!F5</f>
        <v>0</v>
      </c>
      <c r="G6" s="99">
        <f>+'On - Oneri concessori'!$B$17*'Distribuzione Costi&amp;Ricavi'!G5</f>
        <v>0</v>
      </c>
      <c r="H6" s="361">
        <f t="shared" si="0"/>
        <v>70772.32666666666</v>
      </c>
    </row>
    <row r="7" spans="1:8" x14ac:dyDescent="0.25">
      <c r="A7" s="43" t="s">
        <v>80</v>
      </c>
      <c r="B7" s="218" t="s">
        <v>1</v>
      </c>
      <c r="C7" s="99">
        <f t="shared" ref="C7:G7" si="1">SUM(C8:C11)</f>
        <v>0</v>
      </c>
      <c r="D7" s="361">
        <f t="shared" si="1"/>
        <v>18768</v>
      </c>
      <c r="E7" s="99">
        <f t="shared" si="1"/>
        <v>1155414.8583139046</v>
      </c>
      <c r="F7" s="361">
        <f t="shared" si="1"/>
        <v>405565.94332556188</v>
      </c>
      <c r="G7" s="99">
        <f t="shared" si="1"/>
        <v>270377.29555037461</v>
      </c>
      <c r="H7" s="361">
        <f t="shared" si="0"/>
        <v>1850126.0971898411</v>
      </c>
    </row>
    <row r="8" spans="1:8" x14ac:dyDescent="0.25">
      <c r="A8" s="353" t="s">
        <v>81</v>
      </c>
      <c r="B8" s="359" t="s">
        <v>19</v>
      </c>
      <c r="C8" s="354">
        <f>+'Cc - Costo costruzione'!$D$4*'Distribuzione Costi&amp;Ricavi'!C7</f>
        <v>0</v>
      </c>
      <c r="D8" s="362">
        <f>+'Cc - Costo costruzione'!$D$4*'Distribuzione Costi&amp;Ricavi'!D7</f>
        <v>18768</v>
      </c>
      <c r="E8" s="354">
        <f>+'Cc - Costo costruzione'!$D$4*'Distribuzione Costi&amp;Ricavi'!E7</f>
        <v>0</v>
      </c>
      <c r="F8" s="362">
        <f>+'Cc - Costo costruzione'!$D$4*'Distribuzione Costi&amp;Ricavi'!F7</f>
        <v>0</v>
      </c>
      <c r="G8" s="354">
        <f>+'Cc - Costo costruzione'!$D$4*'Distribuzione Costi&amp;Ricavi'!G7</f>
        <v>0</v>
      </c>
      <c r="H8" s="362">
        <f t="shared" si="0"/>
        <v>18768</v>
      </c>
    </row>
    <row r="9" spans="1:8" x14ac:dyDescent="0.25">
      <c r="A9" s="353" t="s">
        <v>82</v>
      </c>
      <c r="B9" s="359" t="s">
        <v>12</v>
      </c>
      <c r="C9" s="354">
        <f>+'Cc - Costo costruzione'!$D$5*'Distribuzione Costi&amp;Ricavi'!C8</f>
        <v>0</v>
      </c>
      <c r="D9" s="362">
        <f>+'Cc - Costo costruzione'!$D$5*'Distribuzione Costi&amp;Ricavi'!D8</f>
        <v>0</v>
      </c>
      <c r="E9" s="354">
        <f>+'Cc - Costo costruzione'!$D$5*'Distribuzione Costi&amp;Ricavi'!E8</f>
        <v>141500</v>
      </c>
      <c r="F9" s="362">
        <f>+'Cc - Costo costruzione'!$D$5*'Distribuzione Costi&amp;Ricavi'!F8</f>
        <v>0</v>
      </c>
      <c r="G9" s="354">
        <f>+'Cc - Costo costruzione'!$D$5*'Distribuzione Costi&amp;Ricavi'!G8</f>
        <v>0</v>
      </c>
      <c r="H9" s="362">
        <f t="shared" si="0"/>
        <v>141500</v>
      </c>
    </row>
    <row r="10" spans="1:8" x14ac:dyDescent="0.25">
      <c r="A10" s="353" t="s">
        <v>83</v>
      </c>
      <c r="B10" s="359" t="s">
        <v>2</v>
      </c>
      <c r="C10" s="354">
        <f>+'Cc - Costo costruzione'!$D$6*'Distribuzione Costi&amp;Ricavi'!C9</f>
        <v>0</v>
      </c>
      <c r="D10" s="362">
        <f>+'Cc - Costo costruzione'!$D$6*'Distribuzione Costi&amp;Ricavi'!D9</f>
        <v>0</v>
      </c>
      <c r="E10" s="354">
        <f>+'Cc - Costo costruzione'!$D$6*'Distribuzione Costi&amp;Ricavi'!E9</f>
        <v>675943.23887593648</v>
      </c>
      <c r="F10" s="362">
        <f>+'Cc - Costo costruzione'!$D$6*'Distribuzione Costi&amp;Ricavi'!F9</f>
        <v>405565.94332556188</v>
      </c>
      <c r="G10" s="354">
        <f>+'Cc - Costo costruzione'!$D$6*'Distribuzione Costi&amp;Ricavi'!G9</f>
        <v>270377.29555037461</v>
      </c>
      <c r="H10" s="362">
        <f t="shared" si="0"/>
        <v>1351886.477751873</v>
      </c>
    </row>
    <row r="11" spans="1:8" x14ac:dyDescent="0.25">
      <c r="A11" s="353" t="s">
        <v>84</v>
      </c>
      <c r="B11" s="359" t="s">
        <v>3</v>
      </c>
      <c r="C11" s="354">
        <f>+'Cc - Costo costruzione'!$D$7*'Distribuzione Costi&amp;Ricavi'!C10</f>
        <v>0</v>
      </c>
      <c r="D11" s="362">
        <f>+'Cc - Costo costruzione'!$D$7*'Distribuzione Costi&amp;Ricavi'!D10</f>
        <v>0</v>
      </c>
      <c r="E11" s="354">
        <f>+'Cc - Costo costruzione'!$D$7*'Distribuzione Costi&amp;Ricavi'!E10</f>
        <v>337971.61943796824</v>
      </c>
      <c r="F11" s="362">
        <f>+'Cc - Costo costruzione'!$D$7*'Distribuzione Costi&amp;Ricavi'!F10</f>
        <v>0</v>
      </c>
      <c r="G11" s="354">
        <f>+'Cc - Costo costruzione'!$D$7*'Distribuzione Costi&amp;Ricavi'!G10</f>
        <v>0</v>
      </c>
      <c r="H11" s="362">
        <f t="shared" si="0"/>
        <v>337971.61943796824</v>
      </c>
    </row>
    <row r="12" spans="1:8" x14ac:dyDescent="0.25">
      <c r="A12" s="43" t="s">
        <v>85</v>
      </c>
      <c r="B12" s="218" t="s">
        <v>0</v>
      </c>
      <c r="C12" s="99">
        <f>+C8*'St - Spese tecniche'!$C4+C9*'St - Spese tecniche'!$C5+'Flusso di cassa'!C10*'St - Spese tecniche'!$C6+'Flusso di cassa'!C11*'St - Spese tecniche'!$C7</f>
        <v>0</v>
      </c>
      <c r="D12" s="361">
        <f>+D8*'St - Spese tecniche'!$C4+D9*'St - Spese tecniche'!$C5+'Flusso di cassa'!D10*'St - Spese tecniche'!$C6+'Flusso di cassa'!D11*'St - Spese tecniche'!$C7</f>
        <v>0</v>
      </c>
      <c r="E12" s="99">
        <f>+E8*'St - Spese tecniche'!$C4+E9*'St - Spese tecniche'!$C5+'Flusso di cassa'!E10*'St - Spese tecniche'!$C6+'Flusso di cassa'!E11*'St - Spese tecniche'!$C7</f>
        <v>71289.607693213969</v>
      </c>
      <c r="F12" s="361">
        <f>+F8*'St - Spese tecniche'!$C4+F9*'St - Spese tecniche'!$C5+'Flusso di cassa'!F10*'St - Spese tecniche'!$C6+'Flusso di cassa'!F11*'St - Spese tecniche'!$C7</f>
        <v>28389.616032789334</v>
      </c>
      <c r="G12" s="99">
        <f>+G8*'St - Spese tecniche'!$C4+G9*'St - Spese tecniche'!$C5+'Flusso di cassa'!G10*'St - Spese tecniche'!$C6+'Flusso di cassa'!G11*'St - Spese tecniche'!$C7</f>
        <v>18926.410688526223</v>
      </c>
      <c r="H12" s="361">
        <f t="shared" si="0"/>
        <v>118605.63441452952</v>
      </c>
    </row>
    <row r="13" spans="1:8" x14ac:dyDescent="0.25">
      <c r="A13" s="43" t="s">
        <v>86</v>
      </c>
      <c r="B13" s="218" t="s">
        <v>5</v>
      </c>
      <c r="C13" s="99">
        <f>+'Sg - Spese generali'!$B$7*('Flusso di cassa'!C7+'Flusso di cassa'!C12)</f>
        <v>0</v>
      </c>
      <c r="D13" s="361">
        <f>+'Sg - Spese generali'!$B$7*('Flusso di cassa'!D7+'Flusso di cassa'!D12)</f>
        <v>563.04</v>
      </c>
      <c r="E13" s="99">
        <f>+'Sg - Spese generali'!$B$7*('Flusso di cassa'!E7+'Flusso di cassa'!E12)</f>
        <v>36801.133980213555</v>
      </c>
      <c r="F13" s="361">
        <f>+'Sg - Spese generali'!$B$7*('Flusso di cassa'!F7+'Flusso di cassa'!F12)</f>
        <v>13018.666780750536</v>
      </c>
      <c r="G13" s="99">
        <f>+'Sg - Spese generali'!$B$7*('Flusso di cassa'!G7+'Flusso di cassa'!G12)</f>
        <v>8679.1111871670255</v>
      </c>
      <c r="H13" s="361">
        <f t="shared" si="0"/>
        <v>59061.951948131114</v>
      </c>
    </row>
    <row r="14" spans="1:8" x14ac:dyDescent="0.25">
      <c r="A14" s="43" t="s">
        <v>87</v>
      </c>
      <c r="B14" s="218" t="s">
        <v>4</v>
      </c>
      <c r="C14" s="99">
        <f>+C17*'Sc - Spese commercializzazione'!$C$5</f>
        <v>0</v>
      </c>
      <c r="D14" s="361">
        <f>+D17*'Sc - Spese commercializzazione'!$C$5</f>
        <v>0</v>
      </c>
      <c r="E14" s="99">
        <f>+E17*'Sc - Spese commercializzazione'!$C$5</f>
        <v>25876.796603936309</v>
      </c>
      <c r="F14" s="361">
        <f>+F17*'Sc - Spese commercializzazione'!$C$5</f>
        <v>34502.395471915079</v>
      </c>
      <c r="G14" s="99">
        <f>+G17*'Sc - Spese commercializzazione'!$C$5</f>
        <v>25876.796603936309</v>
      </c>
      <c r="H14" s="361">
        <f t="shared" si="0"/>
        <v>86255.988679787697</v>
      </c>
    </row>
    <row r="15" spans="1:8" x14ac:dyDescent="0.25">
      <c r="A15" s="44" t="s">
        <v>88</v>
      </c>
      <c r="B15" s="341" t="s">
        <v>8</v>
      </c>
      <c r="C15" s="357">
        <f t="shared" ref="C15:G15" si="2">+C13+C14+C7+C6+C12+C5</f>
        <v>269326.87035117194</v>
      </c>
      <c r="D15" s="75">
        <f t="shared" si="2"/>
        <v>54717.203333333331</v>
      </c>
      <c r="E15" s="357">
        <f t="shared" si="2"/>
        <v>1324768.5599246018</v>
      </c>
      <c r="F15" s="75">
        <f t="shared" si="2"/>
        <v>481476.62161101686</v>
      </c>
      <c r="G15" s="357">
        <f t="shared" si="2"/>
        <v>323859.61403000419</v>
      </c>
      <c r="H15" s="75">
        <f t="shared" si="0"/>
        <v>2454148.869250128</v>
      </c>
    </row>
    <row r="16" spans="1:8" x14ac:dyDescent="0.25">
      <c r="A16" s="365" t="s">
        <v>7</v>
      </c>
      <c r="B16" s="366"/>
      <c r="C16" s="80"/>
      <c r="D16" s="81"/>
      <c r="E16" s="80"/>
      <c r="F16" s="81"/>
      <c r="G16" s="80"/>
      <c r="H16" s="81"/>
    </row>
    <row r="17" spans="1:8" x14ac:dyDescent="0.25">
      <c r="A17" s="367" t="s">
        <v>13</v>
      </c>
      <c r="B17" s="341" t="s">
        <v>9</v>
      </c>
      <c r="C17" s="368">
        <f>+'RT - Ricavi totali'!$D$3*'Distribuzione Costi&amp;Ricavi'!C12</f>
        <v>0</v>
      </c>
      <c r="D17" s="369">
        <f>+'RT - Ricavi totali'!$D$3*'Distribuzione Costi&amp;Ricavi'!D12</f>
        <v>0</v>
      </c>
      <c r="E17" s="368">
        <f>+'RT - Ricavi totali'!$D$3*'Distribuzione Costi&amp;Ricavi'!E12</f>
        <v>862559.88679787703</v>
      </c>
      <c r="F17" s="369">
        <f>+'RT - Ricavi totali'!$D$3*'Distribuzione Costi&amp;Ricavi'!F12</f>
        <v>1150079.849063836</v>
      </c>
      <c r="G17" s="368">
        <f>+'RT - Ricavi totali'!$D$3*'Distribuzione Costi&amp;Ricavi'!G12</f>
        <v>862559.88679787703</v>
      </c>
      <c r="H17" s="370">
        <f>SUM(C17:G17)</f>
        <v>2875199.6226595901</v>
      </c>
    </row>
    <row r="18" spans="1:8" x14ac:dyDescent="0.25">
      <c r="A18" s="44" t="s">
        <v>14</v>
      </c>
      <c r="B18" s="341" t="s">
        <v>357</v>
      </c>
      <c r="C18" s="357">
        <f t="shared" ref="C18:H18" si="3">+C17-C15</f>
        <v>-269326.87035117194</v>
      </c>
      <c r="D18" s="75">
        <f t="shared" si="3"/>
        <v>-54717.203333333331</v>
      </c>
      <c r="E18" s="357">
        <f t="shared" si="3"/>
        <v>-462208.67312672478</v>
      </c>
      <c r="F18" s="75">
        <f t="shared" si="3"/>
        <v>668603.22745281924</v>
      </c>
      <c r="G18" s="357">
        <f t="shared" si="3"/>
        <v>538700.27276787278</v>
      </c>
      <c r="H18" s="75">
        <f t="shared" si="3"/>
        <v>421050.75340946205</v>
      </c>
    </row>
    <row r="19" spans="1:8" x14ac:dyDescent="0.25">
      <c r="A19" s="49"/>
      <c r="B19" s="49"/>
      <c r="C19" s="99"/>
      <c r="D19" s="99"/>
      <c r="E19" s="99"/>
      <c r="F19" s="99"/>
      <c r="G19" s="99"/>
      <c r="H19" s="99"/>
    </row>
    <row r="20" spans="1:8" x14ac:dyDescent="0.25">
      <c r="A20" s="49"/>
      <c r="B20" s="49"/>
      <c r="C20" s="99"/>
      <c r="D20" s="99"/>
      <c r="E20" s="99"/>
      <c r="F20" s="99"/>
      <c r="G20" s="99"/>
      <c r="H20" s="99"/>
    </row>
    <row r="21" spans="1:8" x14ac:dyDescent="0.25">
      <c r="A21" s="422"/>
      <c r="B21" s="423"/>
      <c r="C21" s="390" t="s">
        <v>359</v>
      </c>
      <c r="D21" s="391"/>
      <c r="E21" s="391"/>
      <c r="F21" s="391"/>
      <c r="G21" s="391"/>
      <c r="H21" s="426" t="s">
        <v>6</v>
      </c>
    </row>
    <row r="22" spans="1:8" x14ac:dyDescent="0.25">
      <c r="A22" s="424"/>
      <c r="B22" s="425"/>
      <c r="C22" s="347">
        <v>0</v>
      </c>
      <c r="D22" s="347">
        <v>1</v>
      </c>
      <c r="E22" s="347">
        <v>2</v>
      </c>
      <c r="F22" s="349">
        <v>3</v>
      </c>
      <c r="G22" s="347">
        <v>4</v>
      </c>
      <c r="H22" s="427"/>
    </row>
    <row r="23" spans="1:8" x14ac:dyDescent="0.25">
      <c r="A23" s="91" t="str">
        <f>+A18</f>
        <v>FE</v>
      </c>
      <c r="B23" s="99" t="str">
        <f t="shared" ref="B23:H23" si="4">+B18</f>
        <v>FLUSSO CASSA ECONOMICO</v>
      </c>
      <c r="C23" s="361">
        <f t="shared" si="4"/>
        <v>-269326.87035117194</v>
      </c>
      <c r="D23" s="361">
        <f t="shared" si="4"/>
        <v>-54717.203333333331</v>
      </c>
      <c r="E23" s="361">
        <f t="shared" si="4"/>
        <v>-462208.67312672478</v>
      </c>
      <c r="F23" s="99">
        <f t="shared" si="4"/>
        <v>668603.22745281924</v>
      </c>
      <c r="G23" s="361">
        <f t="shared" si="4"/>
        <v>538700.27276787278</v>
      </c>
      <c r="H23" s="98">
        <f t="shared" si="4"/>
        <v>421050.75340946205</v>
      </c>
    </row>
    <row r="24" spans="1:8" x14ac:dyDescent="0.25">
      <c r="A24" s="43" t="s">
        <v>89</v>
      </c>
      <c r="B24" s="49" t="s">
        <v>90</v>
      </c>
      <c r="C24" s="88">
        <f>+'I - Interessi'!B12</f>
        <v>-4847.883666321095</v>
      </c>
      <c r="D24" s="88">
        <f>+'I - Interessi'!C12</f>
        <v>-5920.055232314874</v>
      </c>
      <c r="E24" s="88">
        <f>+'I - Interessi'!D12</f>
        <v>-14346.372342777589</v>
      </c>
      <c r="F24" s="87">
        <f>+'I - Interessi'!E12</f>
        <v>-2569.7489507968385</v>
      </c>
      <c r="G24" s="88">
        <f>+'I - Interessi'!F12</f>
        <v>1979.6822108402423</v>
      </c>
      <c r="H24" s="355">
        <f>SUM(C24:G24)</f>
        <v>-25704.377981370159</v>
      </c>
    </row>
    <row r="25" spans="1:8" x14ac:dyDescent="0.25">
      <c r="A25" s="43" t="s">
        <v>16</v>
      </c>
      <c r="B25" s="49" t="s">
        <v>362</v>
      </c>
      <c r="C25" s="361">
        <f>+C24+C18</f>
        <v>-274174.75401749305</v>
      </c>
      <c r="D25" s="361">
        <f>+D24+D18</f>
        <v>-60637.258565648204</v>
      </c>
      <c r="E25" s="361">
        <f>+E24+E18</f>
        <v>-476555.04546950239</v>
      </c>
      <c r="F25" s="99">
        <f>+F24+F18</f>
        <v>666033.47850202245</v>
      </c>
      <c r="G25" s="361">
        <f>+G24+G18</f>
        <v>540679.95497871307</v>
      </c>
      <c r="H25" s="355">
        <f>SUM(C25:G25)</f>
        <v>395346.37542809185</v>
      </c>
    </row>
    <row r="26" spans="1:8" x14ac:dyDescent="0.25">
      <c r="A26" s="43" t="s">
        <v>17</v>
      </c>
      <c r="B26" s="49" t="s">
        <v>10</v>
      </c>
      <c r="C26" s="88">
        <f>-'T - Tasse'!B8</f>
        <v>0</v>
      </c>
      <c r="D26" s="88">
        <f>-'T - Tasse'!C8</f>
        <v>0</v>
      </c>
      <c r="E26" s="88">
        <f>-'T - Tasse'!D8</f>
        <v>0</v>
      </c>
      <c r="F26" s="87">
        <f>-'T - Tasse'!E8</f>
        <v>0</v>
      </c>
      <c r="G26" s="88">
        <f>-'T - Tasse'!F8</f>
        <v>-110466.26736488551</v>
      </c>
      <c r="H26" s="355">
        <f>SUM(C26:G26)</f>
        <v>-110466.26736488551</v>
      </c>
    </row>
    <row r="27" spans="1:8" x14ac:dyDescent="0.25">
      <c r="A27" s="44" t="s">
        <v>91</v>
      </c>
      <c r="B27" s="356" t="s">
        <v>361</v>
      </c>
      <c r="C27" s="75">
        <f t="shared" ref="C27:H27" si="5">+C25+C26</f>
        <v>-274174.75401749305</v>
      </c>
      <c r="D27" s="75">
        <f t="shared" si="5"/>
        <v>-60637.258565648204</v>
      </c>
      <c r="E27" s="75">
        <f t="shared" si="5"/>
        <v>-476555.04546950239</v>
      </c>
      <c r="F27" s="357">
        <f t="shared" si="5"/>
        <v>666033.47850202245</v>
      </c>
      <c r="G27" s="75">
        <f t="shared" si="5"/>
        <v>430213.68761382753</v>
      </c>
      <c r="H27" s="358">
        <f t="shared" si="5"/>
        <v>284880.10806320631</v>
      </c>
    </row>
    <row r="29" spans="1:8" x14ac:dyDescent="0.25">
      <c r="C29">
        <f>+C3</f>
        <v>0</v>
      </c>
      <c r="D29">
        <f>+D3</f>
        <v>1</v>
      </c>
      <c r="E29">
        <f>+E3</f>
        <v>2</v>
      </c>
      <c r="F29">
        <f>+F3</f>
        <v>3</v>
      </c>
      <c r="G29">
        <f>+G3</f>
        <v>4</v>
      </c>
    </row>
    <row r="30" spans="1:8" x14ac:dyDescent="0.25">
      <c r="B30" t="str">
        <f t="shared" ref="B30:G30" si="6">+B18</f>
        <v>FLUSSO CASSA ECONOMICO</v>
      </c>
      <c r="C30" s="6">
        <f t="shared" si="6"/>
        <v>-269326.87035117194</v>
      </c>
      <c r="D30" s="6">
        <f t="shared" si="6"/>
        <v>-54717.203333333331</v>
      </c>
      <c r="E30" s="6">
        <f t="shared" si="6"/>
        <v>-462208.67312672478</v>
      </c>
      <c r="F30" s="6">
        <f t="shared" si="6"/>
        <v>668603.22745281924</v>
      </c>
      <c r="G30" s="6">
        <f t="shared" si="6"/>
        <v>538700.27276787278</v>
      </c>
    </row>
    <row r="31" spans="1:8" x14ac:dyDescent="0.25">
      <c r="B31" t="str">
        <f>+B27</f>
        <v>FLUSSO CASSA NETTO</v>
      </c>
      <c r="C31" s="6">
        <f t="shared" ref="C31:G31" si="7">+C27</f>
        <v>-274174.75401749305</v>
      </c>
      <c r="D31" s="6">
        <f t="shared" si="7"/>
        <v>-60637.258565648204</v>
      </c>
      <c r="E31" s="6">
        <f t="shared" si="7"/>
        <v>-476555.04546950239</v>
      </c>
      <c r="F31" s="6">
        <f t="shared" si="7"/>
        <v>666033.47850202245</v>
      </c>
      <c r="G31" s="6">
        <f t="shared" si="7"/>
        <v>430213.68761382753</v>
      </c>
    </row>
  </sheetData>
  <mergeCells count="6">
    <mergeCell ref="A21:B22"/>
    <mergeCell ref="C21:G21"/>
    <mergeCell ref="H21:H22"/>
    <mergeCell ref="C2:G2"/>
    <mergeCell ref="H2:H3"/>
    <mergeCell ref="A2:B3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U29" sqref="U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3"/>
  <sheetViews>
    <sheetView zoomScale="130" zoomScaleNormal="130" workbookViewId="0">
      <selection activeCell="G18" sqref="G18"/>
    </sheetView>
  </sheetViews>
  <sheetFormatPr defaultRowHeight="15" x14ac:dyDescent="0.25"/>
  <cols>
    <col min="1" max="1" width="5.85546875" customWidth="1"/>
    <col min="2" max="2" width="27.5703125" customWidth="1"/>
  </cols>
  <sheetData>
    <row r="2" spans="1:8" x14ac:dyDescent="0.25">
      <c r="A2" s="385"/>
      <c r="B2" s="385"/>
      <c r="C2" s="386" t="s">
        <v>140</v>
      </c>
      <c r="D2" s="386"/>
      <c r="E2" s="386"/>
      <c r="F2" s="386"/>
      <c r="G2" s="386"/>
      <c r="H2" s="387" t="s">
        <v>6</v>
      </c>
    </row>
    <row r="3" spans="1:8" x14ac:dyDescent="0.25">
      <c r="A3" s="385"/>
      <c r="B3" s="385"/>
      <c r="C3" s="9">
        <v>0</v>
      </c>
      <c r="D3" s="9">
        <v>1</v>
      </c>
      <c r="E3" s="9">
        <v>2</v>
      </c>
      <c r="F3" s="9">
        <v>3</v>
      </c>
      <c r="G3" s="9">
        <v>4</v>
      </c>
      <c r="H3" s="387"/>
    </row>
    <row r="4" spans="1:8" x14ac:dyDescent="0.25">
      <c r="A4" s="9" t="s">
        <v>78</v>
      </c>
      <c r="B4" s="9" t="s">
        <v>11</v>
      </c>
      <c r="C4" s="10">
        <v>1</v>
      </c>
      <c r="D4" s="10"/>
      <c r="E4" s="10"/>
      <c r="F4" s="10"/>
      <c r="G4" s="10"/>
      <c r="H4" s="11">
        <f>SUM(C4:G4)</f>
        <v>1</v>
      </c>
    </row>
    <row r="5" spans="1:8" x14ac:dyDescent="0.25">
      <c r="A5" s="9" t="s">
        <v>79</v>
      </c>
      <c r="B5" s="9" t="s">
        <v>18</v>
      </c>
      <c r="C5" s="10"/>
      <c r="D5" s="10">
        <v>0.5</v>
      </c>
      <c r="E5" s="10">
        <v>0.5</v>
      </c>
      <c r="F5" s="10"/>
      <c r="G5" s="10"/>
      <c r="H5" s="11">
        <f>SUM(C5:G5)</f>
        <v>1</v>
      </c>
    </row>
    <row r="6" spans="1:8" x14ac:dyDescent="0.25">
      <c r="A6" s="388" t="s">
        <v>322</v>
      </c>
      <c r="B6" s="389"/>
      <c r="C6" s="309"/>
      <c r="D6" s="309"/>
      <c r="E6" s="309"/>
      <c r="F6" s="309"/>
      <c r="G6" s="309"/>
      <c r="H6" s="11"/>
    </row>
    <row r="7" spans="1:8" x14ac:dyDescent="0.25">
      <c r="A7" s="9" t="s">
        <v>81</v>
      </c>
      <c r="B7" s="9" t="s">
        <v>19</v>
      </c>
      <c r="C7" s="10"/>
      <c r="D7" s="10">
        <v>1</v>
      </c>
      <c r="E7" s="10"/>
      <c r="F7" s="10"/>
      <c r="G7" s="10"/>
      <c r="H7" s="11">
        <f>SUM(C7:G7)</f>
        <v>1</v>
      </c>
    </row>
    <row r="8" spans="1:8" x14ac:dyDescent="0.25">
      <c r="A8" s="9" t="s">
        <v>82</v>
      </c>
      <c r="B8" s="9" t="s">
        <v>12</v>
      </c>
      <c r="C8" s="10"/>
      <c r="D8" s="10"/>
      <c r="E8" s="10">
        <v>1</v>
      </c>
      <c r="F8" s="10"/>
      <c r="G8" s="10"/>
      <c r="H8" s="11">
        <f>SUM(C8:G8)</f>
        <v>1</v>
      </c>
    </row>
    <row r="9" spans="1:8" x14ac:dyDescent="0.25">
      <c r="A9" s="9" t="s">
        <v>83</v>
      </c>
      <c r="B9" s="9" t="s">
        <v>2</v>
      </c>
      <c r="C9" s="10"/>
      <c r="D9" s="10"/>
      <c r="E9" s="10">
        <v>0.5</v>
      </c>
      <c r="F9" s="10">
        <v>0.3</v>
      </c>
      <c r="G9" s="10">
        <v>0.2</v>
      </c>
      <c r="H9" s="11">
        <f>SUM(C9:G9)</f>
        <v>1</v>
      </c>
    </row>
    <row r="10" spans="1:8" x14ac:dyDescent="0.25">
      <c r="A10" s="9" t="s">
        <v>84</v>
      </c>
      <c r="B10" s="9" t="s">
        <v>3</v>
      </c>
      <c r="C10" s="10"/>
      <c r="D10" s="10"/>
      <c r="E10" s="10">
        <v>1</v>
      </c>
      <c r="F10" s="10"/>
      <c r="G10" s="10"/>
      <c r="H10" s="11">
        <f>SUM(C10:G10)</f>
        <v>1</v>
      </c>
    </row>
    <row r="11" spans="1:8" x14ac:dyDescent="0.25">
      <c r="A11" s="9"/>
      <c r="B11" s="9"/>
      <c r="C11" s="309"/>
      <c r="D11" s="309"/>
      <c r="E11" s="309"/>
      <c r="F11" s="309"/>
      <c r="G11" s="309"/>
      <c r="H11" s="11"/>
    </row>
    <row r="12" spans="1:8" x14ac:dyDescent="0.25">
      <c r="A12" s="12" t="s">
        <v>13</v>
      </c>
      <c r="B12" s="9" t="s">
        <v>9</v>
      </c>
      <c r="C12" s="10"/>
      <c r="D12" s="10"/>
      <c r="E12" s="10">
        <v>0.3</v>
      </c>
      <c r="F12" s="10">
        <v>0.4</v>
      </c>
      <c r="G12" s="10">
        <v>0.3</v>
      </c>
      <c r="H12" s="11">
        <f>SUM(C12:G12)</f>
        <v>1</v>
      </c>
    </row>
    <row r="13" spans="1:8" x14ac:dyDescent="0.25">
      <c r="C13" s="2"/>
      <c r="D13" s="2"/>
      <c r="E13" s="2"/>
      <c r="F13" s="2"/>
      <c r="G13" s="2"/>
    </row>
  </sheetData>
  <mergeCells count="4">
    <mergeCell ref="A2:B3"/>
    <mergeCell ref="C2:G2"/>
    <mergeCell ref="H2:H3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tabSelected="1" workbookViewId="0">
      <selection activeCell="B2" sqref="B2"/>
    </sheetView>
  </sheetViews>
  <sheetFormatPr defaultRowHeight="15" x14ac:dyDescent="0.25"/>
  <cols>
    <col min="1" max="1" width="36.7109375" customWidth="1"/>
    <col min="2" max="2" width="27.28515625" customWidth="1"/>
    <col min="3" max="3" width="9.140625" style="3"/>
    <col min="4" max="4" width="16.5703125" customWidth="1"/>
    <col min="5" max="5" width="28.5703125" customWidth="1"/>
    <col min="6" max="6" width="14" customWidth="1"/>
    <col min="7" max="7" width="17.28515625" customWidth="1"/>
    <col min="8" max="10" width="12" customWidth="1"/>
    <col min="12" max="12" width="47.28515625" customWidth="1"/>
    <col min="13" max="13" width="24.85546875" customWidth="1"/>
    <col min="14" max="14" width="13.140625" customWidth="1"/>
    <col min="15" max="15" width="15.85546875" customWidth="1"/>
    <col min="16" max="16" width="32.42578125" customWidth="1"/>
  </cols>
  <sheetData>
    <row r="1" spans="1:7" x14ac:dyDescent="0.25">
      <c r="A1" t="s">
        <v>70</v>
      </c>
    </row>
    <row r="2" spans="1:7" x14ac:dyDescent="0.25">
      <c r="A2" s="46"/>
      <c r="B2" s="57" t="s">
        <v>20</v>
      </c>
      <c r="C2" s="58" t="s">
        <v>46</v>
      </c>
      <c r="D2" s="9" t="s">
        <v>263</v>
      </c>
    </row>
    <row r="3" spans="1:7" x14ac:dyDescent="0.25">
      <c r="A3" s="43" t="s">
        <v>130</v>
      </c>
      <c r="B3" s="59">
        <f>+Descrizione!B8</f>
        <v>2830</v>
      </c>
      <c r="C3" s="54"/>
      <c r="D3" s="50"/>
    </row>
    <row r="4" spans="1:7" x14ac:dyDescent="0.25">
      <c r="A4" s="43" t="s">
        <v>53</v>
      </c>
      <c r="B4" s="60">
        <f>AVERAGE(F22,B34,C63)</f>
        <v>93.910562721254038</v>
      </c>
      <c r="C4" s="54"/>
      <c r="D4" s="50" t="s">
        <v>335</v>
      </c>
    </row>
    <row r="5" spans="1:7" x14ac:dyDescent="0.25">
      <c r="A5" s="43" t="s">
        <v>43</v>
      </c>
      <c r="B5" s="61">
        <f>+B4*B3</f>
        <v>265766.89250114892</v>
      </c>
      <c r="C5" s="54"/>
      <c r="D5" s="50"/>
    </row>
    <row r="6" spans="1:7" x14ac:dyDescent="0.25">
      <c r="A6" s="43" t="s">
        <v>370</v>
      </c>
      <c r="B6" s="61">
        <v>1200</v>
      </c>
      <c r="C6" s="54"/>
      <c r="D6" s="50"/>
    </row>
    <row r="7" spans="1:7" x14ac:dyDescent="0.25">
      <c r="A7" s="43" t="s">
        <v>372</v>
      </c>
      <c r="B7" s="61">
        <v>126</v>
      </c>
      <c r="C7" s="54"/>
      <c r="D7" s="50"/>
    </row>
    <row r="8" spans="1:7" x14ac:dyDescent="0.25">
      <c r="A8" s="43" t="s">
        <v>371</v>
      </c>
      <c r="B8" s="61">
        <f>+B7*B6</f>
        <v>151200</v>
      </c>
      <c r="C8" s="54"/>
      <c r="D8" s="50"/>
    </row>
    <row r="9" spans="1:7" x14ac:dyDescent="0.25">
      <c r="A9" s="43" t="s">
        <v>351</v>
      </c>
      <c r="B9" s="61">
        <f>+'Cc - Costo costruzione'!D4</f>
        <v>18768</v>
      </c>
      <c r="C9" s="54"/>
      <c r="D9" s="50"/>
    </row>
    <row r="10" spans="1:7" x14ac:dyDescent="0.25">
      <c r="A10" s="43" t="s">
        <v>352</v>
      </c>
      <c r="B10" s="61">
        <f>+B5-B9</f>
        <v>246998.89250114892</v>
      </c>
      <c r="C10" s="54"/>
      <c r="D10" s="50"/>
    </row>
    <row r="11" spans="1:7" x14ac:dyDescent="0.25">
      <c r="A11" s="43" t="s">
        <v>44</v>
      </c>
      <c r="B11" s="61">
        <f>+B10*C11</f>
        <v>4939.9778500229786</v>
      </c>
      <c r="C11" s="55">
        <v>0.02</v>
      </c>
      <c r="D11" s="50" t="s">
        <v>336</v>
      </c>
    </row>
    <row r="12" spans="1:7" x14ac:dyDescent="0.25">
      <c r="A12" s="43" t="s">
        <v>45</v>
      </c>
      <c r="B12" s="61">
        <f>+C12*B8</f>
        <v>2268</v>
      </c>
      <c r="C12" s="55">
        <v>1.4999999999999999E-2</v>
      </c>
      <c r="D12" s="50" t="s">
        <v>337</v>
      </c>
    </row>
    <row r="13" spans="1:7" x14ac:dyDescent="0.25">
      <c r="A13" s="43" t="s">
        <v>339</v>
      </c>
      <c r="B13" s="61">
        <f>+C13*B8</f>
        <v>15120</v>
      </c>
      <c r="C13" s="55">
        <v>0.1</v>
      </c>
      <c r="D13" s="50" t="s">
        <v>338</v>
      </c>
    </row>
    <row r="14" spans="1:7" x14ac:dyDescent="0.25">
      <c r="A14" s="44" t="s">
        <v>42</v>
      </c>
      <c r="B14" s="62">
        <f>SUM(B10:B13)</f>
        <v>269326.87035117194</v>
      </c>
      <c r="C14" s="56"/>
      <c r="D14" s="51"/>
      <c r="G14" s="49"/>
    </row>
    <row r="15" spans="1:7" x14ac:dyDescent="0.25">
      <c r="G15" s="49"/>
    </row>
    <row r="16" spans="1:7" x14ac:dyDescent="0.25">
      <c r="G16" s="49"/>
    </row>
    <row r="17" spans="1:7" x14ac:dyDescent="0.25">
      <c r="A17" t="s">
        <v>126</v>
      </c>
      <c r="C17"/>
      <c r="G17" s="48"/>
    </row>
    <row r="18" spans="1:7" ht="45" x14ac:dyDescent="0.25">
      <c r="A18" s="46" t="s">
        <v>333</v>
      </c>
      <c r="B18" s="53" t="s">
        <v>104</v>
      </c>
      <c r="C18" s="52" t="s">
        <v>38</v>
      </c>
      <c r="D18" s="53" t="s">
        <v>39</v>
      </c>
      <c r="E18" s="315" t="s">
        <v>105</v>
      </c>
      <c r="F18" s="53" t="s">
        <v>107</v>
      </c>
      <c r="G18" s="49"/>
    </row>
    <row r="19" spans="1:7" x14ac:dyDescent="0.25">
      <c r="A19" s="43" t="s">
        <v>101</v>
      </c>
      <c r="B19" s="201">
        <v>2500</v>
      </c>
      <c r="C19" s="202">
        <v>1.5</v>
      </c>
      <c r="D19" s="47">
        <f>+C19*B19</f>
        <v>3750</v>
      </c>
      <c r="E19" s="203">
        <v>320000</v>
      </c>
      <c r="F19" s="47">
        <f>+E19/D19</f>
        <v>85.333333333333329</v>
      </c>
      <c r="G19" s="49"/>
    </row>
    <row r="20" spans="1:7" x14ac:dyDescent="0.25">
      <c r="A20" s="43" t="s">
        <v>102</v>
      </c>
      <c r="B20" s="201">
        <v>2000</v>
      </c>
      <c r="C20" s="202">
        <v>1</v>
      </c>
      <c r="D20" s="47">
        <f t="shared" ref="D20:D21" si="0">+C20*B20</f>
        <v>2000</v>
      </c>
      <c r="E20" s="203">
        <v>170000</v>
      </c>
      <c r="F20" s="47">
        <f t="shared" ref="F20:F21" si="1">+E20/D20</f>
        <v>85</v>
      </c>
      <c r="G20" s="49"/>
    </row>
    <row r="21" spans="1:7" x14ac:dyDescent="0.25">
      <c r="A21" s="43" t="s">
        <v>103</v>
      </c>
      <c r="B21" s="201">
        <v>3000</v>
      </c>
      <c r="C21" s="202">
        <v>1</v>
      </c>
      <c r="D21" s="47">
        <f t="shared" si="0"/>
        <v>3000</v>
      </c>
      <c r="E21" s="203">
        <v>270000</v>
      </c>
      <c r="F21" s="47">
        <f t="shared" si="1"/>
        <v>90</v>
      </c>
      <c r="G21" s="49"/>
    </row>
    <row r="22" spans="1:7" x14ac:dyDescent="0.25">
      <c r="A22" s="46"/>
      <c r="B22" s="9"/>
      <c r="C22" s="316"/>
      <c r="D22" s="9"/>
      <c r="E22" s="314" t="s">
        <v>106</v>
      </c>
      <c r="F22" s="317">
        <f>AVERAGE(F19:F21)</f>
        <v>86.777777777777771</v>
      </c>
      <c r="G22" s="49"/>
    </row>
    <row r="23" spans="1:7" x14ac:dyDescent="0.25">
      <c r="G23" s="49"/>
    </row>
    <row r="24" spans="1:7" x14ac:dyDescent="0.25">
      <c r="G24" s="49"/>
    </row>
    <row r="25" spans="1:7" x14ac:dyDescent="0.25">
      <c r="A25" t="s">
        <v>129</v>
      </c>
      <c r="E25" s="49"/>
      <c r="F25" s="49"/>
      <c r="G25" s="49"/>
    </row>
    <row r="26" spans="1:7" x14ac:dyDescent="0.25">
      <c r="A26" s="63"/>
      <c r="B26" s="20" t="s">
        <v>128</v>
      </c>
      <c r="C26" s="3" t="s">
        <v>263</v>
      </c>
    </row>
    <row r="27" spans="1:7" ht="29.25" x14ac:dyDescent="0.25">
      <c r="A27" s="64" t="s">
        <v>131</v>
      </c>
      <c r="B27" s="329">
        <v>2100</v>
      </c>
      <c r="C27" s="3" t="s">
        <v>114</v>
      </c>
    </row>
    <row r="28" spans="1:7" x14ac:dyDescent="0.25">
      <c r="A28" s="65" t="s">
        <v>130</v>
      </c>
      <c r="B28" s="330">
        <f>+B3</f>
        <v>2830</v>
      </c>
    </row>
    <row r="29" spans="1:7" x14ac:dyDescent="0.25">
      <c r="A29" s="65" t="s">
        <v>239</v>
      </c>
      <c r="B29" s="199">
        <f>+Descrizione!B22</f>
        <v>1301.8</v>
      </c>
    </row>
    <row r="30" spans="1:7" x14ac:dyDescent="0.25">
      <c r="A30" s="65" t="s">
        <v>132</v>
      </c>
      <c r="B30" s="199">
        <f>+B29*B27</f>
        <v>2733780</v>
      </c>
    </row>
    <row r="31" spans="1:7" x14ac:dyDescent="0.25">
      <c r="A31" s="65" t="s">
        <v>129</v>
      </c>
      <c r="B31" s="200">
        <v>0.15</v>
      </c>
      <c r="C31" s="3" t="s">
        <v>334</v>
      </c>
    </row>
    <row r="32" spans="1:7" x14ac:dyDescent="0.25">
      <c r="A32" s="65" t="s">
        <v>245</v>
      </c>
      <c r="B32" s="200">
        <v>0.65</v>
      </c>
      <c r="C32" s="3" t="s">
        <v>334</v>
      </c>
    </row>
    <row r="33" spans="1:5" x14ac:dyDescent="0.25">
      <c r="A33" s="65" t="s">
        <v>133</v>
      </c>
      <c r="B33" s="197">
        <f>+B30*B31*B32</f>
        <v>266543.55</v>
      </c>
    </row>
    <row r="34" spans="1:5" x14ac:dyDescent="0.25">
      <c r="A34" s="66" t="s">
        <v>134</v>
      </c>
      <c r="B34" s="198">
        <f>+B33/B28</f>
        <v>94.185000000000002</v>
      </c>
    </row>
    <row r="38" spans="1:5" x14ac:dyDescent="0.25">
      <c r="A38" t="s">
        <v>127</v>
      </c>
      <c r="C38"/>
    </row>
    <row r="39" spans="1:5" x14ac:dyDescent="0.25">
      <c r="A39" s="45"/>
      <c r="B39" s="27" t="s">
        <v>108</v>
      </c>
      <c r="C39" s="22" t="s">
        <v>20</v>
      </c>
      <c r="D39" s="37" t="s">
        <v>109</v>
      </c>
      <c r="E39" s="318" t="s">
        <v>110</v>
      </c>
    </row>
    <row r="40" spans="1:5" x14ac:dyDescent="0.25">
      <c r="A40" s="31" t="s">
        <v>111</v>
      </c>
      <c r="B40" s="27"/>
      <c r="C40" s="21"/>
      <c r="D40" s="27"/>
      <c r="E40" s="319"/>
    </row>
    <row r="41" spans="1:5" x14ac:dyDescent="0.25">
      <c r="A41" s="32" t="s">
        <v>112</v>
      </c>
      <c r="B41" s="33" t="s">
        <v>113</v>
      </c>
      <c r="C41" s="208">
        <v>2100</v>
      </c>
      <c r="D41" s="38"/>
      <c r="E41" s="320" t="s">
        <v>114</v>
      </c>
    </row>
    <row r="42" spans="1:5" ht="26.25" x14ac:dyDescent="0.25">
      <c r="A42" s="215" t="s">
        <v>115</v>
      </c>
      <c r="B42" s="216"/>
      <c r="C42" s="214"/>
      <c r="D42" s="41"/>
      <c r="E42" s="319"/>
    </row>
    <row r="43" spans="1:5" x14ac:dyDescent="0.25">
      <c r="A43" s="23" t="s">
        <v>116</v>
      </c>
      <c r="B43" s="28" t="s">
        <v>113</v>
      </c>
      <c r="C43" s="210">
        <v>1100</v>
      </c>
      <c r="D43" s="39"/>
      <c r="E43" s="321" t="s">
        <v>117</v>
      </c>
    </row>
    <row r="44" spans="1:5" x14ac:dyDescent="0.25">
      <c r="A44" s="23" t="s">
        <v>0</v>
      </c>
      <c r="B44" s="28" t="s">
        <v>113</v>
      </c>
      <c r="C44" s="209">
        <f>+$C$43*D44</f>
        <v>55</v>
      </c>
      <c r="D44" s="40">
        <v>0.05</v>
      </c>
      <c r="E44" s="321" t="s">
        <v>116</v>
      </c>
    </row>
    <row r="45" spans="1:5" x14ac:dyDescent="0.25">
      <c r="A45" s="23" t="s">
        <v>18</v>
      </c>
      <c r="B45" s="28" t="s">
        <v>113</v>
      </c>
      <c r="C45" s="209">
        <f>+$C$43*D45</f>
        <v>110</v>
      </c>
      <c r="D45" s="40">
        <v>0.1</v>
      </c>
      <c r="E45" s="321" t="s">
        <v>116</v>
      </c>
    </row>
    <row r="46" spans="1:5" x14ac:dyDescent="0.25">
      <c r="A46" s="23" t="s">
        <v>5</v>
      </c>
      <c r="B46" s="28" t="s">
        <v>113</v>
      </c>
      <c r="C46" s="209">
        <f>+$C$43*D46</f>
        <v>33</v>
      </c>
      <c r="D46" s="40">
        <v>0.03</v>
      </c>
      <c r="E46" s="321" t="s">
        <v>116</v>
      </c>
    </row>
    <row r="47" spans="1:5" x14ac:dyDescent="0.25">
      <c r="A47" s="23" t="s">
        <v>90</v>
      </c>
      <c r="B47" s="28" t="s">
        <v>113</v>
      </c>
      <c r="C47" s="209">
        <f>+$C$43*D47</f>
        <v>44</v>
      </c>
      <c r="D47" s="40">
        <v>0.04</v>
      </c>
      <c r="E47" s="321" t="s">
        <v>116</v>
      </c>
    </row>
    <row r="48" spans="1:5" x14ac:dyDescent="0.25">
      <c r="A48" s="207" t="s">
        <v>4</v>
      </c>
      <c r="B48" s="28" t="s">
        <v>113</v>
      </c>
      <c r="C48" s="211">
        <f>+$C$41*D48</f>
        <v>63</v>
      </c>
      <c r="D48" s="40">
        <v>0.03</v>
      </c>
      <c r="E48" s="321" t="s">
        <v>119</v>
      </c>
    </row>
    <row r="49" spans="1:5" x14ac:dyDescent="0.25">
      <c r="A49" s="23" t="s">
        <v>118</v>
      </c>
      <c r="B49" s="28" t="s">
        <v>113</v>
      </c>
      <c r="C49" s="209">
        <f>+$C$41*D49</f>
        <v>315</v>
      </c>
      <c r="D49" s="40">
        <v>0.15</v>
      </c>
      <c r="E49" s="321" t="s">
        <v>119</v>
      </c>
    </row>
    <row r="50" spans="1:5" x14ac:dyDescent="0.25">
      <c r="A50" s="217" t="s">
        <v>6</v>
      </c>
      <c r="B50" s="35" t="s">
        <v>113</v>
      </c>
      <c r="C50" s="212">
        <f>SUM(C43:C49)</f>
        <v>1720</v>
      </c>
      <c r="D50" s="38"/>
      <c r="E50" s="322"/>
    </row>
    <row r="51" spans="1:5" x14ac:dyDescent="0.25">
      <c r="A51" s="31" t="s">
        <v>120</v>
      </c>
      <c r="B51" s="219" t="s">
        <v>243</v>
      </c>
      <c r="C51" s="220">
        <f>+C41-C50</f>
        <v>380</v>
      </c>
      <c r="D51" s="41"/>
      <c r="E51" s="323"/>
    </row>
    <row r="52" spans="1:5" x14ac:dyDescent="0.25">
      <c r="A52" s="24" t="s">
        <v>121</v>
      </c>
      <c r="B52" s="29" t="s">
        <v>244</v>
      </c>
      <c r="C52" s="223">
        <v>1</v>
      </c>
      <c r="D52" s="39"/>
      <c r="E52" s="324" t="s">
        <v>251</v>
      </c>
    </row>
    <row r="53" spans="1:5" x14ac:dyDescent="0.25">
      <c r="A53" s="24" t="s">
        <v>121</v>
      </c>
      <c r="B53" s="29" t="s">
        <v>247</v>
      </c>
      <c r="C53" s="221">
        <f>+C52/3</f>
        <v>0.33333333333333331</v>
      </c>
      <c r="D53" s="28"/>
      <c r="E53" s="325"/>
    </row>
    <row r="54" spans="1:5" x14ac:dyDescent="0.25">
      <c r="A54" s="36" t="s">
        <v>246</v>
      </c>
      <c r="B54" s="206" t="s">
        <v>248</v>
      </c>
      <c r="C54" s="224">
        <f>+Descrizione!B22/Descrizione!B12</f>
        <v>1.38</v>
      </c>
      <c r="D54" s="50"/>
      <c r="E54" s="326" t="s">
        <v>252</v>
      </c>
    </row>
    <row r="55" spans="1:5" x14ac:dyDescent="0.25">
      <c r="A55" s="34" t="s">
        <v>249</v>
      </c>
      <c r="B55" s="35" t="s">
        <v>122</v>
      </c>
      <c r="C55" s="222">
        <f>+C51*C52*C53*C54</f>
        <v>174.79999999999998</v>
      </c>
      <c r="D55" s="33"/>
      <c r="E55" s="327"/>
    </row>
    <row r="56" spans="1:5" x14ac:dyDescent="0.25">
      <c r="A56" s="31" t="s">
        <v>123</v>
      </c>
      <c r="B56" s="27"/>
      <c r="C56" s="214"/>
      <c r="D56" s="41"/>
      <c r="E56" s="319"/>
    </row>
    <row r="57" spans="1:5" x14ac:dyDescent="0.25">
      <c r="A57" s="25" t="s">
        <v>250</v>
      </c>
      <c r="B57" s="28" t="s">
        <v>122</v>
      </c>
      <c r="C57" s="210">
        <v>50</v>
      </c>
      <c r="D57" s="39"/>
      <c r="E57" s="321" t="s">
        <v>117</v>
      </c>
    </row>
    <row r="58" spans="1:5" x14ac:dyDescent="0.25">
      <c r="A58" s="23" t="s">
        <v>0</v>
      </c>
      <c r="B58" s="28" t="s">
        <v>122</v>
      </c>
      <c r="C58" s="209">
        <f>+$C$57*D58</f>
        <v>1.5</v>
      </c>
      <c r="D58" s="40">
        <v>0.03</v>
      </c>
      <c r="E58" s="321" t="s">
        <v>116</v>
      </c>
    </row>
    <row r="59" spans="1:5" x14ac:dyDescent="0.25">
      <c r="A59" s="23" t="s">
        <v>5</v>
      </c>
      <c r="B59" s="28" t="s">
        <v>122</v>
      </c>
      <c r="C59" s="209">
        <f>+($C$57+C58)*D59</f>
        <v>1.03</v>
      </c>
      <c r="D59" s="40">
        <v>0.02</v>
      </c>
      <c r="E59" s="321" t="s">
        <v>331</v>
      </c>
    </row>
    <row r="60" spans="1:5" x14ac:dyDescent="0.25">
      <c r="A60" s="23" t="s">
        <v>90</v>
      </c>
      <c r="B60" s="28" t="s">
        <v>122</v>
      </c>
      <c r="C60" s="209">
        <f>+($C$57+C58+C59)*D60</f>
        <v>2.1012</v>
      </c>
      <c r="D60" s="40">
        <v>0.04</v>
      </c>
      <c r="E60" s="321" t="s">
        <v>332</v>
      </c>
    </row>
    <row r="61" spans="1:5" x14ac:dyDescent="0.25">
      <c r="A61" s="34" t="s">
        <v>6</v>
      </c>
      <c r="B61" s="33" t="s">
        <v>122</v>
      </c>
      <c r="C61" s="212">
        <f>SUM(C57:C60)</f>
        <v>54.6312</v>
      </c>
      <c r="D61" s="38"/>
      <c r="E61" s="322"/>
    </row>
    <row r="62" spans="1:5" x14ac:dyDescent="0.25">
      <c r="A62" s="26" t="s">
        <v>254</v>
      </c>
      <c r="B62" s="30" t="s">
        <v>124</v>
      </c>
      <c r="C62" s="212">
        <f>+C55-C61</f>
        <v>120.16879999999998</v>
      </c>
      <c r="D62" s="30"/>
      <c r="E62" s="328" t="s">
        <v>125</v>
      </c>
    </row>
    <row r="63" spans="1:5" x14ac:dyDescent="0.25">
      <c r="A63" s="26" t="s">
        <v>255</v>
      </c>
      <c r="B63" s="30" t="s">
        <v>124</v>
      </c>
      <c r="C63" s="213">
        <f>+C62/(1+Descrizione!B27)^'Distribuzione Costi&amp;Ricavi'!G3</f>
        <v>100.7689103859843</v>
      </c>
      <c r="D63" s="42"/>
      <c r="E63" s="328" t="s">
        <v>253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workbookViewId="0">
      <selection activeCell="A3" sqref="A3:E8"/>
    </sheetView>
  </sheetViews>
  <sheetFormatPr defaultRowHeight="15" x14ac:dyDescent="0.25"/>
  <cols>
    <col min="1" max="1" width="30.42578125" customWidth="1"/>
    <col min="2" max="2" width="12.5703125" customWidth="1"/>
    <col min="3" max="3" width="13.85546875" customWidth="1"/>
    <col min="4" max="4" width="13.28515625" bestFit="1" customWidth="1"/>
    <col min="5" max="5" width="12" customWidth="1"/>
    <col min="6" max="6" width="16.140625" customWidth="1"/>
    <col min="7" max="9" width="9" customWidth="1"/>
    <col min="10" max="10" width="13.140625" customWidth="1"/>
    <col min="11" max="12" width="9" customWidth="1"/>
    <col min="13" max="13" width="14.7109375" bestFit="1" customWidth="1"/>
  </cols>
  <sheetData>
    <row r="1" spans="1:10" x14ac:dyDescent="0.25">
      <c r="A1" t="s">
        <v>72</v>
      </c>
      <c r="I1" t="s">
        <v>169</v>
      </c>
    </row>
    <row r="2" spans="1:10" x14ac:dyDescent="0.25">
      <c r="I2" t="s">
        <v>140</v>
      </c>
      <c r="J2" t="s">
        <v>141</v>
      </c>
    </row>
    <row r="3" spans="1:10" ht="30" x14ac:dyDescent="0.25">
      <c r="A3" s="105" t="s">
        <v>174</v>
      </c>
      <c r="B3" s="101" t="s">
        <v>48</v>
      </c>
      <c r="C3" s="102" t="s">
        <v>36</v>
      </c>
      <c r="D3" s="103" t="s">
        <v>29</v>
      </c>
      <c r="E3" s="342" t="s">
        <v>263</v>
      </c>
      <c r="I3">
        <v>2010</v>
      </c>
      <c r="J3" s="67">
        <v>94.5</v>
      </c>
    </row>
    <row r="4" spans="1:10" x14ac:dyDescent="0.25">
      <c r="A4" s="50" t="s">
        <v>171</v>
      </c>
      <c r="B4" s="97">
        <f>3*184*2</f>
        <v>1104</v>
      </c>
      <c r="C4" s="100">
        <v>17</v>
      </c>
      <c r="D4" s="98">
        <f>+C4*B4</f>
        <v>18768</v>
      </c>
      <c r="E4" s="218" t="s">
        <v>117</v>
      </c>
      <c r="I4">
        <v>2011</v>
      </c>
      <c r="J4" s="67">
        <v>97.3</v>
      </c>
    </row>
    <row r="5" spans="1:10" x14ac:dyDescent="0.25">
      <c r="A5" s="50" t="s">
        <v>350</v>
      </c>
      <c r="B5" s="99">
        <f>+Descrizione!B17</f>
        <v>2358.3333333333335</v>
      </c>
      <c r="C5" s="100">
        <v>60</v>
      </c>
      <c r="D5" s="98">
        <f t="shared" ref="D5:D7" si="0">+C5*B5</f>
        <v>141500</v>
      </c>
      <c r="E5" s="218" t="s">
        <v>117</v>
      </c>
      <c r="I5">
        <v>2012</v>
      </c>
      <c r="J5" s="67">
        <v>99.2</v>
      </c>
    </row>
    <row r="6" spans="1:10" x14ac:dyDescent="0.25">
      <c r="A6" s="50" t="s">
        <v>172</v>
      </c>
      <c r="B6" s="340">
        <f>+Descrizione!B12</f>
        <v>943.33333333333337</v>
      </c>
      <c r="C6" s="226">
        <f>AVERAGE(F18,E46)</f>
        <v>1433.0952060973918</v>
      </c>
      <c r="D6" s="98">
        <f t="shared" si="0"/>
        <v>1351886.477751873</v>
      </c>
      <c r="E6" s="218" t="s">
        <v>340</v>
      </c>
      <c r="I6">
        <v>2013</v>
      </c>
      <c r="J6" s="67">
        <v>99.5</v>
      </c>
    </row>
    <row r="7" spans="1:10" x14ac:dyDescent="0.25">
      <c r="A7" s="50" t="s">
        <v>173</v>
      </c>
      <c r="B7" s="99">
        <f>+Descrizione!B13</f>
        <v>471.66666666666669</v>
      </c>
      <c r="C7" s="88">
        <f>+C6*0.5</f>
        <v>716.54760304869592</v>
      </c>
      <c r="D7" s="98">
        <f t="shared" si="0"/>
        <v>337971.61943796824</v>
      </c>
      <c r="E7" s="218" t="s">
        <v>341</v>
      </c>
      <c r="I7">
        <v>2014</v>
      </c>
      <c r="J7" s="67">
        <v>99.8</v>
      </c>
    </row>
    <row r="8" spans="1:10" x14ac:dyDescent="0.25">
      <c r="A8" s="9"/>
      <c r="B8" s="96"/>
      <c r="C8" s="9" t="s">
        <v>6</v>
      </c>
      <c r="D8" s="104">
        <f>SUM(D4:D7)</f>
        <v>1850126.0971898413</v>
      </c>
      <c r="E8" s="341"/>
      <c r="I8">
        <v>2015</v>
      </c>
      <c r="J8" s="67">
        <v>100.2</v>
      </c>
    </row>
    <row r="9" spans="1:10" x14ac:dyDescent="0.25">
      <c r="I9">
        <v>2016</v>
      </c>
      <c r="J9" s="67">
        <v>100.5</v>
      </c>
    </row>
    <row r="10" spans="1:10" x14ac:dyDescent="0.25">
      <c r="I10">
        <v>2017</v>
      </c>
      <c r="J10" s="67">
        <v>101.1</v>
      </c>
    </row>
    <row r="11" spans="1:10" x14ac:dyDescent="0.25">
      <c r="I11">
        <v>2018</v>
      </c>
      <c r="J11" s="67">
        <v>103</v>
      </c>
    </row>
    <row r="12" spans="1:10" x14ac:dyDescent="0.25">
      <c r="I12">
        <v>2019</v>
      </c>
      <c r="J12" s="67">
        <v>103</v>
      </c>
    </row>
    <row r="13" spans="1:10" x14ac:dyDescent="0.25">
      <c r="A13" t="s">
        <v>167</v>
      </c>
      <c r="I13">
        <v>2020</v>
      </c>
      <c r="J13" s="67">
        <v>102.9</v>
      </c>
    </row>
    <row r="14" spans="1:10" ht="45" x14ac:dyDescent="0.25">
      <c r="A14" s="105" t="s">
        <v>346</v>
      </c>
      <c r="B14" s="227" t="s">
        <v>135</v>
      </c>
      <c r="C14" s="53" t="s">
        <v>139</v>
      </c>
      <c r="D14" s="68" t="s">
        <v>136</v>
      </c>
      <c r="E14" s="68" t="s">
        <v>137</v>
      </c>
      <c r="F14" s="228" t="s">
        <v>138</v>
      </c>
    </row>
    <row r="15" spans="1:10" x14ac:dyDescent="0.25">
      <c r="A15" s="50" t="s">
        <v>347</v>
      </c>
      <c r="B15" s="332">
        <v>2018</v>
      </c>
      <c r="C15" s="94">
        <v>1400</v>
      </c>
      <c r="D15" s="73">
        <v>103</v>
      </c>
      <c r="E15" s="73">
        <v>108</v>
      </c>
      <c r="F15" s="231">
        <f>+C15*E15/D15</f>
        <v>1467.9611650485438</v>
      </c>
    </row>
    <row r="16" spans="1:10" x14ac:dyDescent="0.25">
      <c r="A16" s="50" t="s">
        <v>348</v>
      </c>
      <c r="B16" s="332">
        <v>2017</v>
      </c>
      <c r="C16" s="94">
        <v>1350</v>
      </c>
      <c r="D16" s="73">
        <v>101.1</v>
      </c>
      <c r="E16" s="73">
        <v>108</v>
      </c>
      <c r="F16" s="231">
        <f t="shared" ref="F16:F17" si="1">+C16*E16/D16</f>
        <v>1442.1364985163204</v>
      </c>
    </row>
    <row r="17" spans="1:13" x14ac:dyDescent="0.25">
      <c r="A17" s="50" t="s">
        <v>349</v>
      </c>
      <c r="B17" s="332">
        <v>2019</v>
      </c>
      <c r="C17" s="95">
        <v>1400</v>
      </c>
      <c r="D17" s="73">
        <f>+J11</f>
        <v>103</v>
      </c>
      <c r="E17" s="73">
        <v>108</v>
      </c>
      <c r="F17" s="231">
        <f t="shared" si="1"/>
        <v>1467.9611650485438</v>
      </c>
    </row>
    <row r="18" spans="1:13" x14ac:dyDescent="0.25">
      <c r="A18" s="390" t="s">
        <v>170</v>
      </c>
      <c r="B18" s="391"/>
      <c r="C18" s="391"/>
      <c r="D18" s="391"/>
      <c r="E18" s="392"/>
      <c r="F18" s="232">
        <f>AVERAGE(F15:F17)</f>
        <v>1459.3529428711361</v>
      </c>
    </row>
    <row r="19" spans="1:13" x14ac:dyDescent="0.25">
      <c r="M19" s="4"/>
    </row>
    <row r="20" spans="1:13" x14ac:dyDescent="0.25">
      <c r="A20" t="s">
        <v>168</v>
      </c>
    </row>
    <row r="21" spans="1:13" x14ac:dyDescent="0.25">
      <c r="A21" s="393" t="s">
        <v>142</v>
      </c>
      <c r="B21" s="390" t="s">
        <v>256</v>
      </c>
      <c r="C21" s="392"/>
      <c r="D21" s="390" t="s">
        <v>257</v>
      </c>
      <c r="E21" s="392"/>
    </row>
    <row r="22" spans="1:13" ht="18" x14ac:dyDescent="0.25">
      <c r="A22" s="394"/>
      <c r="B22" s="225" t="s">
        <v>143</v>
      </c>
      <c r="C22" s="93" t="s">
        <v>144</v>
      </c>
      <c r="D22" s="336" t="s">
        <v>145</v>
      </c>
      <c r="E22" s="69" t="s">
        <v>146</v>
      </c>
    </row>
    <row r="23" spans="1:13" x14ac:dyDescent="0.25">
      <c r="A23" s="70" t="s">
        <v>147</v>
      </c>
      <c r="B23" s="90">
        <v>90330</v>
      </c>
      <c r="C23" s="333">
        <f>+B23/B$41</f>
        <v>2.5140593054149268E-2</v>
      </c>
      <c r="D23" s="337">
        <v>1.2</v>
      </c>
      <c r="E23" s="72">
        <f>+D23*C23</f>
        <v>3.0168711664979121E-2</v>
      </c>
    </row>
    <row r="24" spans="1:13" x14ac:dyDescent="0.25">
      <c r="A24" s="43" t="s">
        <v>148</v>
      </c>
      <c r="B24" s="91">
        <v>108230</v>
      </c>
      <c r="C24" s="334">
        <f t="shared" ref="C24:C40" si="2">+B24/B$41</f>
        <v>3.0122510641542959E-2</v>
      </c>
      <c r="D24" s="338">
        <v>1.2</v>
      </c>
      <c r="E24" s="74">
        <f t="shared" ref="E24:E40" si="3">+D24*C24</f>
        <v>3.614701276985155E-2</v>
      </c>
    </row>
    <row r="25" spans="1:13" x14ac:dyDescent="0.25">
      <c r="A25" s="43" t="s">
        <v>149</v>
      </c>
      <c r="B25" s="91">
        <v>112068</v>
      </c>
      <c r="C25" s="334">
        <f t="shared" si="2"/>
        <v>3.1190700568940556E-2</v>
      </c>
      <c r="D25" s="338">
        <v>1.2</v>
      </c>
      <c r="E25" s="74">
        <f t="shared" si="3"/>
        <v>3.7428840682728663E-2</v>
      </c>
    </row>
    <row r="26" spans="1:13" x14ac:dyDescent="0.25">
      <c r="A26" s="43" t="s">
        <v>150</v>
      </c>
      <c r="B26" s="91">
        <v>708547</v>
      </c>
      <c r="C26" s="334">
        <f t="shared" si="2"/>
        <v>0.19720238887123107</v>
      </c>
      <c r="D26" s="338">
        <v>1</v>
      </c>
      <c r="E26" s="74">
        <f t="shared" si="3"/>
        <v>0.19720238887123107</v>
      </c>
    </row>
    <row r="27" spans="1:13" x14ac:dyDescent="0.25">
      <c r="A27" s="43" t="s">
        <v>151</v>
      </c>
      <c r="B27" s="91">
        <v>286217</v>
      </c>
      <c r="C27" s="334">
        <f t="shared" si="2"/>
        <v>7.9659748944751932E-2</v>
      </c>
      <c r="D27" s="338">
        <v>1</v>
      </c>
      <c r="E27" s="74">
        <f t="shared" si="3"/>
        <v>7.9659748944751932E-2</v>
      </c>
    </row>
    <row r="28" spans="1:13" x14ac:dyDescent="0.25">
      <c r="A28" s="43" t="s">
        <v>152</v>
      </c>
      <c r="B28" s="91">
        <v>259002</v>
      </c>
      <c r="C28" s="334">
        <f t="shared" si="2"/>
        <v>7.2085285975985486E-2</v>
      </c>
      <c r="D28" s="338">
        <v>1</v>
      </c>
      <c r="E28" s="74">
        <f t="shared" si="3"/>
        <v>7.2085285975985486E-2</v>
      </c>
    </row>
    <row r="29" spans="1:13" x14ac:dyDescent="0.25">
      <c r="A29" s="43" t="s">
        <v>153</v>
      </c>
      <c r="B29" s="91">
        <v>50216</v>
      </c>
      <c r="C29" s="334">
        <f t="shared" si="2"/>
        <v>1.3976087908858183E-2</v>
      </c>
      <c r="D29" s="338">
        <v>1</v>
      </c>
      <c r="E29" s="74">
        <f t="shared" si="3"/>
        <v>1.3976087908858183E-2</v>
      </c>
    </row>
    <row r="30" spans="1:13" x14ac:dyDescent="0.25">
      <c r="A30" s="43" t="s">
        <v>154</v>
      </c>
      <c r="B30" s="91">
        <v>254238</v>
      </c>
      <c r="C30" s="334">
        <f t="shared" si="2"/>
        <v>7.0759372267251208E-2</v>
      </c>
      <c r="D30" s="338">
        <v>1</v>
      </c>
      <c r="E30" s="74">
        <f t="shared" si="3"/>
        <v>7.0759372267251208E-2</v>
      </c>
    </row>
    <row r="31" spans="1:13" x14ac:dyDescent="0.25">
      <c r="A31" s="43" t="s">
        <v>155</v>
      </c>
      <c r="B31" s="91">
        <v>214892</v>
      </c>
      <c r="C31" s="334">
        <f t="shared" si="2"/>
        <v>5.9808616435206963E-2</v>
      </c>
      <c r="D31" s="338">
        <v>1</v>
      </c>
      <c r="E31" s="74">
        <f t="shared" si="3"/>
        <v>5.9808616435206963E-2</v>
      </c>
    </row>
    <row r="32" spans="1:13" x14ac:dyDescent="0.25">
      <c r="A32" s="43" t="s">
        <v>156</v>
      </c>
      <c r="B32" s="91">
        <v>71057</v>
      </c>
      <c r="C32" s="334">
        <f t="shared" si="2"/>
        <v>1.9776542905443204E-2</v>
      </c>
      <c r="D32" s="338">
        <v>1</v>
      </c>
      <c r="E32" s="74">
        <f t="shared" si="3"/>
        <v>1.9776542905443204E-2</v>
      </c>
    </row>
    <row r="33" spans="1:5" x14ac:dyDescent="0.25">
      <c r="A33" s="43" t="s">
        <v>157</v>
      </c>
      <c r="B33" s="91">
        <v>75093</v>
      </c>
      <c r="C33" s="334">
        <f t="shared" si="2"/>
        <v>2.0899840077662251E-2</v>
      </c>
      <c r="D33" s="338">
        <v>1.2</v>
      </c>
      <c r="E33" s="74">
        <f t="shared" si="3"/>
        <v>2.5079808093194701E-2</v>
      </c>
    </row>
    <row r="34" spans="1:5" x14ac:dyDescent="0.25">
      <c r="A34" s="43" t="s">
        <v>158</v>
      </c>
      <c r="B34" s="91">
        <v>84818</v>
      </c>
      <c r="C34" s="334">
        <f t="shared" si="2"/>
        <v>2.3606496420533963E-2</v>
      </c>
      <c r="D34" s="338">
        <v>1.2</v>
      </c>
      <c r="E34" s="74">
        <f t="shared" si="3"/>
        <v>2.8327795704640755E-2</v>
      </c>
    </row>
    <row r="35" spans="1:5" ht="15" customHeight="1" x14ac:dyDescent="0.25">
      <c r="A35" s="43" t="s">
        <v>159</v>
      </c>
      <c r="B35" s="91">
        <v>267525</v>
      </c>
      <c r="C35" s="334">
        <f t="shared" si="2"/>
        <v>7.445740237807244E-2</v>
      </c>
      <c r="D35" s="338">
        <v>1.25</v>
      </c>
      <c r="E35" s="74">
        <f t="shared" si="3"/>
        <v>9.3071752972590543E-2</v>
      </c>
    </row>
    <row r="36" spans="1:5" x14ac:dyDescent="0.25">
      <c r="A36" s="43" t="s">
        <v>160</v>
      </c>
      <c r="B36" s="91">
        <v>305635</v>
      </c>
      <c r="C36" s="334">
        <f t="shared" si="2"/>
        <v>8.5064155409110068E-2</v>
      </c>
      <c r="D36" s="338">
        <v>1.25</v>
      </c>
      <c r="E36" s="74">
        <f t="shared" si="3"/>
        <v>0.10633019426138758</v>
      </c>
    </row>
    <row r="37" spans="1:5" x14ac:dyDescent="0.25">
      <c r="A37" s="43" t="s">
        <v>161</v>
      </c>
      <c r="B37" s="91">
        <v>190845</v>
      </c>
      <c r="C37" s="334">
        <f t="shared" si="2"/>
        <v>5.3115869383583716E-2</v>
      </c>
      <c r="D37" s="338">
        <v>1.25</v>
      </c>
      <c r="E37" s="74">
        <f t="shared" si="3"/>
        <v>6.6394836729479642E-2</v>
      </c>
    </row>
    <row r="38" spans="1:5" x14ac:dyDescent="0.25">
      <c r="A38" s="43" t="s">
        <v>162</v>
      </c>
      <c r="B38" s="91">
        <v>138343</v>
      </c>
      <c r="C38" s="334">
        <f t="shared" si="2"/>
        <v>3.8503543284514254E-2</v>
      </c>
      <c r="D38" s="338">
        <v>1.2</v>
      </c>
      <c r="E38" s="74">
        <f t="shared" si="3"/>
        <v>4.6204251941417106E-2</v>
      </c>
    </row>
    <row r="39" spans="1:5" x14ac:dyDescent="0.25">
      <c r="A39" s="43" t="s">
        <v>163</v>
      </c>
      <c r="B39" s="91">
        <v>243870</v>
      </c>
      <c r="C39" s="334">
        <f t="shared" si="2"/>
        <v>6.7873756538418928E-2</v>
      </c>
      <c r="D39" s="338">
        <v>1.2</v>
      </c>
      <c r="E39" s="74">
        <f t="shared" si="3"/>
        <v>8.1448507846102705E-2</v>
      </c>
    </row>
    <row r="40" spans="1:5" x14ac:dyDescent="0.25">
      <c r="A40" s="44" t="s">
        <v>164</v>
      </c>
      <c r="B40" s="92">
        <v>132068</v>
      </c>
      <c r="C40" s="335">
        <f t="shared" si="2"/>
        <v>3.6757088934743561E-2</v>
      </c>
      <c r="D40" s="339">
        <v>1.2</v>
      </c>
      <c r="E40" s="77">
        <f t="shared" si="3"/>
        <v>4.4108506721692274E-2</v>
      </c>
    </row>
    <row r="41" spans="1:5" x14ac:dyDescent="0.25">
      <c r="A41" s="46" t="s">
        <v>165</v>
      </c>
      <c r="B41" s="78">
        <f>SUM(B23:B40)</f>
        <v>3592994</v>
      </c>
      <c r="C41" s="76">
        <f>SUM(C23:C40)</f>
        <v>0.99999999999999989</v>
      </c>
      <c r="D41" s="51"/>
      <c r="E41" s="79">
        <f>SUM(E23:E40)</f>
        <v>1.1079782626967924</v>
      </c>
    </row>
    <row r="42" spans="1:5" x14ac:dyDescent="0.25">
      <c r="A42" s="70" t="s">
        <v>104</v>
      </c>
      <c r="B42" s="71">
        <v>3050</v>
      </c>
      <c r="C42" s="80"/>
      <c r="D42" s="81" t="s">
        <v>343</v>
      </c>
      <c r="E42" s="82"/>
    </row>
    <row r="43" spans="1:5" x14ac:dyDescent="0.25">
      <c r="A43" s="44" t="s">
        <v>166</v>
      </c>
      <c r="B43" s="75">
        <f>+B41/B42</f>
        <v>1178.0308196721312</v>
      </c>
      <c r="C43" s="83"/>
      <c r="D43" s="84" t="s">
        <v>344</v>
      </c>
      <c r="E43" s="85">
        <f>+B43*E41</f>
        <v>1305.2325409836062</v>
      </c>
    </row>
    <row r="44" spans="1:5" x14ac:dyDescent="0.25">
      <c r="A44" s="70" t="s">
        <v>140</v>
      </c>
      <c r="B44" s="71">
        <v>2015</v>
      </c>
      <c r="C44" s="80"/>
      <c r="D44" s="81"/>
      <c r="E44" s="82" t="s">
        <v>342</v>
      </c>
    </row>
    <row r="45" spans="1:5" x14ac:dyDescent="0.25">
      <c r="A45" s="43" t="s">
        <v>141</v>
      </c>
      <c r="B45" s="86">
        <v>100.2</v>
      </c>
      <c r="C45" s="87"/>
      <c r="D45" s="88"/>
      <c r="E45" s="89">
        <v>108</v>
      </c>
    </row>
    <row r="46" spans="1:5" x14ac:dyDescent="0.25">
      <c r="A46" s="390" t="s">
        <v>345</v>
      </c>
      <c r="B46" s="391"/>
      <c r="C46" s="391"/>
      <c r="D46" s="392"/>
      <c r="E46" s="331">
        <f>+E43*E45/B45</f>
        <v>1406.8374693236474</v>
      </c>
    </row>
  </sheetData>
  <mergeCells count="5">
    <mergeCell ref="A18:E18"/>
    <mergeCell ref="A21:A22"/>
    <mergeCell ref="B21:C21"/>
    <mergeCell ref="D21:E21"/>
    <mergeCell ref="A46:D4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workbookViewId="0">
      <selection activeCell="B15" sqref="B15:B17"/>
    </sheetView>
  </sheetViews>
  <sheetFormatPr defaultRowHeight="15" x14ac:dyDescent="0.25"/>
  <cols>
    <col min="1" max="1" width="33.85546875" customWidth="1"/>
    <col min="2" max="2" width="13.85546875" customWidth="1"/>
    <col min="3" max="3" width="19.140625" customWidth="1"/>
    <col min="4" max="4" width="15.28515625" customWidth="1"/>
    <col min="5" max="5" width="11.7109375" customWidth="1"/>
    <col min="6" max="6" width="11.28515625" customWidth="1"/>
  </cols>
  <sheetData>
    <row r="1" spans="1:6" x14ac:dyDescent="0.25">
      <c r="A1" t="s">
        <v>71</v>
      </c>
    </row>
    <row r="3" spans="1:6" ht="60" x14ac:dyDescent="0.25">
      <c r="A3" s="9" t="s">
        <v>21</v>
      </c>
      <c r="B3" s="53" t="s">
        <v>355</v>
      </c>
      <c r="C3" s="343" t="s">
        <v>353</v>
      </c>
      <c r="D3" s="343" t="s">
        <v>354</v>
      </c>
      <c r="E3" s="53" t="s">
        <v>24</v>
      </c>
      <c r="F3" s="53" t="s">
        <v>30</v>
      </c>
    </row>
    <row r="4" spans="1:6" x14ac:dyDescent="0.25">
      <c r="A4" s="9" t="s">
        <v>22</v>
      </c>
      <c r="B4" s="317">
        <f>+'Ca - Costo area'!B3</f>
        <v>2830</v>
      </c>
      <c r="C4" s="9">
        <f>3*184</f>
        <v>552</v>
      </c>
      <c r="D4" s="344">
        <f>+B4-C4</f>
        <v>2278</v>
      </c>
      <c r="E4" s="345">
        <v>14.61</v>
      </c>
      <c r="F4" s="346">
        <f>+E4*D4</f>
        <v>33281.58</v>
      </c>
    </row>
    <row r="5" spans="1:6" x14ac:dyDescent="0.25">
      <c r="A5" s="9" t="s">
        <v>23</v>
      </c>
      <c r="B5" s="317">
        <f>+B4</f>
        <v>2830</v>
      </c>
      <c r="C5" s="9">
        <f>3*184</f>
        <v>552</v>
      </c>
      <c r="D5" s="344">
        <f>+B5-C5</f>
        <v>2278</v>
      </c>
      <c r="E5" s="345">
        <v>21.27</v>
      </c>
      <c r="F5" s="346">
        <f>+E5*D5</f>
        <v>48453.06</v>
      </c>
    </row>
    <row r="7" spans="1:6" ht="44.25" customHeight="1" x14ac:dyDescent="0.25">
      <c r="A7" t="s">
        <v>34</v>
      </c>
      <c r="B7" s="5" t="s">
        <v>25</v>
      </c>
      <c r="C7" s="5" t="s">
        <v>28</v>
      </c>
      <c r="D7" s="5" t="s">
        <v>29</v>
      </c>
      <c r="E7" s="5" t="s">
        <v>31</v>
      </c>
      <c r="F7" s="5" t="s">
        <v>32</v>
      </c>
    </row>
    <row r="8" spans="1:6" x14ac:dyDescent="0.25">
      <c r="A8" t="s">
        <v>26</v>
      </c>
      <c r="B8" s="6">
        <f>+Descrizione!B12</f>
        <v>943.33333333333337</v>
      </c>
    </row>
    <row r="9" spans="1:6" x14ac:dyDescent="0.25">
      <c r="A9" t="s">
        <v>175</v>
      </c>
      <c r="B9" s="6">
        <f>+Descrizione!B13</f>
        <v>471.66666666666669</v>
      </c>
    </row>
    <row r="10" spans="1:6" x14ac:dyDescent="0.25">
      <c r="A10" t="s">
        <v>27</v>
      </c>
      <c r="B10" s="6">
        <f>+B8+B9*0.6</f>
        <v>1226.3333333333335</v>
      </c>
      <c r="C10" s="7">
        <v>260</v>
      </c>
      <c r="D10" s="6">
        <f>+C10*B10</f>
        <v>318846.66666666669</v>
      </c>
      <c r="E10" s="8">
        <v>7.0000000000000007E-2</v>
      </c>
      <c r="F10" s="6">
        <f>+E10*D10</f>
        <v>22319.26666666667</v>
      </c>
    </row>
    <row r="13" spans="1:6" x14ac:dyDescent="0.25">
      <c r="A13" t="s">
        <v>33</v>
      </c>
      <c r="B13" t="s">
        <v>35</v>
      </c>
    </row>
    <row r="14" spans="1:6" x14ac:dyDescent="0.25">
      <c r="A14" t="str">
        <f>+A4</f>
        <v>Urbanizzazione primaria</v>
      </c>
      <c r="B14" s="6">
        <f>IF(F4&gt;'Cc - Costo costruzione'!D5,'On - Oneri concessori'!F4,0)</f>
        <v>0</v>
      </c>
    </row>
    <row r="15" spans="1:6" x14ac:dyDescent="0.25">
      <c r="A15" t="str">
        <f>+A5</f>
        <v>Urbanizzazione secondaria</v>
      </c>
      <c r="B15" s="6">
        <f>+F5</f>
        <v>48453.06</v>
      </c>
    </row>
    <row r="16" spans="1:6" x14ac:dyDescent="0.25">
      <c r="A16" t="str">
        <f>+A7</f>
        <v>Contributo costo costruzione</v>
      </c>
      <c r="B16" s="6">
        <f>+F10</f>
        <v>22319.26666666667</v>
      </c>
    </row>
    <row r="17" spans="1:2" x14ac:dyDescent="0.25">
      <c r="A17" t="s">
        <v>6</v>
      </c>
      <c r="B17" s="6">
        <f>SUM(B14:B16)</f>
        <v>70772.32666666666</v>
      </c>
    </row>
    <row r="20" spans="1:2" x14ac:dyDescent="0.25">
      <c r="A20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workbookViewId="0">
      <selection activeCell="A27" sqref="A27"/>
    </sheetView>
  </sheetViews>
  <sheetFormatPr defaultRowHeight="15" x14ac:dyDescent="0.25"/>
  <cols>
    <col min="1" max="1" width="29.28515625" customWidth="1"/>
    <col min="2" max="2" width="14.7109375" customWidth="1"/>
    <col min="4" max="4" width="12" customWidth="1"/>
  </cols>
  <sheetData>
    <row r="1" spans="1:4" x14ac:dyDescent="0.25">
      <c r="A1" t="s">
        <v>73</v>
      </c>
    </row>
    <row r="3" spans="1:4" x14ac:dyDescent="0.25">
      <c r="A3" s="9" t="s">
        <v>47</v>
      </c>
      <c r="B3" s="96" t="s">
        <v>49</v>
      </c>
      <c r="C3" s="9" t="s">
        <v>31</v>
      </c>
      <c r="D3" s="235" t="s">
        <v>35</v>
      </c>
    </row>
    <row r="4" spans="1:4" x14ac:dyDescent="0.25">
      <c r="A4" s="50" t="str">
        <f>+'Cc - Costo costruzione'!A4</f>
        <v>Cc1 - Demolizioni (mc)</v>
      </c>
      <c r="B4" s="233">
        <f>+'Cc - Costo costruzione'!D4</f>
        <v>18768</v>
      </c>
      <c r="C4" s="236">
        <v>0</v>
      </c>
      <c r="D4" s="229">
        <f>+C4*B4</f>
        <v>0</v>
      </c>
    </row>
    <row r="5" spans="1:4" x14ac:dyDescent="0.25">
      <c r="A5" s="50" t="str">
        <f>+'Cc - Costo costruzione'!A5</f>
        <v>Cc2 - Opere urbanizzazione (mq)</v>
      </c>
      <c r="B5" s="233">
        <f>+'Cc - Costo costruzione'!D5</f>
        <v>141500</v>
      </c>
      <c r="C5" s="236">
        <v>0.05</v>
      </c>
      <c r="D5" s="229">
        <f t="shared" ref="D5:D7" si="0">+C5*B5</f>
        <v>7075</v>
      </c>
    </row>
    <row r="6" spans="1:4" x14ac:dyDescent="0.25">
      <c r="A6" s="50" t="str">
        <f>+'Cc - Costo costruzione'!A6</f>
        <v>Cc3 - Residenze (mq)</v>
      </c>
      <c r="B6" s="233">
        <f>+'Cc - Costo costruzione'!D6</f>
        <v>1351886.477751873</v>
      </c>
      <c r="C6" s="236">
        <v>7.0000000000000007E-2</v>
      </c>
      <c r="D6" s="229">
        <f t="shared" si="0"/>
        <v>94632.053442631121</v>
      </c>
    </row>
    <row r="7" spans="1:4" x14ac:dyDescent="0.25">
      <c r="A7" s="50" t="str">
        <f>+'Cc - Costo costruzione'!A7</f>
        <v>Cc4 - Autorimesse/cantine (mq)</v>
      </c>
      <c r="B7" s="233">
        <f>+'Cc - Costo costruzione'!D7</f>
        <v>337971.61943796824</v>
      </c>
      <c r="C7" s="236">
        <v>0.05</v>
      </c>
      <c r="D7" s="229">
        <f t="shared" si="0"/>
        <v>16898.580971898413</v>
      </c>
    </row>
    <row r="8" spans="1:4" x14ac:dyDescent="0.25">
      <c r="A8" s="9"/>
      <c r="B8" s="96"/>
      <c r="C8" s="96" t="s">
        <v>6</v>
      </c>
      <c r="D8" s="230">
        <f>SUM(D4:D7)</f>
        <v>118605.63441452953</v>
      </c>
    </row>
    <row r="10" spans="1:4" x14ac:dyDescent="0.25">
      <c r="A10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workbookViewId="0">
      <selection activeCell="B4" sqref="B4:B8"/>
    </sheetView>
  </sheetViews>
  <sheetFormatPr defaultRowHeight="15" x14ac:dyDescent="0.25"/>
  <cols>
    <col min="1" max="1" width="26" customWidth="1"/>
    <col min="2" max="2" width="16.85546875" customWidth="1"/>
  </cols>
  <sheetData>
    <row r="1" spans="1:2" x14ac:dyDescent="0.25">
      <c r="A1" t="s">
        <v>74</v>
      </c>
    </row>
    <row r="3" spans="1:2" x14ac:dyDescent="0.25">
      <c r="A3" s="238" t="s">
        <v>47</v>
      </c>
      <c r="B3" s="239" t="s">
        <v>35</v>
      </c>
    </row>
    <row r="4" spans="1:2" x14ac:dyDescent="0.25">
      <c r="A4" s="50" t="s">
        <v>75</v>
      </c>
      <c r="B4" s="229">
        <f>+'Cc - Costo costruzione'!D8</f>
        <v>1850126.0971898413</v>
      </c>
    </row>
    <row r="5" spans="1:2" x14ac:dyDescent="0.25">
      <c r="A5" s="50" t="s">
        <v>73</v>
      </c>
      <c r="B5" s="229">
        <f>+'St - Spese tecniche'!D8</f>
        <v>118605.63441452953</v>
      </c>
    </row>
    <row r="6" spans="1:2" x14ac:dyDescent="0.25">
      <c r="A6" s="50" t="s">
        <v>6</v>
      </c>
      <c r="B6" s="229">
        <f>SUM(B4:B5)</f>
        <v>1968731.7316043708</v>
      </c>
    </row>
    <row r="7" spans="1:2" x14ac:dyDescent="0.25">
      <c r="A7" s="50" t="s">
        <v>31</v>
      </c>
      <c r="B7" s="237">
        <v>0.03</v>
      </c>
    </row>
    <row r="8" spans="1:2" x14ac:dyDescent="0.25">
      <c r="A8" s="51" t="s">
        <v>35</v>
      </c>
      <c r="B8" s="234">
        <f>+B6*B7</f>
        <v>59061.951948131122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"/>
  <sheetViews>
    <sheetView topLeftCell="A25" workbookViewId="0">
      <selection activeCell="A7" sqref="A7:F18"/>
    </sheetView>
  </sheetViews>
  <sheetFormatPr defaultRowHeight="15" x14ac:dyDescent="0.2"/>
  <cols>
    <col min="1" max="1" width="32.85546875" style="106" customWidth="1"/>
    <col min="2" max="2" width="17.42578125" style="107" customWidth="1"/>
    <col min="3" max="6" width="19.42578125" style="107" customWidth="1"/>
    <col min="7" max="7" width="15" style="106" customWidth="1"/>
    <col min="8" max="13" width="9.140625" style="168"/>
    <col min="14" max="14" width="9.140625" style="168" customWidth="1"/>
    <col min="15" max="16384" width="9.140625" style="168"/>
  </cols>
  <sheetData>
    <row r="1" spans="1:7" x14ac:dyDescent="0.2">
      <c r="A1" s="168" t="s">
        <v>50</v>
      </c>
      <c r="B1" s="168"/>
      <c r="C1" s="168"/>
      <c r="D1" s="168"/>
      <c r="E1" s="168"/>
      <c r="F1" s="168"/>
    </row>
    <row r="2" spans="1:7" ht="30" x14ac:dyDescent="0.2">
      <c r="A2" s="169"/>
      <c r="B2" s="170" t="s">
        <v>51</v>
      </c>
      <c r="C2" s="171" t="s">
        <v>53</v>
      </c>
      <c r="D2" s="172" t="s">
        <v>30</v>
      </c>
      <c r="F2" s="168"/>
    </row>
    <row r="3" spans="1:7" x14ac:dyDescent="0.2">
      <c r="A3" s="173" t="s">
        <v>215</v>
      </c>
      <c r="B3" s="174">
        <f>+Descrizione!B22</f>
        <v>1301.8</v>
      </c>
      <c r="C3" s="175">
        <f>+C60</f>
        <v>2208.6339089411508</v>
      </c>
      <c r="D3" s="176">
        <f>+C3*B3</f>
        <v>2875199.6226595901</v>
      </c>
      <c r="F3" s="168"/>
    </row>
    <row r="4" spans="1:7" x14ac:dyDescent="0.2">
      <c r="A4" s="177"/>
      <c r="B4" s="400" t="s">
        <v>52</v>
      </c>
      <c r="C4" s="401"/>
      <c r="D4" s="178">
        <f>SUM(D3:D3)</f>
        <v>2875199.6226595901</v>
      </c>
      <c r="F4" s="168"/>
    </row>
    <row r="5" spans="1:7" x14ac:dyDescent="0.2">
      <c r="A5" s="179"/>
      <c r="B5" s="180"/>
      <c r="C5" s="180"/>
      <c r="D5" s="181"/>
      <c r="F5" s="168"/>
    </row>
    <row r="6" spans="1:7" x14ac:dyDescent="0.2">
      <c r="A6" s="106" t="s">
        <v>176</v>
      </c>
    </row>
    <row r="7" spans="1:7" x14ac:dyDescent="0.2">
      <c r="A7" s="402" t="s">
        <v>193</v>
      </c>
      <c r="B7" s="403" t="s">
        <v>213</v>
      </c>
      <c r="C7" s="404" t="s">
        <v>194</v>
      </c>
      <c r="D7" s="404"/>
      <c r="E7" s="404"/>
      <c r="F7" s="404"/>
    </row>
    <row r="8" spans="1:7" ht="15.75" x14ac:dyDescent="0.25">
      <c r="A8" s="402"/>
      <c r="B8" s="403"/>
      <c r="C8" s="126">
        <v>1</v>
      </c>
      <c r="D8" s="126">
        <v>2</v>
      </c>
      <c r="E8" s="126">
        <v>3</v>
      </c>
      <c r="F8" s="126">
        <v>4</v>
      </c>
      <c r="G8" s="108"/>
    </row>
    <row r="9" spans="1:7" x14ac:dyDescent="0.2">
      <c r="A9" s="120" t="s">
        <v>177</v>
      </c>
      <c r="B9" s="122" t="s">
        <v>178</v>
      </c>
      <c r="C9" s="121">
        <v>260000</v>
      </c>
      <c r="D9" s="121">
        <v>350000</v>
      </c>
      <c r="E9" s="121">
        <v>330000</v>
      </c>
      <c r="F9" s="121">
        <v>180000</v>
      </c>
      <c r="G9" s="110"/>
    </row>
    <row r="10" spans="1:7" x14ac:dyDescent="0.2">
      <c r="A10" s="120" t="s">
        <v>41</v>
      </c>
      <c r="B10" s="122">
        <v>95</v>
      </c>
      <c r="C10" s="122">
        <v>138</v>
      </c>
      <c r="D10" s="122">
        <v>170</v>
      </c>
      <c r="E10" s="122">
        <v>168</v>
      </c>
      <c r="F10" s="122">
        <v>90</v>
      </c>
      <c r="G10" s="110"/>
    </row>
    <row r="11" spans="1:7" x14ac:dyDescent="0.2">
      <c r="A11" s="120" t="s">
        <v>179</v>
      </c>
      <c r="B11" s="122" t="s">
        <v>178</v>
      </c>
      <c r="C11" s="123">
        <f>+C9/C10</f>
        <v>1884.0579710144928</v>
      </c>
      <c r="D11" s="123">
        <f>+D9/D10</f>
        <v>2058.8235294117649</v>
      </c>
      <c r="E11" s="123">
        <f>+E9/E10</f>
        <v>1964.2857142857142</v>
      </c>
      <c r="F11" s="123">
        <f>+F9/F10</f>
        <v>2000</v>
      </c>
      <c r="G11" s="110"/>
    </row>
    <row r="12" spans="1:7" x14ac:dyDescent="0.2">
      <c r="A12" s="120" t="s">
        <v>180</v>
      </c>
      <c r="B12" s="122" t="s">
        <v>181</v>
      </c>
      <c r="C12" s="122" t="s">
        <v>182</v>
      </c>
      <c r="D12" s="122" t="s">
        <v>182</v>
      </c>
      <c r="E12" s="122" t="s">
        <v>183</v>
      </c>
      <c r="F12" s="122" t="s">
        <v>182</v>
      </c>
      <c r="G12" s="110"/>
    </row>
    <row r="13" spans="1:7" x14ac:dyDescent="0.2">
      <c r="A13" s="120" t="s">
        <v>368</v>
      </c>
      <c r="B13" s="122" t="s">
        <v>369</v>
      </c>
      <c r="C13" s="122" t="s">
        <v>369</v>
      </c>
      <c r="D13" s="122" t="s">
        <v>369</v>
      </c>
      <c r="E13" s="122" t="s">
        <v>369</v>
      </c>
      <c r="F13" s="122" t="s">
        <v>369</v>
      </c>
      <c r="G13" s="110"/>
    </row>
    <row r="14" spans="1:7" x14ac:dyDescent="0.2">
      <c r="A14" s="124" t="s">
        <v>184</v>
      </c>
      <c r="B14" s="122">
        <v>50</v>
      </c>
      <c r="C14" s="122">
        <v>100</v>
      </c>
      <c r="D14" s="122">
        <v>0</v>
      </c>
      <c r="E14" s="122">
        <v>200</v>
      </c>
      <c r="F14" s="122">
        <v>0</v>
      </c>
      <c r="G14" s="110"/>
    </row>
    <row r="15" spans="1:7" x14ac:dyDescent="0.2">
      <c r="A15" s="120" t="s">
        <v>185</v>
      </c>
      <c r="B15" s="122">
        <v>30</v>
      </c>
      <c r="C15" s="122">
        <v>20</v>
      </c>
      <c r="D15" s="122">
        <v>20</v>
      </c>
      <c r="E15" s="122">
        <v>40</v>
      </c>
      <c r="F15" s="122">
        <v>40</v>
      </c>
      <c r="G15" s="110"/>
    </row>
    <row r="16" spans="1:7" x14ac:dyDescent="0.2">
      <c r="A16" s="120" t="s">
        <v>356</v>
      </c>
      <c r="B16" s="122">
        <v>3</v>
      </c>
      <c r="C16" s="122">
        <v>2</v>
      </c>
      <c r="D16" s="122">
        <v>3</v>
      </c>
      <c r="E16" s="122">
        <v>4</v>
      </c>
      <c r="F16" s="122">
        <v>2</v>
      </c>
      <c r="G16" s="110"/>
    </row>
    <row r="17" spans="1:7" x14ac:dyDescent="0.2">
      <c r="A17" s="120" t="s">
        <v>186</v>
      </c>
      <c r="B17" s="125" t="s">
        <v>187</v>
      </c>
      <c r="C17" s="125" t="s">
        <v>187</v>
      </c>
      <c r="D17" s="122" t="s">
        <v>187</v>
      </c>
      <c r="E17" s="122" t="s">
        <v>187</v>
      </c>
      <c r="F17" s="125" t="s">
        <v>188</v>
      </c>
      <c r="G17" s="109"/>
    </row>
    <row r="18" spans="1:7" x14ac:dyDescent="0.2">
      <c r="A18" s="120" t="s">
        <v>189</v>
      </c>
      <c r="B18" s="125" t="s">
        <v>190</v>
      </c>
      <c r="C18" s="125" t="s">
        <v>190</v>
      </c>
      <c r="D18" s="122" t="s">
        <v>191</v>
      </c>
      <c r="E18" s="122" t="s">
        <v>190</v>
      </c>
      <c r="F18" s="122" t="s">
        <v>190</v>
      </c>
      <c r="G18" s="109"/>
    </row>
    <row r="19" spans="1:7" x14ac:dyDescent="0.2">
      <c r="B19" s="112"/>
      <c r="C19" s="112"/>
      <c r="F19" s="112"/>
      <c r="G19" s="107"/>
    </row>
    <row r="20" spans="1:7" x14ac:dyDescent="0.2">
      <c r="A20" s="106" t="s">
        <v>192</v>
      </c>
    </row>
    <row r="21" spans="1:7" x14ac:dyDescent="0.2">
      <c r="A21" s="402" t="s">
        <v>193</v>
      </c>
      <c r="B21" s="405" t="s">
        <v>194</v>
      </c>
      <c r="C21" s="406"/>
      <c r="D21" s="406"/>
      <c r="E21" s="407"/>
      <c r="F21" s="106"/>
    </row>
    <row r="22" spans="1:7" x14ac:dyDescent="0.2">
      <c r="A22" s="402"/>
      <c r="B22" s="117">
        <v>1</v>
      </c>
      <c r="C22" s="117">
        <v>2</v>
      </c>
      <c r="D22" s="117">
        <v>3</v>
      </c>
      <c r="E22" s="117">
        <v>4</v>
      </c>
      <c r="F22" s="106"/>
    </row>
    <row r="23" spans="1:7" ht="30" x14ac:dyDescent="0.2">
      <c r="A23" s="113" t="s">
        <v>180</v>
      </c>
      <c r="B23" s="114" t="s">
        <v>195</v>
      </c>
      <c r="C23" s="114" t="s">
        <v>195</v>
      </c>
      <c r="D23" s="114" t="s">
        <v>196</v>
      </c>
      <c r="E23" s="114" t="s">
        <v>195</v>
      </c>
      <c r="F23" s="106"/>
    </row>
    <row r="24" spans="1:7" x14ac:dyDescent="0.2">
      <c r="A24" s="113" t="str">
        <f>+A14</f>
        <v xml:space="preserve">Orto/giardino esclusivo (mq) </v>
      </c>
      <c r="B24" s="114">
        <f>+$B$14-C14</f>
        <v>-50</v>
      </c>
      <c r="C24" s="114">
        <f>+$B$14-D14</f>
        <v>50</v>
      </c>
      <c r="D24" s="114">
        <f>+$B$14-E14</f>
        <v>-150</v>
      </c>
      <c r="E24" s="114">
        <f>+$B$14-F14</f>
        <v>50</v>
      </c>
      <c r="F24" s="106"/>
    </row>
    <row r="25" spans="1:7" x14ac:dyDescent="0.2">
      <c r="A25" s="113" t="str">
        <f>+A15</f>
        <v>Garage/Cantina (mq)</v>
      </c>
      <c r="B25" s="114">
        <f>+$B$15-C15</f>
        <v>10</v>
      </c>
      <c r="C25" s="114">
        <f>+$B$15-D15</f>
        <v>10</v>
      </c>
      <c r="D25" s="114">
        <f>+$B$15-E15</f>
        <v>-10</v>
      </c>
      <c r="E25" s="114">
        <f>+$B$15-F15</f>
        <v>-10</v>
      </c>
      <c r="F25" s="106"/>
    </row>
    <row r="26" spans="1:7" x14ac:dyDescent="0.2">
      <c r="A26" s="113" t="str">
        <f>+A16</f>
        <v>Classe energetica (n. A)</v>
      </c>
      <c r="B26" s="114">
        <f>+$B$16-C16</f>
        <v>1</v>
      </c>
      <c r="C26" s="114">
        <f>+$B$16-D16</f>
        <v>0</v>
      </c>
      <c r="D26" s="114">
        <f>+$B$16-E16</f>
        <v>-1</v>
      </c>
      <c r="E26" s="114">
        <f>+$B$16-F16</f>
        <v>1</v>
      </c>
      <c r="F26" s="106"/>
    </row>
    <row r="27" spans="1:7" x14ac:dyDescent="0.2">
      <c r="A27" s="113" t="str">
        <f>+A17</f>
        <v>Climatizzazione centralizzata</v>
      </c>
      <c r="B27" s="115">
        <v>0</v>
      </c>
      <c r="C27" s="114">
        <v>0</v>
      </c>
      <c r="D27" s="114">
        <v>1</v>
      </c>
      <c r="E27" s="115">
        <v>1</v>
      </c>
      <c r="F27" s="106"/>
    </row>
    <row r="28" spans="1:7" ht="30" x14ac:dyDescent="0.2">
      <c r="A28" s="116" t="s">
        <v>189</v>
      </c>
      <c r="B28" s="117">
        <v>0</v>
      </c>
      <c r="C28" s="114" t="s">
        <v>197</v>
      </c>
      <c r="D28" s="114">
        <v>0</v>
      </c>
      <c r="E28" s="117">
        <v>0</v>
      </c>
      <c r="F28" s="106"/>
    </row>
    <row r="29" spans="1:7" x14ac:dyDescent="0.2">
      <c r="F29" s="106"/>
    </row>
    <row r="30" spans="1:7" x14ac:dyDescent="0.2">
      <c r="A30" s="106" t="s">
        <v>198</v>
      </c>
    </row>
    <row r="31" spans="1:7" x14ac:dyDescent="0.2">
      <c r="A31" s="132" t="s">
        <v>193</v>
      </c>
      <c r="B31" s="134" t="s">
        <v>20</v>
      </c>
      <c r="C31" s="137" t="s">
        <v>108</v>
      </c>
      <c r="D31" s="397" t="s">
        <v>263</v>
      </c>
      <c r="E31" s="399"/>
    </row>
    <row r="32" spans="1:7" x14ac:dyDescent="0.2">
      <c r="A32" s="128" t="s">
        <v>180</v>
      </c>
      <c r="B32" s="137"/>
      <c r="C32" s="137"/>
      <c r="D32" s="240"/>
      <c r="E32" s="241"/>
    </row>
    <row r="33" spans="1:7" x14ac:dyDescent="0.2">
      <c r="A33" s="129" t="s">
        <v>199</v>
      </c>
      <c r="B33" s="139">
        <v>200</v>
      </c>
      <c r="C33" s="140" t="s">
        <v>200</v>
      </c>
      <c r="D33" s="244" t="s">
        <v>260</v>
      </c>
      <c r="E33" s="243"/>
    </row>
    <row r="34" spans="1:7" x14ac:dyDescent="0.2">
      <c r="A34" s="130" t="s">
        <v>201</v>
      </c>
      <c r="B34" s="141">
        <v>200</v>
      </c>
      <c r="C34" s="142" t="s">
        <v>200</v>
      </c>
      <c r="D34" s="245" t="s">
        <v>260</v>
      </c>
      <c r="E34" s="246"/>
      <c r="G34" s="118"/>
    </row>
    <row r="35" spans="1:7" x14ac:dyDescent="0.2">
      <c r="A35" s="130" t="s">
        <v>234</v>
      </c>
      <c r="B35" s="141">
        <v>50</v>
      </c>
      <c r="C35" s="142" t="s">
        <v>200</v>
      </c>
      <c r="D35" s="247" t="s">
        <v>264</v>
      </c>
      <c r="E35" s="248"/>
    </row>
    <row r="36" spans="1:7" x14ac:dyDescent="0.2">
      <c r="A36" s="129" t="s">
        <v>235</v>
      </c>
      <c r="B36" s="139">
        <v>1100</v>
      </c>
      <c r="C36" s="140" t="s">
        <v>200</v>
      </c>
      <c r="D36" s="247" t="s">
        <v>114</v>
      </c>
      <c r="E36" s="248"/>
    </row>
    <row r="37" spans="1:7" ht="30" x14ac:dyDescent="0.2">
      <c r="A37" s="133" t="s">
        <v>356</v>
      </c>
      <c r="B37" s="143">
        <v>60</v>
      </c>
      <c r="C37" s="114" t="s">
        <v>202</v>
      </c>
      <c r="D37" s="205" t="s">
        <v>261</v>
      </c>
      <c r="E37" s="248"/>
    </row>
    <row r="38" spans="1:7" x14ac:dyDescent="0.2">
      <c r="A38" s="138" t="s">
        <v>186</v>
      </c>
      <c r="B38" s="143">
        <v>100</v>
      </c>
      <c r="C38" s="117" t="s">
        <v>200</v>
      </c>
      <c r="D38" s="249" t="s">
        <v>262</v>
      </c>
      <c r="E38" s="248"/>
    </row>
    <row r="39" spans="1:7" x14ac:dyDescent="0.2">
      <c r="A39" s="129" t="s">
        <v>189</v>
      </c>
      <c r="B39" s="139"/>
      <c r="C39" s="140"/>
      <c r="D39" s="242"/>
      <c r="E39" s="243"/>
    </row>
    <row r="40" spans="1:7" x14ac:dyDescent="0.2">
      <c r="A40" s="130" t="s">
        <v>203</v>
      </c>
      <c r="B40" s="144">
        <v>200</v>
      </c>
      <c r="C40" s="142" t="s">
        <v>200</v>
      </c>
      <c r="D40" s="245" t="s">
        <v>114</v>
      </c>
      <c r="E40" s="246"/>
    </row>
    <row r="41" spans="1:7" x14ac:dyDescent="0.2">
      <c r="A41" s="111"/>
    </row>
    <row r="42" spans="1:7" x14ac:dyDescent="0.2">
      <c r="A42" s="111"/>
    </row>
    <row r="43" spans="1:7" x14ac:dyDescent="0.2">
      <c r="A43" s="111"/>
    </row>
    <row r="45" spans="1:7" x14ac:dyDescent="0.2">
      <c r="A45" s="111" t="s">
        <v>204</v>
      </c>
    </row>
    <row r="46" spans="1:7" x14ac:dyDescent="0.2">
      <c r="A46" s="395" t="s">
        <v>193</v>
      </c>
      <c r="B46" s="397" t="s">
        <v>194</v>
      </c>
      <c r="C46" s="398"/>
      <c r="D46" s="398"/>
      <c r="E46" s="399"/>
    </row>
    <row r="47" spans="1:7" ht="15.75" x14ac:dyDescent="0.25">
      <c r="A47" s="396"/>
      <c r="B47" s="155">
        <v>1</v>
      </c>
      <c r="C47" s="126">
        <v>2</v>
      </c>
      <c r="D47" s="126">
        <v>3</v>
      </c>
      <c r="E47" s="131">
        <v>4</v>
      </c>
      <c r="F47" s="108"/>
      <c r="G47" s="108"/>
    </row>
    <row r="48" spans="1:7" x14ac:dyDescent="0.2">
      <c r="A48" s="156" t="str">
        <f>+A11</f>
        <v>Prezzo unitario</v>
      </c>
      <c r="B48" s="157">
        <f>+C11</f>
        <v>1884.0579710144928</v>
      </c>
      <c r="C48" s="156">
        <f>+D11</f>
        <v>2058.8235294117649</v>
      </c>
      <c r="D48" s="156">
        <f>+E11</f>
        <v>1964.2857142857142</v>
      </c>
      <c r="E48" s="158">
        <f>+F11</f>
        <v>2000</v>
      </c>
      <c r="F48" s="110"/>
      <c r="G48" s="110"/>
    </row>
    <row r="49" spans="1:7" x14ac:dyDescent="0.2">
      <c r="A49" s="151" t="str">
        <f>+A12</f>
        <v>Finiture</v>
      </c>
      <c r="B49" s="146">
        <f>+B34</f>
        <v>200</v>
      </c>
      <c r="C49" s="153">
        <f>+B34</f>
        <v>200</v>
      </c>
      <c r="D49" s="153">
        <f>+B33+B34</f>
        <v>400</v>
      </c>
      <c r="E49" s="147">
        <f>+B34</f>
        <v>200</v>
      </c>
      <c r="F49" s="110"/>
      <c r="G49" s="110"/>
    </row>
    <row r="50" spans="1:7" x14ac:dyDescent="0.2">
      <c r="A50" s="151" t="str">
        <f>+A16</f>
        <v>Classe energetica (n. A)</v>
      </c>
      <c r="B50" s="146">
        <f>+$B$37*B26</f>
        <v>60</v>
      </c>
      <c r="C50" s="153">
        <f t="shared" ref="C50:E50" si="0">+$B$37*C26</f>
        <v>0</v>
      </c>
      <c r="D50" s="153">
        <f t="shared" si="0"/>
        <v>-60</v>
      </c>
      <c r="E50" s="147">
        <f t="shared" si="0"/>
        <v>60</v>
      </c>
      <c r="F50" s="110"/>
      <c r="G50" s="110"/>
    </row>
    <row r="51" spans="1:7" x14ac:dyDescent="0.2">
      <c r="A51" s="151" t="str">
        <f>+A17</f>
        <v>Climatizzazione centralizzata</v>
      </c>
      <c r="B51" s="146">
        <f>+B27*$B$37</f>
        <v>0</v>
      </c>
      <c r="C51" s="153">
        <f t="shared" ref="C51:E51" si="1">+C27*$B$37</f>
        <v>0</v>
      </c>
      <c r="D51" s="153">
        <f t="shared" si="1"/>
        <v>60</v>
      </c>
      <c r="E51" s="147">
        <f t="shared" si="1"/>
        <v>60</v>
      </c>
      <c r="F51" s="110"/>
      <c r="G51" s="110"/>
    </row>
    <row r="52" spans="1:7" x14ac:dyDescent="0.2">
      <c r="A52" s="151" t="str">
        <f>+A18</f>
        <v>Localizzazione</v>
      </c>
      <c r="B52" s="146">
        <v>0</v>
      </c>
      <c r="C52" s="153">
        <f>-B40</f>
        <v>-200</v>
      </c>
      <c r="D52" s="153">
        <v>0</v>
      </c>
      <c r="E52" s="147">
        <v>0</v>
      </c>
      <c r="F52" s="110"/>
      <c r="G52" s="110"/>
    </row>
    <row r="53" spans="1:7" x14ac:dyDescent="0.2">
      <c r="A53" s="159" t="s">
        <v>205</v>
      </c>
      <c r="B53" s="160">
        <f>SUM(B48:B52)</f>
        <v>2144.057971014493</v>
      </c>
      <c r="C53" s="161">
        <f t="shared" ref="C53:E53" si="2">SUM(C48:C52)</f>
        <v>2058.8235294117649</v>
      </c>
      <c r="D53" s="161">
        <f t="shared" si="2"/>
        <v>2364.2857142857142</v>
      </c>
      <c r="E53" s="162">
        <f t="shared" si="2"/>
        <v>2320</v>
      </c>
      <c r="F53" s="110"/>
      <c r="G53" s="110"/>
    </row>
    <row r="54" spans="1:7" x14ac:dyDescent="0.2">
      <c r="A54" s="152" t="s">
        <v>214</v>
      </c>
      <c r="B54" s="148">
        <f>+B53*$B$10</f>
        <v>203685.50724637683</v>
      </c>
      <c r="C54" s="154">
        <f t="shared" ref="C54:E54" si="3">+C53*$B$10</f>
        <v>195588.23529411765</v>
      </c>
      <c r="D54" s="154">
        <f t="shared" si="3"/>
        <v>224607.14285714284</v>
      </c>
      <c r="E54" s="149">
        <f t="shared" si="3"/>
        <v>220400</v>
      </c>
      <c r="F54" s="110"/>
      <c r="G54" s="110"/>
    </row>
    <row r="55" spans="1:7" x14ac:dyDescent="0.2">
      <c r="A55" s="151" t="str">
        <f>+A14</f>
        <v xml:space="preserve">Orto/giardino esclusivo (mq) </v>
      </c>
      <c r="B55" s="146">
        <f>+$B$35*B24</f>
        <v>-2500</v>
      </c>
      <c r="C55" s="153">
        <f t="shared" ref="C55:E55" si="4">+$B$35*C24</f>
        <v>2500</v>
      </c>
      <c r="D55" s="153">
        <f t="shared" si="4"/>
        <v>-7500</v>
      </c>
      <c r="E55" s="147">
        <f t="shared" si="4"/>
        <v>2500</v>
      </c>
      <c r="F55" s="110"/>
      <c r="G55" s="110"/>
    </row>
    <row r="56" spans="1:7" x14ac:dyDescent="0.2">
      <c r="A56" s="151" t="str">
        <f>+A15</f>
        <v>Garage/Cantina (mq)</v>
      </c>
      <c r="B56" s="146">
        <f>+$B$36*B25</f>
        <v>11000</v>
      </c>
      <c r="C56" s="153">
        <f t="shared" ref="C56:E56" si="5">+$B$36*C25</f>
        <v>11000</v>
      </c>
      <c r="D56" s="153">
        <f t="shared" si="5"/>
        <v>-11000</v>
      </c>
      <c r="E56" s="147">
        <f t="shared" si="5"/>
        <v>-11000</v>
      </c>
      <c r="F56" s="110"/>
      <c r="G56" s="110"/>
    </row>
    <row r="57" spans="1:7" x14ac:dyDescent="0.2">
      <c r="A57" s="156" t="s">
        <v>206</v>
      </c>
      <c r="B57" s="163">
        <f>+B54+B55+B56</f>
        <v>212185.50724637683</v>
      </c>
      <c r="C57" s="164">
        <f t="shared" ref="C57:E57" si="6">+C54+C55+C56</f>
        <v>209088.23529411765</v>
      </c>
      <c r="D57" s="164">
        <f t="shared" si="6"/>
        <v>206107.14285714284</v>
      </c>
      <c r="E57" s="165">
        <f t="shared" si="6"/>
        <v>211900</v>
      </c>
    </row>
    <row r="58" spans="1:7" x14ac:dyDescent="0.2">
      <c r="A58" s="119"/>
    </row>
    <row r="59" spans="1:7" ht="30" x14ac:dyDescent="0.2">
      <c r="A59" s="166"/>
      <c r="B59" s="114" t="s">
        <v>207</v>
      </c>
      <c r="C59" s="127" t="s">
        <v>208</v>
      </c>
    </row>
    <row r="60" spans="1:7" x14ac:dyDescent="0.2">
      <c r="A60" s="145" t="s">
        <v>209</v>
      </c>
      <c r="B60" s="153">
        <f>AVERAGE(B57:E57)</f>
        <v>209820.22134940932</v>
      </c>
      <c r="C60" s="135">
        <f>+B60/$B$10</f>
        <v>2208.6339089411508</v>
      </c>
    </row>
    <row r="61" spans="1:7" x14ac:dyDescent="0.2">
      <c r="A61" s="145" t="s">
        <v>210</v>
      </c>
      <c r="B61" s="153">
        <f>MIN(B57:E57)</f>
        <v>206107.14285714284</v>
      </c>
      <c r="C61" s="135">
        <f t="shared" ref="C61:C62" si="7">+B61/$B$10</f>
        <v>2169.5488721804509</v>
      </c>
    </row>
    <row r="62" spans="1:7" x14ac:dyDescent="0.2">
      <c r="A62" s="145" t="s">
        <v>211</v>
      </c>
      <c r="B62" s="153">
        <f>MAX(B57:E57)</f>
        <v>212185.50724637683</v>
      </c>
      <c r="C62" s="135">
        <f t="shared" si="7"/>
        <v>2233.5316552250192</v>
      </c>
    </row>
    <row r="63" spans="1:7" x14ac:dyDescent="0.2">
      <c r="A63" s="150" t="s">
        <v>212</v>
      </c>
      <c r="B63" s="167">
        <f>+(B62-B61)/B60</f>
        <v>2.8969392702678613E-2</v>
      </c>
      <c r="C63" s="136"/>
    </row>
  </sheetData>
  <mergeCells count="9">
    <mergeCell ref="A46:A47"/>
    <mergeCell ref="B46:E46"/>
    <mergeCell ref="B4:C4"/>
    <mergeCell ref="A7:A8"/>
    <mergeCell ref="B7:B8"/>
    <mergeCell ref="C7:F7"/>
    <mergeCell ref="A21:A22"/>
    <mergeCell ref="B21:E21"/>
    <mergeCell ref="D31:E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workbookViewId="0">
      <selection activeCell="C37" sqref="C37"/>
    </sheetView>
  </sheetViews>
  <sheetFormatPr defaultRowHeight="14.25" x14ac:dyDescent="0.2"/>
  <cols>
    <col min="1" max="1" width="31.140625" style="250" customWidth="1"/>
    <col min="2" max="2" width="14" style="251" customWidth="1"/>
    <col min="3" max="3" width="47.140625" style="252" customWidth="1"/>
    <col min="4" max="5" width="9.140625" style="250"/>
    <col min="6" max="6" width="21.7109375" style="250" customWidth="1"/>
    <col min="7" max="7" width="17.28515625" style="250" customWidth="1"/>
    <col min="8" max="8" width="13.28515625" style="250" customWidth="1"/>
    <col min="9" max="16384" width="9.140625" style="250"/>
  </cols>
  <sheetData>
    <row r="1" spans="1:8" x14ac:dyDescent="0.2">
      <c r="A1" s="250" t="s">
        <v>265</v>
      </c>
    </row>
    <row r="3" spans="1:8" x14ac:dyDescent="0.2">
      <c r="A3" s="250" t="s">
        <v>266</v>
      </c>
      <c r="F3" s="408" t="s">
        <v>267</v>
      </c>
      <c r="G3" s="408"/>
      <c r="H3" s="408"/>
    </row>
    <row r="4" spans="1:8" x14ac:dyDescent="0.2">
      <c r="A4" s="253" t="s">
        <v>193</v>
      </c>
      <c r="B4" s="254" t="s">
        <v>320</v>
      </c>
      <c r="C4" s="255" t="s">
        <v>268</v>
      </c>
      <c r="F4" s="256"/>
      <c r="G4" s="257"/>
      <c r="H4" s="258" t="s">
        <v>269</v>
      </c>
    </row>
    <row r="5" spans="1:8" x14ac:dyDescent="0.2">
      <c r="A5" s="259" t="s">
        <v>270</v>
      </c>
      <c r="B5" s="260">
        <v>95</v>
      </c>
      <c r="C5" s="261" t="s">
        <v>271</v>
      </c>
      <c r="F5" s="256" t="s">
        <v>7</v>
      </c>
      <c r="G5" s="262"/>
      <c r="H5" s="263"/>
    </row>
    <row r="6" spans="1:8" x14ac:dyDescent="0.2">
      <c r="A6" s="259" t="s">
        <v>272</v>
      </c>
      <c r="B6" s="265">
        <v>7.5</v>
      </c>
      <c r="C6" s="261" t="s">
        <v>321</v>
      </c>
      <c r="F6" s="264" t="s">
        <v>274</v>
      </c>
      <c r="G6" s="251"/>
      <c r="H6" s="301">
        <f>+B7*12</f>
        <v>8550</v>
      </c>
    </row>
    <row r="7" spans="1:8" x14ac:dyDescent="0.2">
      <c r="A7" s="259" t="s">
        <v>275</v>
      </c>
      <c r="B7" s="260">
        <f>+B6*B5</f>
        <v>712.5</v>
      </c>
      <c r="C7" s="261"/>
      <c r="F7" s="264" t="s">
        <v>276</v>
      </c>
      <c r="G7" s="251"/>
      <c r="H7" s="301">
        <f>+B7*6.5*B9</f>
        <v>46.3125</v>
      </c>
    </row>
    <row r="8" spans="1:8" x14ac:dyDescent="0.2">
      <c r="A8" s="259" t="s">
        <v>277</v>
      </c>
      <c r="B8" s="260">
        <f>+B7*3</f>
        <v>2137.5</v>
      </c>
      <c r="C8" s="266" t="s">
        <v>278</v>
      </c>
      <c r="F8" s="264" t="s">
        <v>279</v>
      </c>
      <c r="G8" s="251"/>
      <c r="H8" s="301">
        <f>+B8*(B9-B10)</f>
        <v>19.237500000000001</v>
      </c>
    </row>
    <row r="9" spans="1:8" ht="28.5" x14ac:dyDescent="0.2">
      <c r="A9" s="259" t="s">
        <v>280</v>
      </c>
      <c r="B9" s="267">
        <v>0.01</v>
      </c>
      <c r="C9" s="268" t="s">
        <v>281</v>
      </c>
      <c r="F9" s="269" t="s">
        <v>282</v>
      </c>
      <c r="G9" s="270"/>
      <c r="H9" s="302">
        <f>SUM(H6:H8)</f>
        <v>8615.5499999999993</v>
      </c>
    </row>
    <row r="10" spans="1:8" x14ac:dyDescent="0.2">
      <c r="A10" s="259" t="s">
        <v>283</v>
      </c>
      <c r="B10" s="267">
        <v>1E-3</v>
      </c>
      <c r="C10" s="268" t="s">
        <v>281</v>
      </c>
      <c r="F10" s="271"/>
      <c r="G10" s="251"/>
      <c r="H10" s="301"/>
    </row>
    <row r="11" spans="1:8" x14ac:dyDescent="0.2">
      <c r="A11" s="259" t="s">
        <v>284</v>
      </c>
      <c r="B11" s="267">
        <v>0.03</v>
      </c>
      <c r="C11" s="268" t="s">
        <v>285</v>
      </c>
      <c r="F11" s="272" t="s">
        <v>15</v>
      </c>
      <c r="G11" s="262"/>
      <c r="H11" s="303"/>
    </row>
    <row r="12" spans="1:8" x14ac:dyDescent="0.2">
      <c r="A12" s="273" t="s">
        <v>286</v>
      </c>
      <c r="B12" s="267">
        <v>0.02</v>
      </c>
      <c r="C12" s="268" t="s">
        <v>287</v>
      </c>
      <c r="F12" s="274" t="s">
        <v>286</v>
      </c>
      <c r="G12" s="270"/>
      <c r="H12" s="304">
        <f>H6*B12</f>
        <v>171</v>
      </c>
    </row>
    <row r="13" spans="1:8" x14ac:dyDescent="0.2">
      <c r="A13" s="259" t="s">
        <v>288</v>
      </c>
      <c r="B13" s="267">
        <v>0.02</v>
      </c>
      <c r="C13" s="268" t="s">
        <v>287</v>
      </c>
      <c r="F13" s="413" t="s">
        <v>289</v>
      </c>
      <c r="G13" s="275" t="s">
        <v>290</v>
      </c>
      <c r="H13" s="305">
        <f>H6*B15</f>
        <v>128.25</v>
      </c>
    </row>
    <row r="14" spans="1:8" x14ac:dyDescent="0.2">
      <c r="A14" s="259" t="s">
        <v>291</v>
      </c>
      <c r="B14" s="267">
        <v>0.01</v>
      </c>
      <c r="C14" s="268" t="s">
        <v>287</v>
      </c>
      <c r="F14" s="414"/>
      <c r="G14" s="276" t="s">
        <v>292</v>
      </c>
      <c r="H14" s="301">
        <f>H6*B17</f>
        <v>855</v>
      </c>
    </row>
    <row r="15" spans="1:8" x14ac:dyDescent="0.2">
      <c r="A15" s="259" t="s">
        <v>293</v>
      </c>
      <c r="B15" s="267">
        <v>1.4999999999999999E-2</v>
      </c>
      <c r="C15" s="266" t="s">
        <v>287</v>
      </c>
      <c r="F15" s="415"/>
      <c r="G15" s="277" t="s">
        <v>294</v>
      </c>
      <c r="H15" s="302">
        <f>H6*B16</f>
        <v>85.5</v>
      </c>
    </row>
    <row r="16" spans="1:8" x14ac:dyDescent="0.2">
      <c r="A16" s="259" t="s">
        <v>295</v>
      </c>
      <c r="B16" s="267">
        <v>0.01</v>
      </c>
      <c r="C16" s="268" t="s">
        <v>287</v>
      </c>
      <c r="F16" s="416" t="s">
        <v>296</v>
      </c>
      <c r="G16" s="275" t="s">
        <v>297</v>
      </c>
      <c r="H16" s="305">
        <f>H6*B19</f>
        <v>855</v>
      </c>
    </row>
    <row r="17" spans="1:8" x14ac:dyDescent="0.2">
      <c r="A17" s="259" t="s">
        <v>298</v>
      </c>
      <c r="B17" s="267">
        <v>0.1</v>
      </c>
      <c r="C17" s="268" t="s">
        <v>287</v>
      </c>
      <c r="F17" s="417"/>
      <c r="G17" s="277" t="s">
        <v>299</v>
      </c>
      <c r="H17" s="302">
        <f>H6*B18</f>
        <v>1795.5</v>
      </c>
    </row>
    <row r="18" spans="1:8" x14ac:dyDescent="0.2">
      <c r="A18" s="259" t="s">
        <v>300</v>
      </c>
      <c r="B18" s="267">
        <v>0.21</v>
      </c>
      <c r="C18" s="266" t="s">
        <v>301</v>
      </c>
      <c r="F18" s="418" t="s">
        <v>302</v>
      </c>
      <c r="G18" s="278" t="s">
        <v>303</v>
      </c>
      <c r="H18" s="301">
        <f>+H6*B13</f>
        <v>171</v>
      </c>
    </row>
    <row r="19" spans="1:8" x14ac:dyDescent="0.2">
      <c r="A19" s="279" t="s">
        <v>304</v>
      </c>
      <c r="B19" s="280">
        <v>0.1</v>
      </c>
      <c r="C19" s="281" t="s">
        <v>287</v>
      </c>
      <c r="F19" s="418"/>
      <c r="G19" s="277" t="s">
        <v>305</v>
      </c>
      <c r="H19" s="301">
        <f>+H6*B14</f>
        <v>85.5</v>
      </c>
    </row>
    <row r="20" spans="1:8" x14ac:dyDescent="0.2">
      <c r="F20" s="282" t="s">
        <v>306</v>
      </c>
      <c r="G20" s="283"/>
      <c r="H20" s="305">
        <f>+B11*(H16+H13+H12+H15)/2</f>
        <v>18.596249999999998</v>
      </c>
    </row>
    <row r="21" spans="1:8" x14ac:dyDescent="0.2">
      <c r="A21" s="408" t="s">
        <v>307</v>
      </c>
      <c r="B21" s="408"/>
      <c r="C21" s="408"/>
      <c r="F21" s="284" t="s">
        <v>308</v>
      </c>
      <c r="G21" s="262"/>
      <c r="H21" s="303">
        <f>SUM(H12:H20)</f>
        <v>4165.3462499999996</v>
      </c>
    </row>
    <row r="22" spans="1:8" x14ac:dyDescent="0.2">
      <c r="A22" s="285"/>
      <c r="B22" s="254" t="s">
        <v>320</v>
      </c>
      <c r="C22" s="286" t="s">
        <v>268</v>
      </c>
      <c r="F22" s="409" t="s">
        <v>310</v>
      </c>
      <c r="G22" s="410"/>
      <c r="H22" s="303">
        <f>+H9-H21</f>
        <v>4450.2037499999997</v>
      </c>
    </row>
    <row r="23" spans="1:8" x14ac:dyDescent="0.2">
      <c r="A23" s="287" t="s">
        <v>309</v>
      </c>
      <c r="B23" s="287">
        <v>7.5</v>
      </c>
      <c r="C23" s="261" t="s">
        <v>273</v>
      </c>
      <c r="F23" s="411"/>
      <c r="G23" s="412"/>
      <c r="H23" s="300">
        <f>+H22/H6</f>
        <v>0.52049166666666657</v>
      </c>
    </row>
    <row r="24" spans="1:8" x14ac:dyDescent="0.2">
      <c r="A24" s="287" t="s">
        <v>311</v>
      </c>
      <c r="B24" s="287">
        <f>+B23*12</f>
        <v>90</v>
      </c>
      <c r="C24" s="288"/>
    </row>
    <row r="25" spans="1:8" x14ac:dyDescent="0.2">
      <c r="A25" s="287" t="s">
        <v>312</v>
      </c>
      <c r="B25" s="306">
        <v>2100</v>
      </c>
      <c r="C25" s="261" t="s">
        <v>273</v>
      </c>
    </row>
    <row r="26" spans="1:8" x14ac:dyDescent="0.2">
      <c r="A26" s="287" t="s">
        <v>313</v>
      </c>
      <c r="B26" s="289">
        <f>+B24/B25</f>
        <v>4.2857142857142858E-2</v>
      </c>
      <c r="C26" s="288"/>
      <c r="F26" s="290"/>
      <c r="G26" s="251"/>
      <c r="H26" s="291"/>
    </row>
    <row r="27" spans="1:8" x14ac:dyDescent="0.2">
      <c r="A27" s="287" t="s">
        <v>319</v>
      </c>
      <c r="B27" s="292">
        <f>+H23</f>
        <v>0.52049166666666657</v>
      </c>
      <c r="C27" s="293" t="s">
        <v>314</v>
      </c>
      <c r="F27" s="290"/>
      <c r="G27" s="251"/>
      <c r="H27" s="291"/>
    </row>
    <row r="28" spans="1:8" x14ac:dyDescent="0.2">
      <c r="A28" s="294" t="s">
        <v>315</v>
      </c>
      <c r="B28" s="295">
        <f>+B26*B27</f>
        <v>2.230678571428571E-2</v>
      </c>
      <c r="C28" s="296"/>
      <c r="F28" s="290"/>
      <c r="G28" s="251"/>
      <c r="H28" s="291"/>
    </row>
    <row r="32" spans="1:8" x14ac:dyDescent="0.2">
      <c r="A32" s="290" t="s">
        <v>316</v>
      </c>
      <c r="C32" s="291"/>
    </row>
    <row r="33" spans="1:3" x14ac:dyDescent="0.2">
      <c r="A33" s="284" t="s">
        <v>310</v>
      </c>
      <c r="B33" s="351">
        <f>+H22</f>
        <v>4450.2037499999997</v>
      </c>
      <c r="C33" s="250"/>
    </row>
    <row r="34" spans="1:3" x14ac:dyDescent="0.2">
      <c r="A34" s="294" t="s">
        <v>315</v>
      </c>
      <c r="B34" s="352">
        <f>+B28</f>
        <v>2.230678571428571E-2</v>
      </c>
      <c r="C34" s="250"/>
    </row>
    <row r="35" spans="1:3" x14ac:dyDescent="0.2">
      <c r="A35" s="284" t="s">
        <v>317</v>
      </c>
      <c r="B35" s="297">
        <f>+B33/B34</f>
        <v>199500.00000000003</v>
      </c>
      <c r="C35" s="250"/>
    </row>
    <row r="36" spans="1:3" x14ac:dyDescent="0.2">
      <c r="A36" s="298" t="s">
        <v>318</v>
      </c>
      <c r="B36" s="299">
        <f>+B35/B5</f>
        <v>2100.0000000000005</v>
      </c>
    </row>
  </sheetData>
  <mergeCells count="6">
    <mergeCell ref="A21:C21"/>
    <mergeCell ref="F22:G23"/>
    <mergeCell ref="F3:H3"/>
    <mergeCell ref="F13:F15"/>
    <mergeCell ref="F16:F17"/>
    <mergeCell ref="F18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Descrizione</vt:lpstr>
      <vt:lpstr>Distribuzione Costi&amp;Ricavi</vt:lpstr>
      <vt:lpstr>Ca - Costo area</vt:lpstr>
      <vt:lpstr>Cc - Costo costruzione</vt:lpstr>
      <vt:lpstr>On - Oneri concessori</vt:lpstr>
      <vt:lpstr>St - Spese tecniche</vt:lpstr>
      <vt:lpstr>Sg - Spese generali</vt:lpstr>
      <vt:lpstr>RT - Ricavi totali</vt:lpstr>
      <vt:lpstr>Ricavi da Locazione</vt:lpstr>
      <vt:lpstr>Sc - Spese commercializzazione</vt:lpstr>
      <vt:lpstr>I - Interessi</vt:lpstr>
      <vt:lpstr>T - Tasse</vt:lpstr>
      <vt:lpstr>Flusso di cassa</vt:lpstr>
      <vt:lpstr>Grafici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Revisore</dc:creator>
  <cp:lastModifiedBy>ROSATO PAOLO</cp:lastModifiedBy>
  <dcterms:created xsi:type="dcterms:W3CDTF">2020-06-13T15:54:05Z</dcterms:created>
  <dcterms:modified xsi:type="dcterms:W3CDTF">2022-05-27T07:40:30Z</dcterms:modified>
</cp:coreProperties>
</file>