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federicamarini/Desktop/Lavoro/Università desk/Programmazione e controllo/Caso Mozart/"/>
    </mc:Choice>
  </mc:AlternateContent>
  <xr:revisionPtr revIDLastSave="0" documentId="13_ncr:1_{BA089D81-6995-0144-84BB-08539D89EB7B}" xr6:coauthVersionLast="47" xr6:coauthVersionMax="47" xr10:uidLastSave="{00000000-0000-0000-0000-000000000000}"/>
  <bookViews>
    <workbookView xWindow="0" yWindow="500" windowWidth="35840" windowHeight="19560" tabRatio="704" activeTab="12" xr2:uid="{00000000-000D-0000-FFFF-FFFF00000000}"/>
  </bookViews>
  <sheets>
    <sheet name="Tab 0" sheetId="85" r:id="rId1"/>
    <sheet name="Tab 1" sheetId="86" r:id="rId2"/>
    <sheet name="Tab 2" sheetId="87" r:id="rId3"/>
    <sheet name="Tab 3" sheetId="51" r:id="rId4"/>
    <sheet name="QUANTITÀ" sheetId="52" r:id="rId5"/>
    <sheet name="PREZZI" sheetId="77" r:id="rId6"/>
    <sheet name="MOLLE" sheetId="53" r:id="rId7"/>
    <sheet name="POLIUR" sheetId="54" r:id="rId8"/>
    <sheet name="Tab. 4" sheetId="88" r:id="rId9"/>
    <sheet name="Tab 5" sheetId="89" r:id="rId10"/>
    <sheet name="All. B1-B2-B3 (2)" sheetId="91" r:id="rId11"/>
    <sheet name="Tab. 6" sheetId="56" r:id="rId12"/>
    <sheet name="Tab. 7" sheetId="90" r:id="rId13"/>
    <sheet name="Tab. 8" sheetId="92" r:id="rId14"/>
    <sheet name="Tab. 9" sheetId="93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1" i="92" l="1"/>
  <c r="C55" i="92"/>
  <c r="C48" i="92"/>
  <c r="C41" i="92"/>
  <c r="C34" i="92"/>
  <c r="C27" i="92"/>
  <c r="C20" i="92"/>
  <c r="N13" i="92"/>
  <c r="F13" i="92"/>
  <c r="D13" i="92"/>
  <c r="C13" i="92"/>
  <c r="K14" i="90"/>
  <c r="C14" i="90"/>
  <c r="D13" i="56"/>
  <c r="C49" i="90"/>
  <c r="S23" i="87"/>
  <c r="S22" i="87"/>
  <c r="S15" i="87"/>
  <c r="S14" i="87"/>
  <c r="S8" i="86"/>
  <c r="R8" i="86"/>
  <c r="S35" i="93"/>
  <c r="S34" i="93"/>
  <c r="S33" i="93"/>
  <c r="P35" i="93"/>
  <c r="P34" i="93"/>
  <c r="P33" i="93"/>
  <c r="M35" i="93"/>
  <c r="M34" i="93"/>
  <c r="M33" i="93"/>
  <c r="J35" i="93"/>
  <c r="J34" i="93"/>
  <c r="J33" i="93"/>
  <c r="G35" i="93"/>
  <c r="G34" i="93"/>
  <c r="G33" i="93"/>
  <c r="D35" i="93"/>
  <c r="D34" i="93"/>
  <c r="D33" i="93"/>
  <c r="S11" i="93"/>
  <c r="S10" i="93"/>
  <c r="S9" i="93"/>
  <c r="P11" i="93"/>
  <c r="P10" i="93"/>
  <c r="P9" i="93"/>
  <c r="M11" i="93"/>
  <c r="M10" i="93"/>
  <c r="M9" i="93"/>
  <c r="J11" i="93"/>
  <c r="J10" i="93"/>
  <c r="J9" i="93"/>
  <c r="G11" i="93"/>
  <c r="G10" i="93"/>
  <c r="G9" i="93"/>
  <c r="D10" i="93"/>
  <c r="D11" i="93"/>
  <c r="D9" i="93"/>
  <c r="C50" i="92"/>
  <c r="C43" i="92"/>
  <c r="C36" i="92"/>
  <c r="C29" i="92"/>
  <c r="C22" i="92"/>
  <c r="C15" i="92"/>
  <c r="C8" i="92"/>
  <c r="Q67" i="90"/>
  <c r="N68" i="90" s="1"/>
  <c r="N67" i="90"/>
  <c r="M68" i="90" s="1"/>
  <c r="N66" i="90" s="1"/>
  <c r="M67" i="90"/>
  <c r="L68" i="90" s="1"/>
  <c r="M66" i="90" s="1"/>
  <c r="L67" i="90"/>
  <c r="K68" i="90" s="1"/>
  <c r="K67" i="90"/>
  <c r="J68" i="90" s="1"/>
  <c r="J67" i="90"/>
  <c r="I68" i="90" s="1"/>
  <c r="I67" i="90"/>
  <c r="H68" i="90" s="1"/>
  <c r="H67" i="90"/>
  <c r="G68" i="90" s="1"/>
  <c r="G67" i="90"/>
  <c r="F68" i="90" s="1"/>
  <c r="G66" i="90" s="1"/>
  <c r="F67" i="90"/>
  <c r="E68" i="90" s="1"/>
  <c r="F66" i="90" s="1"/>
  <c r="F69" i="90" s="1"/>
  <c r="E67" i="90"/>
  <c r="D68" i="90" s="1"/>
  <c r="E66" i="90" s="1"/>
  <c r="E69" i="90" s="1"/>
  <c r="D67" i="90"/>
  <c r="C67" i="90"/>
  <c r="C64" i="90"/>
  <c r="C68" i="90" s="1"/>
  <c r="D66" i="90" s="1"/>
  <c r="D69" i="90" s="1"/>
  <c r="C63" i="90"/>
  <c r="C62" i="90"/>
  <c r="C66" i="90" s="1"/>
  <c r="Q58" i="90"/>
  <c r="N58" i="90"/>
  <c r="M59" i="90" s="1"/>
  <c r="M58" i="90"/>
  <c r="L59" i="90" s="1"/>
  <c r="L58" i="90"/>
  <c r="K59" i="90" s="1"/>
  <c r="K58" i="90"/>
  <c r="J59" i="90" s="1"/>
  <c r="J58" i="90"/>
  <c r="I59" i="90" s="1"/>
  <c r="I58" i="90"/>
  <c r="H58" i="90"/>
  <c r="G58" i="90"/>
  <c r="F59" i="90" s="1"/>
  <c r="G57" i="90" s="1"/>
  <c r="F58" i="90"/>
  <c r="E59" i="90" s="1"/>
  <c r="F57" i="90" s="1"/>
  <c r="F60" i="90" s="1"/>
  <c r="E58" i="90"/>
  <c r="D59" i="90" s="1"/>
  <c r="E57" i="90" s="1"/>
  <c r="E60" i="90" s="1"/>
  <c r="D58" i="90"/>
  <c r="C58" i="90"/>
  <c r="C55" i="90"/>
  <c r="C54" i="90"/>
  <c r="C53" i="90"/>
  <c r="C57" i="90" s="1"/>
  <c r="D29" i="56"/>
  <c r="G49" i="90"/>
  <c r="E16" i="91"/>
  <c r="E16" i="56" s="1"/>
  <c r="F16" i="56" s="1"/>
  <c r="E15" i="91"/>
  <c r="F15" i="91" s="1"/>
  <c r="E14" i="91"/>
  <c r="F14" i="91" s="1"/>
  <c r="E13" i="91"/>
  <c r="F13" i="91" s="1"/>
  <c r="E12" i="91"/>
  <c r="F12" i="91" s="1"/>
  <c r="E7" i="91"/>
  <c r="F7" i="91" s="1"/>
  <c r="E6" i="91"/>
  <c r="E6" i="56" s="1"/>
  <c r="F6" i="56" s="1"/>
  <c r="E5" i="91"/>
  <c r="F5" i="91" s="1"/>
  <c r="B30" i="89"/>
  <c r="Q49" i="90"/>
  <c r="N49" i="90"/>
  <c r="M49" i="90"/>
  <c r="L49" i="90"/>
  <c r="K49" i="90"/>
  <c r="J49" i="90"/>
  <c r="I49" i="90"/>
  <c r="H49" i="90"/>
  <c r="F49" i="90"/>
  <c r="E49" i="90"/>
  <c r="D49" i="90"/>
  <c r="C46" i="90"/>
  <c r="C45" i="90"/>
  <c r="C44" i="90"/>
  <c r="C48" i="90" s="1"/>
  <c r="Q40" i="90"/>
  <c r="N40" i="90"/>
  <c r="M40" i="90"/>
  <c r="L40" i="90"/>
  <c r="K41" i="90" s="1"/>
  <c r="K40" i="90"/>
  <c r="J41" i="90" s="1"/>
  <c r="J40" i="90"/>
  <c r="I41" i="90" s="1"/>
  <c r="I40" i="90"/>
  <c r="H40" i="90"/>
  <c r="G40" i="90"/>
  <c r="F40" i="90"/>
  <c r="E40" i="90"/>
  <c r="D40" i="90"/>
  <c r="C40" i="90"/>
  <c r="C37" i="90"/>
  <c r="C36" i="90"/>
  <c r="C35" i="90"/>
  <c r="C39" i="90" s="1"/>
  <c r="Q31" i="90"/>
  <c r="N32" i="90" s="1"/>
  <c r="N31" i="90"/>
  <c r="M32" i="90" s="1"/>
  <c r="M31" i="90"/>
  <c r="L32" i="90" s="1"/>
  <c r="L31" i="90"/>
  <c r="K32" i="90" s="1"/>
  <c r="K31" i="90"/>
  <c r="J32" i="90" s="1"/>
  <c r="J31" i="90"/>
  <c r="I31" i="90"/>
  <c r="H31" i="90"/>
  <c r="G31" i="90"/>
  <c r="F31" i="90"/>
  <c r="E31" i="90"/>
  <c r="D31" i="90"/>
  <c r="C31" i="90"/>
  <c r="C28" i="90"/>
  <c r="C27" i="90"/>
  <c r="C26" i="90"/>
  <c r="C30" i="90" s="1"/>
  <c r="Q22" i="90"/>
  <c r="N22" i="90"/>
  <c r="M23" i="90" s="1"/>
  <c r="M22" i="90"/>
  <c r="L23" i="90" s="1"/>
  <c r="L22" i="90"/>
  <c r="K22" i="90"/>
  <c r="J22" i="90"/>
  <c r="I22" i="90"/>
  <c r="H22" i="90"/>
  <c r="G22" i="90"/>
  <c r="F22" i="90"/>
  <c r="E22" i="90"/>
  <c r="D22" i="90"/>
  <c r="C22" i="90"/>
  <c r="C19" i="90"/>
  <c r="C18" i="90"/>
  <c r="C17" i="90"/>
  <c r="C21" i="90" s="1"/>
  <c r="Q13" i="90"/>
  <c r="D13" i="90"/>
  <c r="E13" i="90"/>
  <c r="F13" i="90"/>
  <c r="G13" i="90"/>
  <c r="H13" i="90"/>
  <c r="I13" i="90"/>
  <c r="J13" i="90"/>
  <c r="K13" i="90"/>
  <c r="L13" i="90"/>
  <c r="M13" i="90"/>
  <c r="N13" i="90"/>
  <c r="C13" i="90"/>
  <c r="Q27" i="89"/>
  <c r="Q28" i="89"/>
  <c r="T13" i="89"/>
  <c r="T26" i="89"/>
  <c r="S8" i="52"/>
  <c r="S9" i="52"/>
  <c r="S10" i="52"/>
  <c r="S11" i="52"/>
  <c r="S15" i="52"/>
  <c r="S16" i="52"/>
  <c r="S17" i="52"/>
  <c r="S18" i="52"/>
  <c r="C10" i="90"/>
  <c r="C9" i="90"/>
  <c r="C8" i="90"/>
  <c r="C12" i="90" s="1"/>
  <c r="E15" i="56"/>
  <c r="F15" i="56" s="1"/>
  <c r="E14" i="56"/>
  <c r="E13" i="56"/>
  <c r="E12" i="56"/>
  <c r="F12" i="56" s="1"/>
  <c r="E7" i="56"/>
  <c r="F7" i="56" s="1"/>
  <c r="E5" i="56"/>
  <c r="F5" i="56" s="1"/>
  <c r="F13" i="56"/>
  <c r="F14" i="56"/>
  <c r="K27" i="89"/>
  <c r="R26" i="89"/>
  <c r="S26" i="89"/>
  <c r="Q26" i="89"/>
  <c r="N27" i="89" s="1"/>
  <c r="Q25" i="89" s="1"/>
  <c r="D26" i="89"/>
  <c r="E26" i="89"/>
  <c r="D27" i="89" s="1"/>
  <c r="F26" i="89"/>
  <c r="G26" i="89"/>
  <c r="F27" i="89" s="1"/>
  <c r="H26" i="89"/>
  <c r="I26" i="89"/>
  <c r="H27" i="89" s="1"/>
  <c r="J26" i="89"/>
  <c r="K26" i="89"/>
  <c r="L26" i="89"/>
  <c r="M26" i="89"/>
  <c r="L27" i="89" s="1"/>
  <c r="N26" i="89"/>
  <c r="M27" i="89" s="1"/>
  <c r="C26" i="89"/>
  <c r="R13" i="89"/>
  <c r="S13" i="89"/>
  <c r="Q13" i="89"/>
  <c r="E14" i="89"/>
  <c r="F14" i="89"/>
  <c r="G14" i="89"/>
  <c r="H14" i="89"/>
  <c r="I14" i="89"/>
  <c r="J14" i="89"/>
  <c r="D13" i="89"/>
  <c r="E13" i="89"/>
  <c r="F13" i="89"/>
  <c r="G13" i="89"/>
  <c r="H13" i="89"/>
  <c r="I13" i="89"/>
  <c r="J13" i="89"/>
  <c r="K13" i="89"/>
  <c r="L13" i="89"/>
  <c r="K14" i="89" s="1"/>
  <c r="M13" i="89"/>
  <c r="L14" i="89" s="1"/>
  <c r="N13" i="89"/>
  <c r="C13" i="89"/>
  <c r="C25" i="89"/>
  <c r="C12" i="89"/>
  <c r="C23" i="89"/>
  <c r="R18" i="52"/>
  <c r="Q18" i="52"/>
  <c r="P18" i="52"/>
  <c r="Q15" i="52"/>
  <c r="R15" i="52"/>
  <c r="Q16" i="52"/>
  <c r="R16" i="52"/>
  <c r="Q17" i="52"/>
  <c r="R17" i="52"/>
  <c r="Q8" i="52"/>
  <c r="R8" i="52"/>
  <c r="Q9" i="52"/>
  <c r="R9" i="52"/>
  <c r="Q10" i="52"/>
  <c r="R10" i="52"/>
  <c r="P10" i="52"/>
  <c r="P17" i="52"/>
  <c r="P16" i="52"/>
  <c r="P15" i="52"/>
  <c r="Q11" i="52"/>
  <c r="R11" i="52"/>
  <c r="P11" i="52"/>
  <c r="P9" i="52"/>
  <c r="P8" i="52"/>
  <c r="K23" i="87"/>
  <c r="K22" i="87"/>
  <c r="H23" i="87"/>
  <c r="H22" i="87"/>
  <c r="K24" i="87"/>
  <c r="H24" i="87"/>
  <c r="E24" i="87"/>
  <c r="E23" i="87"/>
  <c r="E22" i="87"/>
  <c r="R22" i="87"/>
  <c r="R23" i="87"/>
  <c r="Q22" i="87"/>
  <c r="Q23" i="87"/>
  <c r="P23" i="87"/>
  <c r="P22" i="87"/>
  <c r="R12" i="86"/>
  <c r="R11" i="86" s="1"/>
  <c r="S12" i="86"/>
  <c r="S11" i="86" s="1"/>
  <c r="Q11" i="86"/>
  <c r="Q12" i="86"/>
  <c r="Q8" i="86"/>
  <c r="S7" i="86"/>
  <c r="R7" i="86"/>
  <c r="Q7" i="86"/>
  <c r="C10" i="89"/>
  <c r="J11" i="92" l="1"/>
  <c r="L18" i="92"/>
  <c r="M18" i="92"/>
  <c r="N18" i="92"/>
  <c r="J25" i="92"/>
  <c r="K25" i="92"/>
  <c r="L25" i="92"/>
  <c r="I25" i="92"/>
  <c r="M25" i="92"/>
  <c r="I39" i="92"/>
  <c r="C17" i="92"/>
  <c r="I53" i="92"/>
  <c r="J53" i="92"/>
  <c r="L53" i="92"/>
  <c r="F18" i="92"/>
  <c r="M53" i="92"/>
  <c r="G18" i="92"/>
  <c r="I46" i="92"/>
  <c r="K32" i="92"/>
  <c r="I18" i="92"/>
  <c r="L32" i="92"/>
  <c r="K46" i="92"/>
  <c r="L54" i="92"/>
  <c r="J39" i="92"/>
  <c r="J18" i="92"/>
  <c r="M32" i="92"/>
  <c r="L46" i="92"/>
  <c r="E18" i="92"/>
  <c r="I32" i="92"/>
  <c r="J32" i="92"/>
  <c r="K18" i="92"/>
  <c r="N32" i="92"/>
  <c r="M46" i="92"/>
  <c r="N54" i="92"/>
  <c r="K39" i="92"/>
  <c r="C18" i="92"/>
  <c r="D18" i="92"/>
  <c r="K53" i="92"/>
  <c r="N53" i="92"/>
  <c r="H18" i="92"/>
  <c r="J46" i="92"/>
  <c r="N46" i="92"/>
  <c r="F54" i="92"/>
  <c r="E54" i="92"/>
  <c r="C53" i="92"/>
  <c r="F53" i="92"/>
  <c r="C52" i="92"/>
  <c r="G53" i="92"/>
  <c r="D54" i="92"/>
  <c r="D53" i="92"/>
  <c r="E53" i="92"/>
  <c r="H53" i="92"/>
  <c r="F46" i="92"/>
  <c r="E47" i="92"/>
  <c r="C46" i="92"/>
  <c r="C45" i="92"/>
  <c r="G46" i="92"/>
  <c r="F47" i="92"/>
  <c r="D46" i="92"/>
  <c r="E46" i="92"/>
  <c r="H46" i="92"/>
  <c r="M39" i="92"/>
  <c r="N39" i="92"/>
  <c r="C39" i="92"/>
  <c r="D39" i="92"/>
  <c r="E39" i="92"/>
  <c r="L39" i="92"/>
  <c r="F39" i="92"/>
  <c r="C38" i="92"/>
  <c r="G39" i="92"/>
  <c r="H39" i="92"/>
  <c r="C32" i="92"/>
  <c r="D32" i="92"/>
  <c r="E32" i="92"/>
  <c r="F32" i="92"/>
  <c r="C31" i="92"/>
  <c r="G32" i="92"/>
  <c r="H32" i="92"/>
  <c r="N25" i="92"/>
  <c r="C25" i="92"/>
  <c r="D25" i="92"/>
  <c r="E25" i="92"/>
  <c r="F25" i="92"/>
  <c r="C24" i="92"/>
  <c r="G25" i="92"/>
  <c r="H25" i="92"/>
  <c r="I11" i="92"/>
  <c r="F11" i="92"/>
  <c r="E11" i="92"/>
  <c r="G11" i="92"/>
  <c r="H11" i="92"/>
  <c r="N11" i="92"/>
  <c r="C11" i="92"/>
  <c r="M11" i="92"/>
  <c r="L11" i="92"/>
  <c r="K11" i="92"/>
  <c r="D11" i="92"/>
  <c r="C10" i="92"/>
  <c r="C69" i="90"/>
  <c r="C54" i="92" s="1"/>
  <c r="H66" i="90"/>
  <c r="H69" i="90" s="1"/>
  <c r="H54" i="92" s="1"/>
  <c r="G69" i="90"/>
  <c r="G54" i="92" s="1"/>
  <c r="I66" i="90"/>
  <c r="I69" i="90" s="1"/>
  <c r="I54" i="92" s="1"/>
  <c r="J66" i="90"/>
  <c r="K66" i="90"/>
  <c r="K69" i="90" s="1"/>
  <c r="K54" i="92" s="1"/>
  <c r="J69" i="90"/>
  <c r="J54" i="92" s="1"/>
  <c r="L66" i="90"/>
  <c r="N69" i="90"/>
  <c r="O67" i="90"/>
  <c r="L69" i="90"/>
  <c r="M69" i="90"/>
  <c r="M54" i="92" s="1"/>
  <c r="H59" i="90"/>
  <c r="I57" i="90" s="1"/>
  <c r="I60" i="90" s="1"/>
  <c r="I47" i="92" s="1"/>
  <c r="N59" i="90"/>
  <c r="C59" i="90"/>
  <c r="D57" i="90" s="1"/>
  <c r="D60" i="90" s="1"/>
  <c r="D47" i="92" s="1"/>
  <c r="O58" i="90"/>
  <c r="J57" i="90"/>
  <c r="J60" i="90"/>
  <c r="J47" i="92" s="1"/>
  <c r="K57" i="90"/>
  <c r="L57" i="90"/>
  <c r="K60" i="90"/>
  <c r="K47" i="92" s="1"/>
  <c r="M57" i="90"/>
  <c r="M60" i="90" s="1"/>
  <c r="M47" i="92" s="1"/>
  <c r="L60" i="90"/>
  <c r="L47" i="92" s="1"/>
  <c r="N57" i="90"/>
  <c r="G59" i="90"/>
  <c r="F6" i="91"/>
  <c r="F8" i="91"/>
  <c r="F16" i="91"/>
  <c r="F17" i="91" s="1"/>
  <c r="F17" i="56"/>
  <c r="L41" i="90"/>
  <c r="M39" i="90" s="1"/>
  <c r="D50" i="90"/>
  <c r="E48" i="90" s="1"/>
  <c r="F32" i="90"/>
  <c r="G30" i="90" s="1"/>
  <c r="G23" i="90"/>
  <c r="G32" i="90"/>
  <c r="H30" i="90" s="1"/>
  <c r="G41" i="90"/>
  <c r="H39" i="90" s="1"/>
  <c r="C50" i="90"/>
  <c r="D48" i="90" s="1"/>
  <c r="D51" i="90" s="1"/>
  <c r="D40" i="92" s="1"/>
  <c r="E50" i="90"/>
  <c r="F48" i="90" s="1"/>
  <c r="N41" i="90"/>
  <c r="C41" i="90"/>
  <c r="D39" i="90" s="1"/>
  <c r="D23" i="90"/>
  <c r="E21" i="90" s="1"/>
  <c r="I50" i="90"/>
  <c r="J48" i="90" s="1"/>
  <c r="E41" i="90"/>
  <c r="F39" i="90" s="1"/>
  <c r="F23" i="90"/>
  <c r="G21" i="90" s="1"/>
  <c r="H32" i="90"/>
  <c r="I30" i="90" s="1"/>
  <c r="H41" i="90"/>
  <c r="I39" i="90" s="1"/>
  <c r="I42" i="90" s="1"/>
  <c r="I33" i="92" s="1"/>
  <c r="D41" i="90"/>
  <c r="E39" i="90" s="1"/>
  <c r="F41" i="90"/>
  <c r="G39" i="90" s="1"/>
  <c r="J50" i="90"/>
  <c r="K48" i="90" s="1"/>
  <c r="K50" i="90"/>
  <c r="L50" i="90"/>
  <c r="M48" i="90" s="1"/>
  <c r="M50" i="90"/>
  <c r="N48" i="90" s="1"/>
  <c r="N50" i="90"/>
  <c r="H50" i="90"/>
  <c r="I48" i="90" s="1"/>
  <c r="L48" i="90"/>
  <c r="O49" i="90"/>
  <c r="F50" i="90"/>
  <c r="G50" i="90"/>
  <c r="I23" i="90"/>
  <c r="J21" i="90" s="1"/>
  <c r="C23" i="90"/>
  <c r="D21" i="90" s="1"/>
  <c r="M41" i="90"/>
  <c r="N39" i="90" s="1"/>
  <c r="J39" i="90"/>
  <c r="L39" i="90"/>
  <c r="K39" i="90"/>
  <c r="K42" i="90" s="1"/>
  <c r="K33" i="92" s="1"/>
  <c r="J42" i="90"/>
  <c r="J33" i="92" s="1"/>
  <c r="L42" i="90"/>
  <c r="L33" i="92" s="1"/>
  <c r="O40" i="90"/>
  <c r="K23" i="90"/>
  <c r="L21" i="90" s="1"/>
  <c r="L24" i="90" s="1"/>
  <c r="L19" i="92" s="1"/>
  <c r="E23" i="90"/>
  <c r="F21" i="90" s="1"/>
  <c r="E32" i="90"/>
  <c r="F30" i="90" s="1"/>
  <c r="H23" i="90"/>
  <c r="I21" i="90" s="1"/>
  <c r="N14" i="90"/>
  <c r="N23" i="90"/>
  <c r="J23" i="90"/>
  <c r="O31" i="90"/>
  <c r="D32" i="90"/>
  <c r="E30" i="90" s="1"/>
  <c r="C32" i="90"/>
  <c r="D30" i="90" s="1"/>
  <c r="K30" i="90"/>
  <c r="K33" i="90" s="1"/>
  <c r="K26" i="92" s="1"/>
  <c r="L30" i="90"/>
  <c r="L33" i="90" s="1"/>
  <c r="L26" i="92" s="1"/>
  <c r="M30" i="90"/>
  <c r="M33" i="90" s="1"/>
  <c r="M26" i="92" s="1"/>
  <c r="N30" i="90"/>
  <c r="N33" i="90" s="1"/>
  <c r="N26" i="92" s="1"/>
  <c r="I32" i="90"/>
  <c r="N21" i="90"/>
  <c r="O22" i="90"/>
  <c r="M21" i="90"/>
  <c r="M24" i="90" s="1"/>
  <c r="M19" i="92" s="1"/>
  <c r="C14" i="89"/>
  <c r="C15" i="89" s="1"/>
  <c r="J27" i="89"/>
  <c r="I27" i="89"/>
  <c r="C27" i="89"/>
  <c r="Q14" i="89"/>
  <c r="D14" i="89"/>
  <c r="C28" i="89"/>
  <c r="D25" i="89"/>
  <c r="D28" i="89" s="1"/>
  <c r="J28" i="89"/>
  <c r="I28" i="89"/>
  <c r="E27" i="89"/>
  <c r="E25" i="89"/>
  <c r="G27" i="89"/>
  <c r="H25" i="89" s="1"/>
  <c r="H28" i="89" s="1"/>
  <c r="M14" i="89"/>
  <c r="N14" i="89"/>
  <c r="F8" i="56"/>
  <c r="J25" i="89"/>
  <c r="I25" i="89"/>
  <c r="G25" i="89"/>
  <c r="K25" i="89"/>
  <c r="K28" i="89" s="1"/>
  <c r="L25" i="89"/>
  <c r="L28" i="89" s="1"/>
  <c r="M25" i="89"/>
  <c r="M28" i="89" s="1"/>
  <c r="O26" i="89"/>
  <c r="N25" i="89"/>
  <c r="N28" i="89" s="1"/>
  <c r="J12" i="77"/>
  <c r="K13" i="77"/>
  <c r="C14" i="77"/>
  <c r="D14" i="77"/>
  <c r="F5" i="77"/>
  <c r="K6" i="77"/>
  <c r="K53" i="53" s="1"/>
  <c r="I7" i="77"/>
  <c r="K7" i="77"/>
  <c r="L7" i="77"/>
  <c r="M7" i="77"/>
  <c r="B7" i="77"/>
  <c r="B5" i="77"/>
  <c r="N5" i="52"/>
  <c r="R14" i="87"/>
  <c r="P15" i="87"/>
  <c r="R7" i="87"/>
  <c r="R6" i="87"/>
  <c r="Q7" i="87"/>
  <c r="Q15" i="87" s="1"/>
  <c r="Q6" i="87"/>
  <c r="Q14" i="87" s="1"/>
  <c r="P7" i="87"/>
  <c r="P6" i="87"/>
  <c r="J7" i="87"/>
  <c r="J15" i="87" s="1"/>
  <c r="J23" i="87" s="1"/>
  <c r="J6" i="87"/>
  <c r="J14" i="87" s="1"/>
  <c r="J22" i="87" s="1"/>
  <c r="G7" i="87"/>
  <c r="G15" i="87" s="1"/>
  <c r="G23" i="87" s="1"/>
  <c r="G6" i="87"/>
  <c r="G14" i="87" s="1"/>
  <c r="G22" i="87" s="1"/>
  <c r="D7" i="87"/>
  <c r="D15" i="87" s="1"/>
  <c r="D23" i="87" s="1"/>
  <c r="D6" i="87"/>
  <c r="D14" i="87" s="1"/>
  <c r="D22" i="87" s="1"/>
  <c r="L8" i="86"/>
  <c r="N7" i="86"/>
  <c r="H19" i="86"/>
  <c r="G20" i="86"/>
  <c r="L20" i="86" s="1"/>
  <c r="C28" i="85"/>
  <c r="C40" i="85"/>
  <c r="D40" i="85"/>
  <c r="B40" i="85"/>
  <c r="D19" i="86"/>
  <c r="E19" i="86"/>
  <c r="I19" i="86" s="1"/>
  <c r="D20" i="86"/>
  <c r="H20" i="86" s="1"/>
  <c r="M20" i="86" s="1"/>
  <c r="E20" i="86"/>
  <c r="I20" i="86" s="1"/>
  <c r="N20" i="86" s="1"/>
  <c r="D21" i="86"/>
  <c r="H21" i="86" s="1"/>
  <c r="M21" i="86" s="1"/>
  <c r="E21" i="86"/>
  <c r="I21" i="86" s="1"/>
  <c r="C20" i="86"/>
  <c r="C21" i="86"/>
  <c r="G21" i="86" s="1"/>
  <c r="L21" i="86" s="1"/>
  <c r="C19" i="86"/>
  <c r="G19" i="86" s="1"/>
  <c r="E14" i="86"/>
  <c r="I14" i="86" s="1"/>
  <c r="C14" i="86"/>
  <c r="C12" i="86"/>
  <c r="C8" i="86"/>
  <c r="G8" i="86" s="1"/>
  <c r="E25" i="85"/>
  <c r="C20" i="85"/>
  <c r="C22" i="85" s="1"/>
  <c r="D8" i="86" s="1"/>
  <c r="B24" i="85"/>
  <c r="B20" i="85" s="1"/>
  <c r="B21" i="85" s="1"/>
  <c r="B30" i="85"/>
  <c r="C55" i="85"/>
  <c r="D55" i="85"/>
  <c r="B55" i="85"/>
  <c r="D20" i="85"/>
  <c r="E7" i="86" s="1"/>
  <c r="I7" i="86" s="1"/>
  <c r="D22" i="85"/>
  <c r="E8" i="86" s="1"/>
  <c r="I8" i="86" s="1"/>
  <c r="N8" i="86" s="1"/>
  <c r="B38" i="85"/>
  <c r="E43" i="85"/>
  <c r="C24" i="85"/>
  <c r="C43" i="85" s="1"/>
  <c r="E38" i="85"/>
  <c r="E44" i="85" s="1"/>
  <c r="E26" i="85"/>
  <c r="F12" i="86" s="1"/>
  <c r="N60" i="90" l="1"/>
  <c r="N47" i="92" s="1"/>
  <c r="P39" i="93"/>
  <c r="G41" i="93"/>
  <c r="J15" i="93"/>
  <c r="G40" i="93"/>
  <c r="G39" i="93"/>
  <c r="P17" i="93"/>
  <c r="P16" i="93"/>
  <c r="M41" i="93"/>
  <c r="P15" i="93"/>
  <c r="G17" i="93"/>
  <c r="M40" i="93"/>
  <c r="G16" i="93"/>
  <c r="M39" i="93"/>
  <c r="D41" i="93"/>
  <c r="G15" i="93"/>
  <c r="D40" i="93"/>
  <c r="S41" i="93"/>
  <c r="D39" i="93"/>
  <c r="M17" i="93"/>
  <c r="S40" i="93"/>
  <c r="M16" i="93"/>
  <c r="S39" i="93"/>
  <c r="J41" i="93"/>
  <c r="M15" i="93"/>
  <c r="D16" i="93"/>
  <c r="J40" i="93"/>
  <c r="D17" i="93"/>
  <c r="J39" i="93"/>
  <c r="S17" i="93"/>
  <c r="D15" i="93"/>
  <c r="S16" i="93"/>
  <c r="P41" i="93"/>
  <c r="S15" i="93"/>
  <c r="J17" i="93"/>
  <c r="P40" i="93"/>
  <c r="J16" i="93"/>
  <c r="N42" i="90"/>
  <c r="N33" i="92" s="1"/>
  <c r="D33" i="90"/>
  <c r="D26" i="92" s="1"/>
  <c r="J59" i="92"/>
  <c r="F59" i="92"/>
  <c r="M59" i="92"/>
  <c r="O18" i="92"/>
  <c r="C59" i="92"/>
  <c r="O59" i="92" s="1"/>
  <c r="I59" i="92"/>
  <c r="N59" i="92"/>
  <c r="H59" i="92"/>
  <c r="D52" i="92"/>
  <c r="C58" i="92"/>
  <c r="D59" i="92"/>
  <c r="G59" i="92"/>
  <c r="K59" i="92"/>
  <c r="L59" i="92"/>
  <c r="E59" i="92"/>
  <c r="O54" i="92"/>
  <c r="O53" i="92"/>
  <c r="O46" i="92"/>
  <c r="O39" i="92"/>
  <c r="O32" i="92"/>
  <c r="O33" i="92"/>
  <c r="O25" i="92"/>
  <c r="O11" i="92"/>
  <c r="O69" i="90"/>
  <c r="C60" i="90"/>
  <c r="C47" i="92" s="1"/>
  <c r="D45" i="92" s="1"/>
  <c r="H57" i="90"/>
  <c r="H60" i="90" s="1"/>
  <c r="H47" i="92" s="1"/>
  <c r="G60" i="90"/>
  <c r="K51" i="90"/>
  <c r="K40" i="92" s="1"/>
  <c r="G33" i="90"/>
  <c r="G26" i="92" s="1"/>
  <c r="J51" i="90"/>
  <c r="J40" i="92" s="1"/>
  <c r="C51" i="90"/>
  <c r="C40" i="92" s="1"/>
  <c r="F42" i="90"/>
  <c r="F33" i="92" s="1"/>
  <c r="I51" i="90"/>
  <c r="I40" i="92" s="1"/>
  <c r="E24" i="90"/>
  <c r="E19" i="92" s="1"/>
  <c r="I24" i="90"/>
  <c r="I19" i="92" s="1"/>
  <c r="E42" i="90"/>
  <c r="E33" i="92" s="1"/>
  <c r="F33" i="90"/>
  <c r="F26" i="92" s="1"/>
  <c r="L51" i="90"/>
  <c r="L40" i="92" s="1"/>
  <c r="H33" i="90"/>
  <c r="H26" i="92" s="1"/>
  <c r="D24" i="90"/>
  <c r="D19" i="92" s="1"/>
  <c r="C42" i="90"/>
  <c r="C33" i="92" s="1"/>
  <c r="D31" i="92" s="1"/>
  <c r="H42" i="90"/>
  <c r="H33" i="92" s="1"/>
  <c r="D42" i="90"/>
  <c r="D33" i="92" s="1"/>
  <c r="N51" i="90"/>
  <c r="N40" i="92" s="1"/>
  <c r="F24" i="90"/>
  <c r="F19" i="92" s="1"/>
  <c r="M42" i="90"/>
  <c r="M33" i="92" s="1"/>
  <c r="G42" i="90"/>
  <c r="G33" i="92" s="1"/>
  <c r="E51" i="90"/>
  <c r="E40" i="92" s="1"/>
  <c r="M51" i="90"/>
  <c r="M40" i="92" s="1"/>
  <c r="G48" i="90"/>
  <c r="G51" i="90" s="1"/>
  <c r="G40" i="92" s="1"/>
  <c r="F51" i="90"/>
  <c r="F40" i="92" s="1"/>
  <c r="J24" i="90"/>
  <c r="J19" i="92" s="1"/>
  <c r="N24" i="90"/>
  <c r="N19" i="92" s="1"/>
  <c r="H48" i="90"/>
  <c r="H51" i="90" s="1"/>
  <c r="H40" i="92" s="1"/>
  <c r="K21" i="90"/>
  <c r="K24" i="90" s="1"/>
  <c r="K19" i="92" s="1"/>
  <c r="E33" i="90"/>
  <c r="E26" i="92" s="1"/>
  <c r="C33" i="90"/>
  <c r="C26" i="92" s="1"/>
  <c r="D24" i="92" s="1"/>
  <c r="I33" i="90"/>
  <c r="I26" i="92" s="1"/>
  <c r="J30" i="90"/>
  <c r="J33" i="90" s="1"/>
  <c r="J26" i="92" s="1"/>
  <c r="C24" i="90"/>
  <c r="C19" i="92" s="1"/>
  <c r="D17" i="92" s="1"/>
  <c r="G24" i="90"/>
  <c r="G19" i="92" s="1"/>
  <c r="H21" i="90"/>
  <c r="H24" i="90" s="1"/>
  <c r="H19" i="92" s="1"/>
  <c r="E28" i="89"/>
  <c r="F25" i="89"/>
  <c r="F28" i="89" s="1"/>
  <c r="Q12" i="89"/>
  <c r="Q15" i="89" s="1"/>
  <c r="G28" i="89"/>
  <c r="O28" i="89"/>
  <c r="I11" i="86"/>
  <c r="N14" i="86"/>
  <c r="L19" i="86"/>
  <c r="J21" i="86"/>
  <c r="O21" i="86" s="1"/>
  <c r="N21" i="86"/>
  <c r="N19" i="86"/>
  <c r="R9" i="86"/>
  <c r="M19" i="86"/>
  <c r="B6" i="77"/>
  <c r="B53" i="53" s="1"/>
  <c r="J6" i="77"/>
  <c r="J53" i="53" s="1"/>
  <c r="E5" i="77"/>
  <c r="I12" i="77"/>
  <c r="I6" i="77"/>
  <c r="I53" i="53" s="1"/>
  <c r="D5" i="77"/>
  <c r="M13" i="77"/>
  <c r="H12" i="77"/>
  <c r="H6" i="77"/>
  <c r="H53" i="53" s="1"/>
  <c r="C5" i="77"/>
  <c r="L13" i="77"/>
  <c r="G12" i="77"/>
  <c r="B12" i="77"/>
  <c r="F6" i="77"/>
  <c r="F53" i="53" s="1"/>
  <c r="J7" i="77"/>
  <c r="E6" i="77"/>
  <c r="E53" i="53" s="1"/>
  <c r="B14" i="77"/>
  <c r="I13" i="77"/>
  <c r="D12" i="77"/>
  <c r="H7" i="77"/>
  <c r="C6" i="77"/>
  <c r="C53" i="53" s="1"/>
  <c r="L14" i="77"/>
  <c r="G13" i="77"/>
  <c r="G7" i="77"/>
  <c r="B13" i="77"/>
  <c r="C12" i="77"/>
  <c r="K14" i="77"/>
  <c r="F7" i="77"/>
  <c r="L5" i="77"/>
  <c r="J14" i="77"/>
  <c r="E13" i="77"/>
  <c r="G6" i="77"/>
  <c r="G53" i="53" s="1"/>
  <c r="H13" i="77"/>
  <c r="D13" i="77"/>
  <c r="F12" i="77"/>
  <c r="M14" i="77"/>
  <c r="M5" i="77"/>
  <c r="E7" i="77"/>
  <c r="D7" i="77"/>
  <c r="J5" i="77"/>
  <c r="H14" i="77"/>
  <c r="C13" i="77"/>
  <c r="E12" i="77"/>
  <c r="D6" i="77"/>
  <c r="D53" i="53" s="1"/>
  <c r="K5" i="77"/>
  <c r="I5" i="77"/>
  <c r="G14" i="77"/>
  <c r="M12" i="77"/>
  <c r="J13" i="77"/>
  <c r="F13" i="77"/>
  <c r="I14" i="77"/>
  <c r="C7" i="77"/>
  <c r="M6" i="77"/>
  <c r="M53" i="53" s="1"/>
  <c r="H5" i="77"/>
  <c r="F14" i="77"/>
  <c r="L12" i="77"/>
  <c r="L6" i="77"/>
  <c r="L53" i="53" s="1"/>
  <c r="G5" i="77"/>
  <c r="E14" i="77"/>
  <c r="K12" i="77"/>
  <c r="E6" i="87"/>
  <c r="C6" i="87" s="1"/>
  <c r="H6" i="87"/>
  <c r="F6" i="87" s="1"/>
  <c r="D14" i="86"/>
  <c r="C11" i="86"/>
  <c r="E8" i="87" s="1"/>
  <c r="E7" i="87" s="1"/>
  <c r="D16" i="86"/>
  <c r="C30" i="85"/>
  <c r="D11" i="86"/>
  <c r="H8" i="87" s="1"/>
  <c r="H7" i="87" s="1"/>
  <c r="F7" i="87" s="1"/>
  <c r="F14" i="86"/>
  <c r="E16" i="86"/>
  <c r="C7" i="86"/>
  <c r="G7" i="86" s="1"/>
  <c r="L7" i="86" s="1"/>
  <c r="D7" i="86"/>
  <c r="H7" i="86" s="1"/>
  <c r="G22" i="86"/>
  <c r="I22" i="86"/>
  <c r="G9" i="86"/>
  <c r="H22" i="86"/>
  <c r="E22" i="86"/>
  <c r="D22" i="86"/>
  <c r="D24" i="86" s="1"/>
  <c r="C22" i="86"/>
  <c r="C24" i="86" s="1"/>
  <c r="F21" i="86"/>
  <c r="F20" i="86"/>
  <c r="I16" i="86"/>
  <c r="J19" i="86"/>
  <c r="I9" i="86"/>
  <c r="J20" i="86"/>
  <c r="D15" i="86"/>
  <c r="F19" i="86"/>
  <c r="E9" i="86"/>
  <c r="C16" i="86"/>
  <c r="G16" i="86" s="1"/>
  <c r="C15" i="86"/>
  <c r="G15" i="86" s="1"/>
  <c r="L15" i="86" s="1"/>
  <c r="F8" i="86"/>
  <c r="C29" i="85"/>
  <c r="D24" i="85"/>
  <c r="E11" i="86" s="1"/>
  <c r="G20" i="85"/>
  <c r="G21" i="85" s="1"/>
  <c r="D26" i="85"/>
  <c r="E12" i="86" s="1"/>
  <c r="B43" i="85"/>
  <c r="B29" i="85"/>
  <c r="B44" i="85"/>
  <c r="C44" i="85"/>
  <c r="C26" i="85"/>
  <c r="D12" i="86" s="1"/>
  <c r="H12" i="86" s="1"/>
  <c r="M12" i="86" s="1"/>
  <c r="D55" i="92" l="1"/>
  <c r="E52" i="92" s="1"/>
  <c r="D48" i="92"/>
  <c r="E45" i="92" s="1"/>
  <c r="D34" i="92"/>
  <c r="E31" i="92" s="1"/>
  <c r="D27" i="92"/>
  <c r="E24" i="92" s="1"/>
  <c r="D20" i="92"/>
  <c r="E17" i="92" s="1"/>
  <c r="O19" i="92"/>
  <c r="D38" i="92"/>
  <c r="O60" i="90"/>
  <c r="G47" i="92"/>
  <c r="O47" i="92" s="1"/>
  <c r="O26" i="92"/>
  <c r="O40" i="92"/>
  <c r="O42" i="90"/>
  <c r="O51" i="90"/>
  <c r="O33" i="90"/>
  <c r="O24" i="90"/>
  <c r="C7" i="87"/>
  <c r="L22" i="86"/>
  <c r="M22" i="86"/>
  <c r="I24" i="86"/>
  <c r="N24" i="86" s="1"/>
  <c r="N22" i="86"/>
  <c r="O20" i="86"/>
  <c r="E15" i="86"/>
  <c r="N15" i="86" s="1"/>
  <c r="K8" i="87"/>
  <c r="N9" i="86"/>
  <c r="O19" i="86"/>
  <c r="G14" i="86"/>
  <c r="L14" i="86" s="1"/>
  <c r="L16" i="86"/>
  <c r="N16" i="86"/>
  <c r="N24" i="87"/>
  <c r="H8" i="86"/>
  <c r="M7" i="86"/>
  <c r="I12" i="86"/>
  <c r="N12" i="86" s="1"/>
  <c r="N11" i="86"/>
  <c r="K16" i="87"/>
  <c r="G11" i="86"/>
  <c r="E24" i="86"/>
  <c r="H11" i="86"/>
  <c r="J8" i="86"/>
  <c r="O8" i="86" s="1"/>
  <c r="H14" i="86"/>
  <c r="H15" i="86" s="1"/>
  <c r="M15" i="86" s="1"/>
  <c r="F11" i="86"/>
  <c r="F15" i="86" s="1"/>
  <c r="F7" i="86"/>
  <c r="F9" i="86" s="1"/>
  <c r="F16" i="86"/>
  <c r="F22" i="86"/>
  <c r="F24" i="86" s="1"/>
  <c r="H24" i="86"/>
  <c r="M24" i="86" s="1"/>
  <c r="J7" i="86"/>
  <c r="D9" i="86"/>
  <c r="C9" i="86"/>
  <c r="L9" i="86" s="1"/>
  <c r="J22" i="86"/>
  <c r="O22" i="86" s="1"/>
  <c r="D25" i="85"/>
  <c r="D29" i="85"/>
  <c r="D43" i="85"/>
  <c r="D44" i="85"/>
  <c r="E55" i="92" l="1"/>
  <c r="F52" i="92" s="1"/>
  <c r="E48" i="92"/>
  <c r="F45" i="92" s="1"/>
  <c r="D41" i="92"/>
  <c r="E38" i="92" s="1"/>
  <c r="E34" i="92"/>
  <c r="F31" i="92" s="1"/>
  <c r="E27" i="92"/>
  <c r="F24" i="92" s="1"/>
  <c r="E20" i="92"/>
  <c r="F17" i="92" s="1"/>
  <c r="G12" i="86"/>
  <c r="L12" i="86" s="1"/>
  <c r="E16" i="87"/>
  <c r="L11" i="86"/>
  <c r="K6" i="87"/>
  <c r="N8" i="87"/>
  <c r="K7" i="87"/>
  <c r="I22" i="87"/>
  <c r="I23" i="87"/>
  <c r="K14" i="87"/>
  <c r="I14" i="87" s="1"/>
  <c r="K15" i="87"/>
  <c r="I15" i="87" s="1"/>
  <c r="J11" i="86"/>
  <c r="Q9" i="86"/>
  <c r="T7" i="86"/>
  <c r="H9" i="86"/>
  <c r="M9" i="86" s="1"/>
  <c r="M8" i="86"/>
  <c r="J9" i="86"/>
  <c r="O9" i="86" s="1"/>
  <c r="O7" i="86"/>
  <c r="S9" i="86" s="1"/>
  <c r="H16" i="87"/>
  <c r="M11" i="86"/>
  <c r="H16" i="86"/>
  <c r="M16" i="86" s="1"/>
  <c r="M14" i="86"/>
  <c r="G24" i="86"/>
  <c r="L24" i="86" s="1"/>
  <c r="J14" i="86"/>
  <c r="F55" i="92" l="1"/>
  <c r="G52" i="92" s="1"/>
  <c r="F48" i="92"/>
  <c r="G45" i="92" s="1"/>
  <c r="G48" i="92" s="1"/>
  <c r="H45" i="92" s="1"/>
  <c r="E41" i="92"/>
  <c r="F38" i="92" s="1"/>
  <c r="F34" i="92"/>
  <c r="G31" i="92" s="1"/>
  <c r="F27" i="92"/>
  <c r="G24" i="92" s="1"/>
  <c r="F20" i="92"/>
  <c r="G17" i="92" s="1"/>
  <c r="H17" i="52"/>
  <c r="I17" i="52"/>
  <c r="B17" i="52"/>
  <c r="M17" i="52"/>
  <c r="G17" i="52"/>
  <c r="J17" i="52"/>
  <c r="E17" i="52"/>
  <c r="F17" i="52"/>
  <c r="K17" i="52"/>
  <c r="D17" i="52"/>
  <c r="L17" i="52"/>
  <c r="C17" i="52"/>
  <c r="I7" i="87"/>
  <c r="L7" i="87" s="1"/>
  <c r="N7" i="87"/>
  <c r="O11" i="86"/>
  <c r="J12" i="86"/>
  <c r="O12" i="86" s="1"/>
  <c r="I10" i="52"/>
  <c r="M10" i="52"/>
  <c r="G10" i="52"/>
  <c r="C10" i="52"/>
  <c r="E10" i="52"/>
  <c r="B10" i="52"/>
  <c r="D10" i="52"/>
  <c r="F10" i="52"/>
  <c r="H10" i="52"/>
  <c r="J10" i="52"/>
  <c r="L10" i="52"/>
  <c r="K10" i="52"/>
  <c r="F22" i="87"/>
  <c r="H14" i="87"/>
  <c r="F14" i="87" s="1"/>
  <c r="H15" i="87"/>
  <c r="F15" i="87" s="1"/>
  <c r="F23" i="87"/>
  <c r="J15" i="86"/>
  <c r="O15" i="86" s="1"/>
  <c r="I6" i="87"/>
  <c r="L6" i="87" s="1"/>
  <c r="N6" i="87"/>
  <c r="J24" i="86"/>
  <c r="O24" i="86" s="1"/>
  <c r="J16" i="86"/>
  <c r="O16" i="86" s="1"/>
  <c r="O14" i="86"/>
  <c r="T8" i="86"/>
  <c r="T9" i="86" s="1"/>
  <c r="N16" i="87"/>
  <c r="E14" i="87"/>
  <c r="E15" i="87"/>
  <c r="G55" i="92" l="1"/>
  <c r="H52" i="92" s="1"/>
  <c r="H48" i="92"/>
  <c r="I45" i="92" s="1"/>
  <c r="F41" i="92"/>
  <c r="G38" i="92" s="1"/>
  <c r="G34" i="92"/>
  <c r="H31" i="92" s="1"/>
  <c r="G27" i="92"/>
  <c r="H24" i="92" s="1"/>
  <c r="G20" i="92"/>
  <c r="H17" i="92" s="1"/>
  <c r="C15" i="87"/>
  <c r="N15" i="87"/>
  <c r="C22" i="87"/>
  <c r="L22" i="87" s="1"/>
  <c r="N22" i="87"/>
  <c r="C23" i="87"/>
  <c r="L23" i="87" s="1"/>
  <c r="N23" i="87"/>
  <c r="L9" i="52"/>
  <c r="L52" i="53" s="1"/>
  <c r="L54" i="53" s="1"/>
  <c r="J9" i="52"/>
  <c r="J52" i="53" s="1"/>
  <c r="J54" i="53" s="1"/>
  <c r="I9" i="52"/>
  <c r="I52" i="53" s="1"/>
  <c r="I54" i="53" s="1"/>
  <c r="H9" i="52"/>
  <c r="H52" i="53" s="1"/>
  <c r="H54" i="53" s="1"/>
  <c r="C9" i="52"/>
  <c r="C52" i="53" s="1"/>
  <c r="C54" i="53" s="1"/>
  <c r="D9" i="52"/>
  <c r="D52" i="53" s="1"/>
  <c r="D54" i="53" s="1"/>
  <c r="K9" i="52"/>
  <c r="K52" i="53" s="1"/>
  <c r="K54" i="53" s="1"/>
  <c r="B9" i="52"/>
  <c r="B52" i="53" s="1"/>
  <c r="E9" i="52"/>
  <c r="E52" i="53" s="1"/>
  <c r="E54" i="53" s="1"/>
  <c r="G9" i="52"/>
  <c r="G52" i="53" s="1"/>
  <c r="G54" i="53" s="1"/>
  <c r="F9" i="52"/>
  <c r="F52" i="53" s="1"/>
  <c r="F54" i="53" s="1"/>
  <c r="M9" i="52"/>
  <c r="M52" i="53" s="1"/>
  <c r="M54" i="53" s="1"/>
  <c r="N14" i="87"/>
  <c r="C14" i="87"/>
  <c r="S7" i="87"/>
  <c r="M7" i="87"/>
  <c r="S6" i="87"/>
  <c r="M6" i="87"/>
  <c r="J16" i="52"/>
  <c r="I16" i="52"/>
  <c r="K16" i="52"/>
  <c r="G16" i="52"/>
  <c r="M16" i="52"/>
  <c r="L16" i="52"/>
  <c r="B16" i="52"/>
  <c r="C16" i="52"/>
  <c r="D16" i="52"/>
  <c r="E16" i="52"/>
  <c r="F16" i="52"/>
  <c r="H16" i="52"/>
  <c r="H55" i="92" l="1"/>
  <c r="I52" i="92" s="1"/>
  <c r="I48" i="92"/>
  <c r="J45" i="92" s="1"/>
  <c r="G41" i="92"/>
  <c r="H38" i="92" s="1"/>
  <c r="H34" i="92"/>
  <c r="I31" i="92" s="1"/>
  <c r="H27" i="92"/>
  <c r="I24" i="92" s="1"/>
  <c r="H20" i="92"/>
  <c r="I17" i="92" s="1"/>
  <c r="N52" i="53"/>
  <c r="B54" i="53"/>
  <c r="N54" i="53" s="1"/>
  <c r="N53" i="53" s="1"/>
  <c r="M23" i="87"/>
  <c r="M22" i="87"/>
  <c r="M15" i="87"/>
  <c r="T11" i="86"/>
  <c r="I8" i="52"/>
  <c r="K8" i="52"/>
  <c r="J8" i="52"/>
  <c r="B8" i="52"/>
  <c r="C8" i="52"/>
  <c r="D8" i="52"/>
  <c r="L14" i="87"/>
  <c r="M14" i="87" s="1"/>
  <c r="M8" i="52"/>
  <c r="L8" i="52"/>
  <c r="E8" i="52"/>
  <c r="F8" i="52"/>
  <c r="G8" i="52"/>
  <c r="H8" i="52"/>
  <c r="F15" i="52"/>
  <c r="M15" i="52"/>
  <c r="L15" i="87"/>
  <c r="J15" i="52"/>
  <c r="G15" i="52"/>
  <c r="H15" i="52"/>
  <c r="I15" i="52"/>
  <c r="C15" i="52"/>
  <c r="B15" i="52"/>
  <c r="D15" i="52"/>
  <c r="K15" i="52"/>
  <c r="E15" i="52"/>
  <c r="L15" i="52"/>
  <c r="I55" i="92" l="1"/>
  <c r="J52" i="92" s="1"/>
  <c r="J48" i="92"/>
  <c r="K45" i="92" s="1"/>
  <c r="H41" i="92"/>
  <c r="I38" i="92" s="1"/>
  <c r="J31" i="92"/>
  <c r="I34" i="92"/>
  <c r="I27" i="92"/>
  <c r="J24" i="92" s="1"/>
  <c r="I20" i="92"/>
  <c r="J17" i="92" s="1"/>
  <c r="T12" i="86"/>
  <c r="J55" i="92" l="1"/>
  <c r="K52" i="92" s="1"/>
  <c r="K48" i="92"/>
  <c r="L45" i="92" s="1"/>
  <c r="J38" i="92"/>
  <c r="I41" i="92"/>
  <c r="J34" i="92"/>
  <c r="K31" i="92" s="1"/>
  <c r="J27" i="92"/>
  <c r="K24" i="92" s="1"/>
  <c r="J20" i="92"/>
  <c r="K17" i="92" s="1"/>
  <c r="J80" i="54"/>
  <c r="H80" i="54"/>
  <c r="E80" i="54"/>
  <c r="J17" i="51"/>
  <c r="G17" i="51"/>
  <c r="J40" i="51"/>
  <c r="D40" i="51"/>
  <c r="P39" i="51"/>
  <c r="M39" i="51"/>
  <c r="I30" i="54"/>
  <c r="F30" i="54"/>
  <c r="D30" i="54"/>
  <c r="C30" i="54"/>
  <c r="D30" i="53"/>
  <c r="E30" i="53"/>
  <c r="F30" i="53"/>
  <c r="K30" i="53"/>
  <c r="L30" i="53"/>
  <c r="G10" i="51"/>
  <c r="E78" i="53"/>
  <c r="D35" i="51"/>
  <c r="I78" i="53"/>
  <c r="P35" i="51"/>
  <c r="M78" i="53"/>
  <c r="D11" i="51"/>
  <c r="D9" i="51"/>
  <c r="B29" i="53"/>
  <c r="B77" i="53"/>
  <c r="C29" i="53"/>
  <c r="C77" i="53"/>
  <c r="B29" i="54"/>
  <c r="B54" i="54"/>
  <c r="B79" i="54"/>
  <c r="C29" i="54"/>
  <c r="C54" i="54"/>
  <c r="C79" i="54"/>
  <c r="D29" i="54"/>
  <c r="D54" i="54"/>
  <c r="D79" i="54"/>
  <c r="D29" i="53"/>
  <c r="D77" i="53"/>
  <c r="E29" i="54"/>
  <c r="E54" i="54"/>
  <c r="E79" i="54"/>
  <c r="E29" i="53"/>
  <c r="E77" i="53"/>
  <c r="F29" i="54"/>
  <c r="F54" i="54"/>
  <c r="F79" i="54"/>
  <c r="B30" i="53"/>
  <c r="B78" i="53"/>
  <c r="C30" i="53"/>
  <c r="C78" i="53"/>
  <c r="F29" i="53"/>
  <c r="F77" i="53"/>
  <c r="G29" i="53"/>
  <c r="G30" i="53"/>
  <c r="G77" i="53"/>
  <c r="G78" i="53"/>
  <c r="H29" i="53"/>
  <c r="H30" i="53"/>
  <c r="H77" i="53"/>
  <c r="H78" i="53"/>
  <c r="I29" i="53"/>
  <c r="I30" i="53"/>
  <c r="I77" i="53"/>
  <c r="J29" i="53"/>
  <c r="J77" i="53"/>
  <c r="K29" i="53"/>
  <c r="K77" i="53"/>
  <c r="L29" i="53"/>
  <c r="L77" i="53"/>
  <c r="M29" i="53"/>
  <c r="M30" i="53"/>
  <c r="M77" i="53"/>
  <c r="C80" i="54"/>
  <c r="D80" i="54"/>
  <c r="E30" i="54"/>
  <c r="F55" i="54"/>
  <c r="G29" i="54"/>
  <c r="G54" i="54"/>
  <c r="G79" i="54"/>
  <c r="H29" i="54"/>
  <c r="H30" i="54"/>
  <c r="H54" i="54"/>
  <c r="H79" i="54"/>
  <c r="I29" i="54"/>
  <c r="I54" i="54"/>
  <c r="I55" i="54"/>
  <c r="I79" i="54"/>
  <c r="I80" i="54"/>
  <c r="J29" i="54"/>
  <c r="J30" i="54"/>
  <c r="J54" i="54"/>
  <c r="J79" i="54"/>
  <c r="K29" i="54"/>
  <c r="K30" i="54"/>
  <c r="K54" i="54"/>
  <c r="K55" i="54"/>
  <c r="K79" i="54"/>
  <c r="L29" i="54"/>
  <c r="L54" i="54"/>
  <c r="L79" i="54"/>
  <c r="L80" i="54"/>
  <c r="M29" i="54"/>
  <c r="M30" i="54"/>
  <c r="M54" i="54"/>
  <c r="M55" i="54"/>
  <c r="M79" i="54"/>
  <c r="M80" i="54"/>
  <c r="N17" i="52"/>
  <c r="N16" i="52"/>
  <c r="N15" i="52"/>
  <c r="N10" i="52"/>
  <c r="C15" i="51"/>
  <c r="C15" i="93" s="1"/>
  <c r="F15" i="51"/>
  <c r="F15" i="93" s="1"/>
  <c r="I15" i="51"/>
  <c r="I15" i="93" s="1"/>
  <c r="L15" i="51"/>
  <c r="L15" i="93" s="1"/>
  <c r="M15" i="51"/>
  <c r="O15" i="51"/>
  <c r="O15" i="93" s="1"/>
  <c r="R15" i="51"/>
  <c r="R15" i="93" s="1"/>
  <c r="S15" i="51"/>
  <c r="C39" i="51"/>
  <c r="C39" i="93" s="1"/>
  <c r="D39" i="51"/>
  <c r="F39" i="51"/>
  <c r="F39" i="93" s="1"/>
  <c r="G39" i="51"/>
  <c r="I39" i="51"/>
  <c r="I39" i="93" s="1"/>
  <c r="J39" i="51"/>
  <c r="L39" i="51"/>
  <c r="L39" i="93" s="1"/>
  <c r="O39" i="51"/>
  <c r="O39" i="93" s="1"/>
  <c r="R39" i="51"/>
  <c r="R39" i="93" s="1"/>
  <c r="C16" i="51"/>
  <c r="C16" i="93" s="1"/>
  <c r="F16" i="51"/>
  <c r="F16" i="93" s="1"/>
  <c r="H16" i="93" s="1"/>
  <c r="I16" i="51"/>
  <c r="I16" i="93" s="1"/>
  <c r="K16" i="93" s="1"/>
  <c r="L16" i="51"/>
  <c r="L16" i="93" s="1"/>
  <c r="N16" i="93" s="1"/>
  <c r="M16" i="51"/>
  <c r="O16" i="51"/>
  <c r="O16" i="93" s="1"/>
  <c r="Q16" i="93" s="1"/>
  <c r="P16" i="51"/>
  <c r="R16" i="51"/>
  <c r="R16" i="93" s="1"/>
  <c r="T16" i="93" s="1"/>
  <c r="S16" i="51"/>
  <c r="C40" i="51"/>
  <c r="C40" i="93" s="1"/>
  <c r="F40" i="51"/>
  <c r="F40" i="93" s="1"/>
  <c r="H40" i="93" s="1"/>
  <c r="G40" i="51"/>
  <c r="I40" i="51"/>
  <c r="I40" i="93" s="1"/>
  <c r="K40" i="93" s="1"/>
  <c r="L40" i="51"/>
  <c r="L40" i="93" s="1"/>
  <c r="N40" i="93" s="1"/>
  <c r="M40" i="51"/>
  <c r="O40" i="51"/>
  <c r="O40" i="93" s="1"/>
  <c r="Q40" i="93" s="1"/>
  <c r="P40" i="51"/>
  <c r="R40" i="51"/>
  <c r="R40" i="93" s="1"/>
  <c r="T40" i="93" s="1"/>
  <c r="S40" i="51"/>
  <c r="C17" i="51"/>
  <c r="C17" i="93" s="1"/>
  <c r="D17" i="51"/>
  <c r="F17" i="51"/>
  <c r="F17" i="93" s="1"/>
  <c r="H17" i="93" s="1"/>
  <c r="I17" i="51"/>
  <c r="I17" i="93" s="1"/>
  <c r="K17" i="93" s="1"/>
  <c r="L17" i="51"/>
  <c r="L17" i="93" s="1"/>
  <c r="N17" i="93" s="1"/>
  <c r="O17" i="51"/>
  <c r="O17" i="93" s="1"/>
  <c r="Q17" i="93" s="1"/>
  <c r="R17" i="51"/>
  <c r="R17" i="93" s="1"/>
  <c r="T17" i="93" s="1"/>
  <c r="C41" i="51"/>
  <c r="C41" i="93" s="1"/>
  <c r="F41" i="51"/>
  <c r="F41" i="93" s="1"/>
  <c r="H41" i="93" s="1"/>
  <c r="G41" i="51"/>
  <c r="I41" i="51"/>
  <c r="I41" i="93" s="1"/>
  <c r="K41" i="93" s="1"/>
  <c r="J41" i="51"/>
  <c r="L41" i="51"/>
  <c r="L41" i="93" s="1"/>
  <c r="N41" i="93" s="1"/>
  <c r="M41" i="51"/>
  <c r="O41" i="51"/>
  <c r="O41" i="93" s="1"/>
  <c r="Q41" i="93" s="1"/>
  <c r="P41" i="51"/>
  <c r="R41" i="51"/>
  <c r="R41" i="93" s="1"/>
  <c r="T41" i="93" s="1"/>
  <c r="S41" i="51"/>
  <c r="C9" i="51"/>
  <c r="F9" i="51"/>
  <c r="G9" i="51"/>
  <c r="I9" i="51"/>
  <c r="I9" i="93" s="1"/>
  <c r="J9" i="51"/>
  <c r="L9" i="51"/>
  <c r="L9" i="93" s="1"/>
  <c r="M9" i="51"/>
  <c r="O9" i="51"/>
  <c r="O9" i="93" s="1"/>
  <c r="P9" i="51"/>
  <c r="R9" i="51"/>
  <c r="R9" i="93" s="1"/>
  <c r="S9" i="51"/>
  <c r="C33" i="51"/>
  <c r="C33" i="93" s="1"/>
  <c r="D33" i="51"/>
  <c r="E33" i="51" s="1"/>
  <c r="F33" i="51"/>
  <c r="G33" i="51"/>
  <c r="I33" i="51"/>
  <c r="L33" i="51"/>
  <c r="M33" i="51"/>
  <c r="O33" i="51"/>
  <c r="P33" i="51"/>
  <c r="R33" i="51"/>
  <c r="R33" i="93" s="1"/>
  <c r="S33" i="51"/>
  <c r="C10" i="51"/>
  <c r="C10" i="93" s="1"/>
  <c r="D10" i="51"/>
  <c r="F10" i="51"/>
  <c r="F10" i="93" s="1"/>
  <c r="I10" i="51"/>
  <c r="I10" i="93" s="1"/>
  <c r="L10" i="51"/>
  <c r="L10" i="93" s="1"/>
  <c r="O10" i="51"/>
  <c r="O10" i="93" s="1"/>
  <c r="R10" i="51"/>
  <c r="R10" i="93" s="1"/>
  <c r="C34" i="51"/>
  <c r="D34" i="51"/>
  <c r="F34" i="51"/>
  <c r="G34" i="51"/>
  <c r="I34" i="51"/>
  <c r="J34" i="51"/>
  <c r="L34" i="51"/>
  <c r="L34" i="93" s="1"/>
  <c r="M34" i="51"/>
  <c r="O34" i="51"/>
  <c r="O34" i="93" s="1"/>
  <c r="P34" i="51"/>
  <c r="R34" i="51"/>
  <c r="R34" i="93" s="1"/>
  <c r="S34" i="51"/>
  <c r="C11" i="51"/>
  <c r="C11" i="93" s="1"/>
  <c r="F11" i="51"/>
  <c r="F11" i="93" s="1"/>
  <c r="G11" i="51"/>
  <c r="I11" i="51"/>
  <c r="I11" i="93" s="1"/>
  <c r="J11" i="51"/>
  <c r="L11" i="51"/>
  <c r="L11" i="93" s="1"/>
  <c r="M11" i="51"/>
  <c r="O11" i="51"/>
  <c r="P11" i="51"/>
  <c r="R11" i="51"/>
  <c r="S11" i="51"/>
  <c r="C35" i="51"/>
  <c r="F35" i="51"/>
  <c r="I35" i="51"/>
  <c r="I35" i="93" s="1"/>
  <c r="L35" i="51"/>
  <c r="L35" i="93" s="1"/>
  <c r="O35" i="51"/>
  <c r="O35" i="93" s="1"/>
  <c r="R35" i="51"/>
  <c r="R35" i="93" s="1"/>
  <c r="S35" i="51"/>
  <c r="M18" i="52"/>
  <c r="L18" i="52"/>
  <c r="K18" i="52"/>
  <c r="J18" i="52"/>
  <c r="I18" i="52"/>
  <c r="H18" i="52"/>
  <c r="G18" i="52"/>
  <c r="F18" i="52"/>
  <c r="E18" i="52"/>
  <c r="D18" i="52"/>
  <c r="C18" i="52"/>
  <c r="B18" i="52"/>
  <c r="C11" i="52"/>
  <c r="D11" i="52"/>
  <c r="E11" i="52"/>
  <c r="F11" i="52"/>
  <c r="G11" i="52"/>
  <c r="H11" i="52"/>
  <c r="I11" i="52"/>
  <c r="J11" i="52"/>
  <c r="K11" i="52"/>
  <c r="L11" i="52"/>
  <c r="M11" i="52"/>
  <c r="N8" i="52"/>
  <c r="N9" i="52"/>
  <c r="B11" i="52"/>
  <c r="K55" i="92" l="1"/>
  <c r="L52" i="92" s="1"/>
  <c r="L48" i="92"/>
  <c r="M45" i="92" s="1"/>
  <c r="J41" i="92"/>
  <c r="K38" i="92" s="1"/>
  <c r="K34" i="92"/>
  <c r="L31" i="92" s="1"/>
  <c r="K27" i="92"/>
  <c r="L24" i="92" s="1"/>
  <c r="K20" i="92"/>
  <c r="L17" i="92" s="1"/>
  <c r="H39" i="93"/>
  <c r="H42" i="93" s="1"/>
  <c r="F42" i="93"/>
  <c r="L12" i="93"/>
  <c r="N9" i="93"/>
  <c r="L21" i="93"/>
  <c r="C22" i="93"/>
  <c r="U10" i="93"/>
  <c r="E10" i="93"/>
  <c r="F47" i="51"/>
  <c r="F35" i="93"/>
  <c r="K9" i="93"/>
  <c r="I12" i="93"/>
  <c r="I21" i="93"/>
  <c r="I24" i="93" s="1"/>
  <c r="I42" i="93"/>
  <c r="K39" i="93"/>
  <c r="K42" i="93" s="1"/>
  <c r="J42" i="93" s="1"/>
  <c r="R23" i="51"/>
  <c r="R11" i="93"/>
  <c r="O18" i="93"/>
  <c r="Q15" i="93"/>
  <c r="Q18" i="93" s="1"/>
  <c r="P18" i="93" s="1"/>
  <c r="R45" i="93"/>
  <c r="R36" i="93"/>
  <c r="T33" i="93"/>
  <c r="E39" i="93"/>
  <c r="U39" i="93"/>
  <c r="C42" i="93"/>
  <c r="O23" i="51"/>
  <c r="O11" i="93"/>
  <c r="N11" i="93"/>
  <c r="N23" i="93" s="1"/>
  <c r="L23" i="93"/>
  <c r="L24" i="93" s="1"/>
  <c r="U17" i="93"/>
  <c r="Y41" i="93" s="1"/>
  <c r="E17" i="93"/>
  <c r="W17" i="93" s="1"/>
  <c r="O46" i="93"/>
  <c r="Q34" i="93"/>
  <c r="Q46" i="93" s="1"/>
  <c r="C47" i="51"/>
  <c r="C35" i="93"/>
  <c r="O45" i="51"/>
  <c r="O33" i="93"/>
  <c r="F21" i="51"/>
  <c r="F9" i="93"/>
  <c r="C46" i="51"/>
  <c r="C34" i="93"/>
  <c r="N15" i="93"/>
  <c r="N18" i="93" s="1"/>
  <c r="L18" i="93"/>
  <c r="F46" i="51"/>
  <c r="F48" i="51" s="1"/>
  <c r="F34" i="93"/>
  <c r="K15" i="93"/>
  <c r="K18" i="93" s="1"/>
  <c r="I18" i="93"/>
  <c r="K35" i="93"/>
  <c r="K47" i="93" s="1"/>
  <c r="I47" i="93"/>
  <c r="E41" i="93"/>
  <c r="W41" i="93" s="1"/>
  <c r="U41" i="93"/>
  <c r="T15" i="93"/>
  <c r="T18" i="93" s="1"/>
  <c r="R18" i="93"/>
  <c r="I45" i="51"/>
  <c r="I33" i="93"/>
  <c r="O22" i="93"/>
  <c r="Q10" i="93"/>
  <c r="Q22" i="93" s="1"/>
  <c r="P22" i="93" s="1"/>
  <c r="E33" i="93"/>
  <c r="C36" i="93"/>
  <c r="C45" i="93"/>
  <c r="U33" i="93"/>
  <c r="U16" i="93"/>
  <c r="Y40" i="93" s="1"/>
  <c r="E16" i="93"/>
  <c r="W16" i="93" s="1"/>
  <c r="H15" i="93"/>
  <c r="H18" i="93" s="1"/>
  <c r="F18" i="93"/>
  <c r="I46" i="51"/>
  <c r="I34" i="93"/>
  <c r="C21" i="51"/>
  <c r="C9" i="93"/>
  <c r="F45" i="51"/>
  <c r="F33" i="93"/>
  <c r="I23" i="93"/>
  <c r="K11" i="93"/>
  <c r="K23" i="93" s="1"/>
  <c r="J23" i="93" s="1"/>
  <c r="N10" i="93"/>
  <c r="N22" i="93" s="1"/>
  <c r="L22" i="93"/>
  <c r="R42" i="93"/>
  <c r="T39" i="93"/>
  <c r="T42" i="93" s="1"/>
  <c r="E15" i="93"/>
  <c r="U15" i="93"/>
  <c r="U18" i="93" s="1"/>
  <c r="C18" i="93"/>
  <c r="N34" i="93"/>
  <c r="N46" i="93" s="1"/>
  <c r="L46" i="93"/>
  <c r="R47" i="93"/>
  <c r="T35" i="93"/>
  <c r="T47" i="93" s="1"/>
  <c r="S47" i="93" s="1"/>
  <c r="C23" i="93"/>
  <c r="E11" i="93"/>
  <c r="I22" i="93"/>
  <c r="K10" i="93"/>
  <c r="K22" i="93" s="1"/>
  <c r="J22" i="93" s="1"/>
  <c r="R21" i="93"/>
  <c r="T9" i="93"/>
  <c r="R12" i="93"/>
  <c r="Q39" i="93"/>
  <c r="Q42" i="93" s="1"/>
  <c r="O42" i="93"/>
  <c r="L45" i="51"/>
  <c r="L33" i="93"/>
  <c r="Q35" i="93"/>
  <c r="Q47" i="93" s="1"/>
  <c r="O47" i="93"/>
  <c r="L42" i="93"/>
  <c r="N39" i="93"/>
  <c r="N42" i="93" s="1"/>
  <c r="M42" i="93" s="1"/>
  <c r="U40" i="93"/>
  <c r="E40" i="93"/>
  <c r="R22" i="93"/>
  <c r="T10" i="93"/>
  <c r="T22" i="93" s="1"/>
  <c r="S22" i="93" s="1"/>
  <c r="H11" i="93"/>
  <c r="H23" i="93" s="1"/>
  <c r="F23" i="93"/>
  <c r="F22" i="93"/>
  <c r="H10" i="93"/>
  <c r="H22" i="93" s="1"/>
  <c r="G22" i="93" s="1"/>
  <c r="N35" i="93"/>
  <c r="N47" i="93" s="1"/>
  <c r="L47" i="93"/>
  <c r="R46" i="93"/>
  <c r="T34" i="93"/>
  <c r="T46" i="93" s="1"/>
  <c r="O21" i="93"/>
  <c r="Q9" i="93"/>
  <c r="K4" i="53"/>
  <c r="L4" i="53"/>
  <c r="D4" i="53"/>
  <c r="H4" i="53"/>
  <c r="G4" i="53"/>
  <c r="E4" i="53"/>
  <c r="F4" i="53"/>
  <c r="C45" i="51"/>
  <c r="J4" i="53"/>
  <c r="R22" i="51"/>
  <c r="L22" i="51"/>
  <c r="C23" i="51"/>
  <c r="F23" i="51"/>
  <c r="I22" i="51"/>
  <c r="M4" i="53"/>
  <c r="O47" i="51"/>
  <c r="L47" i="51"/>
  <c r="R46" i="51"/>
  <c r="O21" i="51"/>
  <c r="I4" i="53"/>
  <c r="O13" i="89"/>
  <c r="I47" i="51"/>
  <c r="I48" i="51" s="1"/>
  <c r="C22" i="51"/>
  <c r="R21" i="51"/>
  <c r="O46" i="51"/>
  <c r="L21" i="51"/>
  <c r="C4" i="53"/>
  <c r="L23" i="51"/>
  <c r="I23" i="51"/>
  <c r="O22" i="51"/>
  <c r="R45" i="51"/>
  <c r="R47" i="51"/>
  <c r="F22" i="51"/>
  <c r="F24" i="51" s="1"/>
  <c r="L46" i="51"/>
  <c r="I21" i="51"/>
  <c r="B4" i="53"/>
  <c r="J10" i="51"/>
  <c r="K10" i="51" s="1"/>
  <c r="G80" i="54"/>
  <c r="G81" i="54" s="1"/>
  <c r="G55" i="54"/>
  <c r="G56" i="54" s="1"/>
  <c r="J16" i="51"/>
  <c r="K16" i="51" s="1"/>
  <c r="E55" i="54"/>
  <c r="E56" i="54" s="1"/>
  <c r="D55" i="54"/>
  <c r="D56" i="54" s="1"/>
  <c r="G16" i="51"/>
  <c r="H16" i="51" s="1"/>
  <c r="D41" i="51"/>
  <c r="E41" i="51" s="1"/>
  <c r="D16" i="51"/>
  <c r="E16" i="51" s="1"/>
  <c r="J15" i="51"/>
  <c r="K15" i="51" s="1"/>
  <c r="S17" i="51"/>
  <c r="T17" i="51" s="1"/>
  <c r="G15" i="51"/>
  <c r="H15" i="51" s="1"/>
  <c r="H55" i="54"/>
  <c r="H56" i="54" s="1"/>
  <c r="B30" i="54"/>
  <c r="B31" i="54" s="1"/>
  <c r="P17" i="51"/>
  <c r="Q17" i="51" s="1"/>
  <c r="D15" i="51"/>
  <c r="E15" i="51" s="1"/>
  <c r="G35" i="51"/>
  <c r="H35" i="51" s="1"/>
  <c r="F78" i="53"/>
  <c r="F79" i="53" s="1"/>
  <c r="K80" i="54"/>
  <c r="K81" i="54" s="1"/>
  <c r="D78" i="53"/>
  <c r="D79" i="53" s="1"/>
  <c r="C55" i="54"/>
  <c r="C56" i="54" s="1"/>
  <c r="N16" i="51"/>
  <c r="E34" i="51"/>
  <c r="E40" i="51"/>
  <c r="H33" i="51"/>
  <c r="H45" i="51" s="1"/>
  <c r="G45" i="51" s="1"/>
  <c r="T16" i="51"/>
  <c r="N18" i="52"/>
  <c r="L31" i="53"/>
  <c r="E4" i="54"/>
  <c r="C81" i="54"/>
  <c r="C4" i="54"/>
  <c r="G31" i="53"/>
  <c r="J55" i="54"/>
  <c r="P15" i="51"/>
  <c r="Q15" i="51" s="1"/>
  <c r="L55" i="54"/>
  <c r="L56" i="54" s="1"/>
  <c r="G30" i="54"/>
  <c r="G31" i="54" s="1"/>
  <c r="B80" i="54"/>
  <c r="M17" i="51"/>
  <c r="N17" i="51" s="1"/>
  <c r="S39" i="51"/>
  <c r="T39" i="51" s="1"/>
  <c r="B55" i="54"/>
  <c r="B56" i="54" s="1"/>
  <c r="L30" i="54"/>
  <c r="L31" i="54" s="1"/>
  <c r="F80" i="54"/>
  <c r="F81" i="54" s="1"/>
  <c r="P10" i="51"/>
  <c r="Q10" i="51" s="1"/>
  <c r="M10" i="51"/>
  <c r="N10" i="51" s="1"/>
  <c r="J33" i="51"/>
  <c r="K33" i="51" s="1"/>
  <c r="J30" i="53"/>
  <c r="J31" i="53" s="1"/>
  <c r="L78" i="53"/>
  <c r="L79" i="53" s="1"/>
  <c r="K78" i="53"/>
  <c r="K79" i="53" s="1"/>
  <c r="M35" i="51"/>
  <c r="N35" i="51" s="1"/>
  <c r="S10" i="51"/>
  <c r="T10" i="51" s="1"/>
  <c r="J35" i="51"/>
  <c r="K35" i="51" s="1"/>
  <c r="J78" i="53"/>
  <c r="J79" i="53" s="1"/>
  <c r="N33" i="51"/>
  <c r="B31" i="53"/>
  <c r="N41" i="51"/>
  <c r="H31" i="53"/>
  <c r="J81" i="54"/>
  <c r="H31" i="54"/>
  <c r="E17" i="51"/>
  <c r="H34" i="51"/>
  <c r="D4" i="54"/>
  <c r="Q33" i="51"/>
  <c r="L18" i="51"/>
  <c r="D31" i="53"/>
  <c r="E81" i="54"/>
  <c r="C79" i="53"/>
  <c r="C31" i="53"/>
  <c r="E31" i="54"/>
  <c r="C18" i="51"/>
  <c r="D31" i="54"/>
  <c r="B79" i="53"/>
  <c r="Q41" i="51"/>
  <c r="F56" i="54"/>
  <c r="E31" i="53"/>
  <c r="F31" i="54"/>
  <c r="R18" i="51"/>
  <c r="T11" i="51"/>
  <c r="M81" i="54"/>
  <c r="H79" i="53"/>
  <c r="M31" i="54"/>
  <c r="H9" i="51"/>
  <c r="N9" i="51"/>
  <c r="K39" i="51"/>
  <c r="I31" i="54"/>
  <c r="M79" i="53"/>
  <c r="I79" i="53"/>
  <c r="D81" i="54"/>
  <c r="N40" i="51"/>
  <c r="E35" i="51"/>
  <c r="H81" i="54"/>
  <c r="I31" i="53"/>
  <c r="Q34" i="51"/>
  <c r="H41" i="51"/>
  <c r="T41" i="51"/>
  <c r="T15" i="51"/>
  <c r="H4" i="54"/>
  <c r="Q16" i="51"/>
  <c r="R36" i="51"/>
  <c r="N11" i="51"/>
  <c r="E10" i="51"/>
  <c r="E22" i="51" s="1"/>
  <c r="C31" i="54"/>
  <c r="L81" i="54"/>
  <c r="H11" i="51"/>
  <c r="K41" i="51"/>
  <c r="Q39" i="51"/>
  <c r="U10" i="51"/>
  <c r="K31" i="54"/>
  <c r="K56" i="54"/>
  <c r="M4" i="54"/>
  <c r="H39" i="51"/>
  <c r="F36" i="51"/>
  <c r="F42" i="51"/>
  <c r="M31" i="53"/>
  <c r="G79" i="53"/>
  <c r="N77" i="53"/>
  <c r="E79" i="53"/>
  <c r="Q11" i="51"/>
  <c r="J4" i="54"/>
  <c r="K31" i="53"/>
  <c r="N79" i="54"/>
  <c r="J31" i="54"/>
  <c r="O36" i="51"/>
  <c r="I81" i="54"/>
  <c r="K17" i="51"/>
  <c r="L4" i="54"/>
  <c r="N29" i="54"/>
  <c r="U17" i="51"/>
  <c r="M56" i="54"/>
  <c r="F12" i="51"/>
  <c r="I12" i="51"/>
  <c r="C36" i="51"/>
  <c r="T33" i="51"/>
  <c r="T45" i="51" s="1"/>
  <c r="R42" i="51"/>
  <c r="U39" i="51"/>
  <c r="U11" i="51"/>
  <c r="I18" i="51"/>
  <c r="U15" i="51"/>
  <c r="T34" i="51"/>
  <c r="U16" i="51"/>
  <c r="F4" i="54"/>
  <c r="N15" i="51"/>
  <c r="K4" i="54"/>
  <c r="B4" i="54"/>
  <c r="T35" i="51"/>
  <c r="T47" i="51" s="1"/>
  <c r="N39" i="51"/>
  <c r="F31" i="53"/>
  <c r="N29" i="53"/>
  <c r="U41" i="51"/>
  <c r="G4" i="54"/>
  <c r="K40" i="51"/>
  <c r="N34" i="51"/>
  <c r="L36" i="51"/>
  <c r="H40" i="51"/>
  <c r="I42" i="51"/>
  <c r="K34" i="51"/>
  <c r="Q40" i="51"/>
  <c r="O42" i="51"/>
  <c r="Q9" i="51"/>
  <c r="Q21" i="51" s="1"/>
  <c r="O12" i="51"/>
  <c r="N54" i="54"/>
  <c r="I56" i="54"/>
  <c r="L42" i="51"/>
  <c r="L12" i="51"/>
  <c r="T40" i="51"/>
  <c r="O18" i="51"/>
  <c r="I36" i="51"/>
  <c r="K11" i="51"/>
  <c r="N11" i="52"/>
  <c r="H10" i="51"/>
  <c r="H22" i="51" s="1"/>
  <c r="U40" i="51"/>
  <c r="U35" i="51"/>
  <c r="E11" i="51"/>
  <c r="K9" i="51"/>
  <c r="Q35" i="51"/>
  <c r="E9" i="51"/>
  <c r="U9" i="51"/>
  <c r="H17" i="51"/>
  <c r="C12" i="51"/>
  <c r="U33" i="51"/>
  <c r="T9" i="51"/>
  <c r="R12" i="51"/>
  <c r="C42" i="51"/>
  <c r="E39" i="51"/>
  <c r="E45" i="51" s="1"/>
  <c r="F18" i="51"/>
  <c r="U34" i="51"/>
  <c r="I4" i="54"/>
  <c r="L55" i="92" l="1"/>
  <c r="M52" i="92" s="1"/>
  <c r="M48" i="92"/>
  <c r="N45" i="92" s="1"/>
  <c r="N48" i="92" s="1"/>
  <c r="K41" i="92"/>
  <c r="L38" i="92" s="1"/>
  <c r="L34" i="92"/>
  <c r="M31" i="92" s="1"/>
  <c r="L27" i="92"/>
  <c r="M24" i="92" s="1"/>
  <c r="L20" i="92"/>
  <c r="M17" i="92" s="1"/>
  <c r="V16" i="93"/>
  <c r="W15" i="93"/>
  <c r="E18" i="93"/>
  <c r="D18" i="93" s="1"/>
  <c r="J18" i="93"/>
  <c r="V17" i="93"/>
  <c r="AA41" i="93"/>
  <c r="Z41" i="93" s="1"/>
  <c r="M47" i="93"/>
  <c r="P42" i="93"/>
  <c r="S42" i="93"/>
  <c r="F46" i="93"/>
  <c r="H34" i="93"/>
  <c r="H46" i="93" s="1"/>
  <c r="G46" i="93" s="1"/>
  <c r="T21" i="93"/>
  <c r="M23" i="93"/>
  <c r="F24" i="93"/>
  <c r="M22" i="93"/>
  <c r="E45" i="93"/>
  <c r="M18" i="93"/>
  <c r="Q11" i="93"/>
  <c r="Q23" i="93" s="1"/>
  <c r="O23" i="93"/>
  <c r="O24" i="93" s="1"/>
  <c r="K21" i="93"/>
  <c r="K12" i="93"/>
  <c r="J12" i="93" s="1"/>
  <c r="G23" i="93"/>
  <c r="F47" i="93"/>
  <c r="H35" i="93"/>
  <c r="C46" i="93"/>
  <c r="U46" i="93" s="1"/>
  <c r="E34" i="93"/>
  <c r="U34" i="93"/>
  <c r="Y34" i="93" s="1"/>
  <c r="E23" i="93"/>
  <c r="F45" i="93"/>
  <c r="F36" i="93"/>
  <c r="H33" i="93"/>
  <c r="I36" i="93"/>
  <c r="K33" i="93"/>
  <c r="I45" i="93"/>
  <c r="Y39" i="93"/>
  <c r="Y42" i="93" s="1"/>
  <c r="E12" i="93"/>
  <c r="D12" i="93" s="1"/>
  <c r="W10" i="93"/>
  <c r="E22" i="93"/>
  <c r="E42" i="93"/>
  <c r="D42" i="93" s="1"/>
  <c r="W40" i="93"/>
  <c r="V40" i="93" s="1"/>
  <c r="U11" i="93"/>
  <c r="Y35" i="93" s="1"/>
  <c r="F12" i="93"/>
  <c r="F21" i="93"/>
  <c r="H9" i="93"/>
  <c r="W39" i="93"/>
  <c r="C12" i="93"/>
  <c r="E9" i="93"/>
  <c r="W9" i="93" s="1"/>
  <c r="U9" i="93"/>
  <c r="C21" i="93"/>
  <c r="T36" i="93"/>
  <c r="S36" i="93" s="1"/>
  <c r="T45" i="93"/>
  <c r="U22" i="93"/>
  <c r="Q23" i="51"/>
  <c r="P23" i="51" s="1"/>
  <c r="K46" i="51"/>
  <c r="J46" i="51" s="1"/>
  <c r="S18" i="93"/>
  <c r="O45" i="93"/>
  <c r="O48" i="93" s="1"/>
  <c r="Q33" i="93"/>
  <c r="O36" i="93"/>
  <c r="K21" i="51"/>
  <c r="O12" i="93"/>
  <c r="K34" i="93"/>
  <c r="K46" i="93" s="1"/>
  <c r="I46" i="93"/>
  <c r="U42" i="93"/>
  <c r="R48" i="93"/>
  <c r="N21" i="93"/>
  <c r="N12" i="93"/>
  <c r="M12" i="93" s="1"/>
  <c r="Q21" i="93"/>
  <c r="Q12" i="93"/>
  <c r="P12" i="93" s="1"/>
  <c r="V41" i="93"/>
  <c r="C47" i="93"/>
  <c r="U47" i="93" s="1"/>
  <c r="E35" i="93"/>
  <c r="E47" i="93" s="1"/>
  <c r="U35" i="93"/>
  <c r="E21" i="51"/>
  <c r="P47" i="93"/>
  <c r="M46" i="93"/>
  <c r="S46" i="93"/>
  <c r="N33" i="93"/>
  <c r="L36" i="93"/>
  <c r="L45" i="93"/>
  <c r="L48" i="93" s="1"/>
  <c r="G18" i="93"/>
  <c r="J47" i="93"/>
  <c r="P46" i="93"/>
  <c r="T11" i="93"/>
  <c r="T23" i="93" s="1"/>
  <c r="R23" i="93"/>
  <c r="R24" i="93" s="1"/>
  <c r="G42" i="93"/>
  <c r="T22" i="51"/>
  <c r="S22" i="51" s="1"/>
  <c r="H46" i="51"/>
  <c r="G46" i="51" s="1"/>
  <c r="N22" i="51"/>
  <c r="Q22" i="51"/>
  <c r="H47" i="51"/>
  <c r="G47" i="51" s="1"/>
  <c r="E47" i="51"/>
  <c r="D47" i="51" s="1"/>
  <c r="K22" i="51"/>
  <c r="J22" i="51" s="1"/>
  <c r="R24" i="51"/>
  <c r="T21" i="51"/>
  <c r="S21" i="51" s="1"/>
  <c r="J7" i="88"/>
  <c r="J11" i="88" s="1"/>
  <c r="G7" i="88"/>
  <c r="E23" i="51"/>
  <c r="C6" i="88"/>
  <c r="B6" i="53"/>
  <c r="L48" i="51"/>
  <c r="L6" i="88"/>
  <c r="K6" i="53"/>
  <c r="C7" i="88"/>
  <c r="N45" i="51"/>
  <c r="I7" i="88"/>
  <c r="I11" i="88" s="1"/>
  <c r="H23" i="51"/>
  <c r="G23" i="51" s="1"/>
  <c r="L24" i="51"/>
  <c r="H8" i="88"/>
  <c r="H12" i="88" s="1"/>
  <c r="G6" i="88"/>
  <c r="G10" i="88" s="1"/>
  <c r="F6" i="53"/>
  <c r="Q47" i="51"/>
  <c r="P47" i="51" s="1"/>
  <c r="I6" i="88"/>
  <c r="I10" i="88" s="1"/>
  <c r="H6" i="53"/>
  <c r="K47" i="51"/>
  <c r="J47" i="51" s="1"/>
  <c r="M7" i="88"/>
  <c r="M11" i="88" s="1"/>
  <c r="L6" i="53"/>
  <c r="M6" i="88"/>
  <c r="I24" i="51"/>
  <c r="J6" i="88"/>
  <c r="J10" i="88" s="1"/>
  <c r="I6" i="53"/>
  <c r="G8" i="88"/>
  <c r="G12" i="88" s="1"/>
  <c r="F8" i="88"/>
  <c r="F12" i="88" s="1"/>
  <c r="P21" i="51"/>
  <c r="O24" i="51"/>
  <c r="C6" i="53"/>
  <c r="D6" i="88"/>
  <c r="D10" i="88" s="1"/>
  <c r="N21" i="51"/>
  <c r="M21" i="51" s="1"/>
  <c r="H21" i="51"/>
  <c r="H48" i="51"/>
  <c r="G48" i="51" s="1"/>
  <c r="E8" i="88"/>
  <c r="E12" i="88" s="1"/>
  <c r="F6" i="88"/>
  <c r="F10" i="88" s="1"/>
  <c r="E6" i="53"/>
  <c r="M23" i="51"/>
  <c r="D45" i="51"/>
  <c r="C48" i="51"/>
  <c r="N47" i="51"/>
  <c r="M47" i="51" s="1"/>
  <c r="G22" i="51"/>
  <c r="J21" i="51"/>
  <c r="J8" i="88"/>
  <c r="N8" i="88"/>
  <c r="N12" i="88" s="1"/>
  <c r="M6" i="53"/>
  <c r="N6" i="88"/>
  <c r="K23" i="51"/>
  <c r="J23" i="51" s="1"/>
  <c r="T46" i="51"/>
  <c r="T48" i="51" s="1"/>
  <c r="I8" i="88"/>
  <c r="D6" i="53"/>
  <c r="E6" i="88"/>
  <c r="L8" i="88"/>
  <c r="L12" i="88" s="1"/>
  <c r="H6" i="88"/>
  <c r="H10" i="88" s="1"/>
  <c r="G6" i="53"/>
  <c r="E46" i="51"/>
  <c r="D46" i="51" s="1"/>
  <c r="S47" i="51"/>
  <c r="H7" i="88"/>
  <c r="K8" i="88"/>
  <c r="N46" i="51"/>
  <c r="M46" i="51" s="1"/>
  <c r="L7" i="88"/>
  <c r="L11" i="88" s="1"/>
  <c r="M8" i="88"/>
  <c r="M12" i="88" s="1"/>
  <c r="S45" i="51"/>
  <c r="R48" i="51"/>
  <c r="N7" i="88"/>
  <c r="N11" i="88" s="1"/>
  <c r="N23" i="51"/>
  <c r="D8" i="88"/>
  <c r="D12" i="88" s="1"/>
  <c r="T23" i="51"/>
  <c r="S23" i="51" s="1"/>
  <c r="Q45" i="51"/>
  <c r="K6" i="88"/>
  <c r="K10" i="88" s="1"/>
  <c r="J6" i="53"/>
  <c r="E7" i="88"/>
  <c r="E11" i="88" s="1"/>
  <c r="M22" i="51"/>
  <c r="Q24" i="51"/>
  <c r="Q46" i="51"/>
  <c r="P46" i="51" s="1"/>
  <c r="K45" i="51"/>
  <c r="D7" i="88"/>
  <c r="F7" i="88"/>
  <c r="P22" i="51"/>
  <c r="O48" i="51"/>
  <c r="H36" i="51"/>
  <c r="G36" i="51" s="1"/>
  <c r="E18" i="51"/>
  <c r="D18" i="51" s="1"/>
  <c r="J56" i="54"/>
  <c r="B81" i="54"/>
  <c r="C6" i="54"/>
  <c r="L6" i="54"/>
  <c r="N42" i="51"/>
  <c r="M42" i="51" s="1"/>
  <c r="G6" i="54"/>
  <c r="F6" i="54"/>
  <c r="N31" i="53"/>
  <c r="N30" i="53" s="1"/>
  <c r="E6" i="54"/>
  <c r="D6" i="54"/>
  <c r="K42" i="51"/>
  <c r="J42" i="51" s="1"/>
  <c r="T36" i="51"/>
  <c r="S36" i="51" s="1"/>
  <c r="W16" i="51"/>
  <c r="V16" i="51" s="1"/>
  <c r="W41" i="51"/>
  <c r="V41" i="51" s="1"/>
  <c r="M6" i="54"/>
  <c r="K18" i="51"/>
  <c r="J18" i="51" s="1"/>
  <c r="U42" i="51"/>
  <c r="Q42" i="51"/>
  <c r="P42" i="51" s="1"/>
  <c r="E36" i="51"/>
  <c r="D36" i="51" s="1"/>
  <c r="Y34" i="51"/>
  <c r="N18" i="51"/>
  <c r="M18" i="51" s="1"/>
  <c r="H6" i="54"/>
  <c r="K6" i="54"/>
  <c r="T18" i="51"/>
  <c r="S18" i="51" s="1"/>
  <c r="W34" i="51"/>
  <c r="V34" i="51" s="1"/>
  <c r="Q18" i="51"/>
  <c r="P18" i="51" s="1"/>
  <c r="H42" i="51"/>
  <c r="G42" i="51" s="1"/>
  <c r="Y41" i="51"/>
  <c r="W33" i="51"/>
  <c r="V33" i="51" s="1"/>
  <c r="U23" i="51"/>
  <c r="U18" i="51"/>
  <c r="Y39" i="51"/>
  <c r="N36" i="51"/>
  <c r="M36" i="51" s="1"/>
  <c r="Y40" i="51"/>
  <c r="N31" i="54"/>
  <c r="N30" i="54" s="1"/>
  <c r="N79" i="53"/>
  <c r="N78" i="53" s="1"/>
  <c r="K36" i="51"/>
  <c r="J36" i="51" s="1"/>
  <c r="N12" i="51"/>
  <c r="M12" i="51" s="1"/>
  <c r="Y35" i="51"/>
  <c r="W35" i="51"/>
  <c r="V35" i="51" s="1"/>
  <c r="U47" i="51"/>
  <c r="T42" i="51"/>
  <c r="S42" i="51" s="1"/>
  <c r="E42" i="51"/>
  <c r="D42" i="51" s="1"/>
  <c r="W39" i="51"/>
  <c r="V39" i="51" s="1"/>
  <c r="N4" i="54"/>
  <c r="Q12" i="51"/>
  <c r="P12" i="51" s="1"/>
  <c r="W11" i="51"/>
  <c r="V11" i="51" s="1"/>
  <c r="W15" i="51"/>
  <c r="V15" i="51" s="1"/>
  <c r="W10" i="51"/>
  <c r="V10" i="51" s="1"/>
  <c r="H12" i="51"/>
  <c r="G12" i="51" s="1"/>
  <c r="U45" i="51"/>
  <c r="T12" i="51"/>
  <c r="S12" i="51" s="1"/>
  <c r="U22" i="51"/>
  <c r="H18" i="51"/>
  <c r="G18" i="51" s="1"/>
  <c r="W17" i="51"/>
  <c r="V17" i="51" s="1"/>
  <c r="U46" i="51"/>
  <c r="I6" i="54"/>
  <c r="U12" i="51"/>
  <c r="Y33" i="51"/>
  <c r="W9" i="51"/>
  <c r="V9" i="51" s="1"/>
  <c r="E12" i="51"/>
  <c r="D12" i="51" s="1"/>
  <c r="K12" i="51"/>
  <c r="J12" i="51" s="1"/>
  <c r="N4" i="53"/>
  <c r="Q36" i="51"/>
  <c r="P36" i="51" s="1"/>
  <c r="U36" i="51"/>
  <c r="C24" i="51"/>
  <c r="U21" i="51"/>
  <c r="W40" i="51"/>
  <c r="V40" i="51" s="1"/>
  <c r="M55" i="92" l="1"/>
  <c r="N52" i="92" s="1"/>
  <c r="N55" i="92" s="1"/>
  <c r="L41" i="92"/>
  <c r="M38" i="92" s="1"/>
  <c r="M34" i="92"/>
  <c r="N31" i="92" s="1"/>
  <c r="N34" i="92" s="1"/>
  <c r="M27" i="92"/>
  <c r="N24" i="92" s="1"/>
  <c r="N27" i="92" s="1"/>
  <c r="M20" i="92"/>
  <c r="N17" i="92" s="1"/>
  <c r="N20" i="92" s="1"/>
  <c r="S21" i="93"/>
  <c r="T24" i="93"/>
  <c r="S24" i="93" s="1"/>
  <c r="E36" i="93"/>
  <c r="D36" i="93" s="1"/>
  <c r="W34" i="93"/>
  <c r="V34" i="93" s="1"/>
  <c r="E46" i="93"/>
  <c r="T12" i="93"/>
  <c r="S12" i="93" s="1"/>
  <c r="S23" i="93"/>
  <c r="P21" i="93"/>
  <c r="Q24" i="93"/>
  <c r="P24" i="93" s="1"/>
  <c r="W35" i="93"/>
  <c r="V35" i="93" s="1"/>
  <c r="H47" i="93"/>
  <c r="G47" i="93" s="1"/>
  <c r="Y46" i="93"/>
  <c r="W22" i="93"/>
  <c r="D22" i="93"/>
  <c r="U36" i="93"/>
  <c r="M21" i="93"/>
  <c r="N24" i="93"/>
  <c r="M24" i="93" s="1"/>
  <c r="S45" i="93"/>
  <c r="T48" i="93"/>
  <c r="S48" i="93" s="1"/>
  <c r="V10" i="93"/>
  <c r="AA34" i="93"/>
  <c r="Z34" i="93" s="1"/>
  <c r="C24" i="93"/>
  <c r="U21" i="93"/>
  <c r="J21" i="93"/>
  <c r="K24" i="93"/>
  <c r="J24" i="93" s="1"/>
  <c r="Y33" i="93"/>
  <c r="Y36" i="93" s="1"/>
  <c r="U12" i="93"/>
  <c r="I48" i="93"/>
  <c r="N45" i="93"/>
  <c r="W45" i="93" s="1"/>
  <c r="N36" i="93"/>
  <c r="M36" i="93" s="1"/>
  <c r="J46" i="93"/>
  <c r="V9" i="93"/>
  <c r="K45" i="93"/>
  <c r="K36" i="93"/>
  <c r="J36" i="93" s="1"/>
  <c r="P23" i="93"/>
  <c r="U23" i="93"/>
  <c r="Y47" i="93" s="1"/>
  <c r="H36" i="93"/>
  <c r="G36" i="93" s="1"/>
  <c r="H45" i="93"/>
  <c r="W33" i="93"/>
  <c r="U45" i="93"/>
  <c r="U48" i="93" s="1"/>
  <c r="D45" i="93"/>
  <c r="E48" i="93"/>
  <c r="D48" i="93" s="1"/>
  <c r="V15" i="93"/>
  <c r="AA39" i="93"/>
  <c r="W18" i="93"/>
  <c r="V18" i="93" s="1"/>
  <c r="C48" i="93"/>
  <c r="V39" i="93"/>
  <c r="W42" i="93"/>
  <c r="V42" i="93" s="1"/>
  <c r="F48" i="93"/>
  <c r="E21" i="93"/>
  <c r="H12" i="93"/>
  <c r="G12" i="93" s="1"/>
  <c r="H21" i="93"/>
  <c r="W11" i="93"/>
  <c r="D47" i="93"/>
  <c r="Q45" i="93"/>
  <c r="Q36" i="93"/>
  <c r="P36" i="93" s="1"/>
  <c r="W23" i="93"/>
  <c r="D23" i="93"/>
  <c r="AA40" i="93"/>
  <c r="Z40" i="93" s="1"/>
  <c r="E48" i="51"/>
  <c r="D48" i="51" s="1"/>
  <c r="S46" i="51"/>
  <c r="K24" i="51"/>
  <c r="J24" i="51" s="1"/>
  <c r="P24" i="51"/>
  <c r="K48" i="51"/>
  <c r="J48" i="51" s="1"/>
  <c r="J45" i="51"/>
  <c r="K12" i="88"/>
  <c r="E9" i="88"/>
  <c r="E10" i="88"/>
  <c r="E13" i="88" s="1"/>
  <c r="J9" i="88"/>
  <c r="J12" i="88"/>
  <c r="J13" i="88" s="1"/>
  <c r="T24" i="51"/>
  <c r="S24" i="51" s="1"/>
  <c r="C10" i="88"/>
  <c r="O6" i="88"/>
  <c r="H9" i="88"/>
  <c r="H11" i="88"/>
  <c r="I9" i="88"/>
  <c r="I12" i="88"/>
  <c r="I13" i="88" s="1"/>
  <c r="G9" i="88"/>
  <c r="G11" i="88"/>
  <c r="G13" i="88" s="1"/>
  <c r="S48" i="51"/>
  <c r="F9" i="88"/>
  <c r="F11" i="88"/>
  <c r="F13" i="88" s="1"/>
  <c r="N48" i="51"/>
  <c r="M48" i="51" s="1"/>
  <c r="M45" i="51"/>
  <c r="N10" i="88"/>
  <c r="N13" i="88" s="1"/>
  <c r="N9" i="88"/>
  <c r="C8" i="88"/>
  <c r="H24" i="51"/>
  <c r="G24" i="51" s="1"/>
  <c r="G21" i="51"/>
  <c r="C11" i="88"/>
  <c r="H13" i="88"/>
  <c r="N24" i="51"/>
  <c r="M24" i="51" s="1"/>
  <c r="M10" i="88"/>
  <c r="M13" i="88" s="1"/>
  <c r="M9" i="88"/>
  <c r="D9" i="88"/>
  <c r="D11" i="88"/>
  <c r="D13" i="88"/>
  <c r="N56" i="54"/>
  <c r="N55" i="54" s="1"/>
  <c r="K7" i="88"/>
  <c r="K11" i="88" s="1"/>
  <c r="K13" i="88" s="1"/>
  <c r="Q48" i="51"/>
  <c r="P48" i="51" s="1"/>
  <c r="P45" i="51"/>
  <c r="L10" i="88"/>
  <c r="L13" i="88" s="1"/>
  <c r="L9" i="88"/>
  <c r="L5" i="53"/>
  <c r="J5" i="53"/>
  <c r="G5" i="53"/>
  <c r="K5" i="54"/>
  <c r="M5" i="53"/>
  <c r="F5" i="54"/>
  <c r="L5" i="54"/>
  <c r="G5" i="54"/>
  <c r="D5" i="54"/>
  <c r="I5" i="53"/>
  <c r="E5" i="53"/>
  <c r="E5" i="54"/>
  <c r="J6" i="54"/>
  <c r="B5" i="53"/>
  <c r="D5" i="53"/>
  <c r="H5" i="54"/>
  <c r="K5" i="53"/>
  <c r="F5" i="53"/>
  <c r="M5" i="54"/>
  <c r="H5" i="53"/>
  <c r="C5" i="54"/>
  <c r="B6" i="54"/>
  <c r="N81" i="54"/>
  <c r="N80" i="54" s="1"/>
  <c r="C5" i="53"/>
  <c r="AA34" i="51"/>
  <c r="Z34" i="51" s="1"/>
  <c r="Y47" i="51"/>
  <c r="N6" i="53"/>
  <c r="W36" i="51"/>
  <c r="V36" i="51" s="1"/>
  <c r="AA40" i="51"/>
  <c r="Z40" i="51" s="1"/>
  <c r="W46" i="51"/>
  <c r="V46" i="51" s="1"/>
  <c r="W47" i="51"/>
  <c r="V47" i="51" s="1"/>
  <c r="Y42" i="51"/>
  <c r="Y36" i="51"/>
  <c r="AA41" i="51"/>
  <c r="Z41" i="51" s="1"/>
  <c r="U48" i="51"/>
  <c r="D21" i="51"/>
  <c r="W21" i="51"/>
  <c r="V21" i="51" s="1"/>
  <c r="E24" i="51"/>
  <c r="D24" i="51" s="1"/>
  <c r="D23" i="51"/>
  <c r="W23" i="51"/>
  <c r="V23" i="51" s="1"/>
  <c r="AA35" i="51"/>
  <c r="Z35" i="51" s="1"/>
  <c r="Y45" i="51"/>
  <c r="U24" i="51"/>
  <c r="AA33" i="51"/>
  <c r="Z33" i="51" s="1"/>
  <c r="W12" i="51"/>
  <c r="V12" i="51" s="1"/>
  <c r="W18" i="51"/>
  <c r="V18" i="51" s="1"/>
  <c r="AA39" i="51"/>
  <c r="Z39" i="51" s="1"/>
  <c r="W42" i="51"/>
  <c r="V42" i="51" s="1"/>
  <c r="Y46" i="51"/>
  <c r="W45" i="51"/>
  <c r="V45" i="51" s="1"/>
  <c r="I5" i="54"/>
  <c r="W22" i="51"/>
  <c r="V22" i="51" s="1"/>
  <c r="D22" i="51"/>
  <c r="M41" i="92" l="1"/>
  <c r="N38" i="92" s="1"/>
  <c r="N41" i="92" s="1"/>
  <c r="W47" i="93"/>
  <c r="V47" i="93" s="1"/>
  <c r="AA42" i="93"/>
  <c r="Z42" i="93" s="1"/>
  <c r="Z39" i="93"/>
  <c r="AA47" i="93"/>
  <c r="Z47" i="93" s="1"/>
  <c r="V23" i="93"/>
  <c r="V45" i="93"/>
  <c r="M45" i="93"/>
  <c r="N48" i="93"/>
  <c r="M48" i="93" s="1"/>
  <c r="V22" i="93"/>
  <c r="P45" i="93"/>
  <c r="Q48" i="93"/>
  <c r="P48" i="93" s="1"/>
  <c r="V33" i="93"/>
  <c r="W36" i="93"/>
  <c r="V36" i="93" s="1"/>
  <c r="V11" i="93"/>
  <c r="AA35" i="93"/>
  <c r="Z35" i="93" s="1"/>
  <c r="G45" i="93"/>
  <c r="H48" i="93"/>
  <c r="G48" i="93" s="1"/>
  <c r="H24" i="93"/>
  <c r="G24" i="93" s="1"/>
  <c r="G21" i="93"/>
  <c r="Y45" i="93"/>
  <c r="Y48" i="93" s="1"/>
  <c r="U24" i="93"/>
  <c r="D21" i="93"/>
  <c r="W21" i="93"/>
  <c r="E24" i="93"/>
  <c r="D24" i="93" s="1"/>
  <c r="D46" i="93"/>
  <c r="W46" i="93"/>
  <c r="V46" i="93" s="1"/>
  <c r="J45" i="93"/>
  <c r="K48" i="93"/>
  <c r="J48" i="93" s="1"/>
  <c r="W12" i="93"/>
  <c r="V12" i="93" s="1"/>
  <c r="AA33" i="93"/>
  <c r="C12" i="88"/>
  <c r="O12" i="88" s="1"/>
  <c r="O8" i="88"/>
  <c r="C9" i="88"/>
  <c r="K9" i="88"/>
  <c r="O10" i="88"/>
  <c r="O7" i="88"/>
  <c r="O11" i="88"/>
  <c r="B5" i="54"/>
  <c r="N5" i="53"/>
  <c r="J5" i="54"/>
  <c r="N6" i="54"/>
  <c r="Y48" i="51"/>
  <c r="W24" i="51"/>
  <c r="V24" i="51" s="1"/>
  <c r="AA45" i="51"/>
  <c r="Z45" i="51" s="1"/>
  <c r="AA46" i="51"/>
  <c r="Z46" i="51" s="1"/>
  <c r="AA36" i="51"/>
  <c r="Z36" i="51" s="1"/>
  <c r="AA47" i="51"/>
  <c r="Z47" i="51" s="1"/>
  <c r="W48" i="51"/>
  <c r="V48" i="51" s="1"/>
  <c r="AA42" i="51"/>
  <c r="Z42" i="51" s="1"/>
  <c r="W48" i="93" l="1"/>
  <c r="V48" i="93" s="1"/>
  <c r="V21" i="93"/>
  <c r="W24" i="93"/>
  <c r="V24" i="93" s="1"/>
  <c r="AA45" i="93"/>
  <c r="Z33" i="93"/>
  <c r="AA36" i="93"/>
  <c r="Z36" i="93" s="1"/>
  <c r="AA46" i="93"/>
  <c r="Z46" i="93" s="1"/>
  <c r="C13" i="88"/>
  <c r="P6" i="53"/>
  <c r="O9" i="88"/>
  <c r="O13" i="88"/>
  <c r="N5" i="54"/>
  <c r="P6" i="54"/>
  <c r="AA48" i="51"/>
  <c r="AA48" i="93" l="1"/>
  <c r="Z45" i="93"/>
  <c r="Z48" i="51"/>
  <c r="AA50" i="51"/>
  <c r="Z48" i="93" l="1"/>
  <c r="D12" i="89" l="1"/>
  <c r="D15" i="89" s="1"/>
  <c r="N12" i="89"/>
  <c r="N15" i="89" s="1"/>
  <c r="M12" i="89"/>
  <c r="M15" i="89" s="1"/>
  <c r="L14" i="90" s="1"/>
  <c r="L12" i="89"/>
  <c r="L15" i="89" s="1"/>
  <c r="E12" i="89"/>
  <c r="E15" i="89" s="1"/>
  <c r="F12" i="89"/>
  <c r="F15" i="89" s="1"/>
  <c r="E14" i="90" s="1"/>
  <c r="G12" i="89"/>
  <c r="G15" i="89" s="1"/>
  <c r="F14" i="90" s="1"/>
  <c r="H12" i="89"/>
  <c r="H15" i="89" s="1"/>
  <c r="I12" i="89"/>
  <c r="I15" i="89" s="1"/>
  <c r="H14" i="90" s="1"/>
  <c r="J12" i="89"/>
  <c r="J15" i="89" s="1"/>
  <c r="I14" i="90" s="1"/>
  <c r="K12" i="89"/>
  <c r="K15" i="89" s="1"/>
  <c r="J14" i="90" s="1"/>
  <c r="K12" i="90" s="1"/>
  <c r="I12" i="90" l="1"/>
  <c r="M14" i="90"/>
  <c r="N12" i="90" s="1"/>
  <c r="N15" i="90" s="1"/>
  <c r="N12" i="92" s="1"/>
  <c r="N60" i="92" s="1"/>
  <c r="G12" i="90"/>
  <c r="G14" i="90"/>
  <c r="F12" i="90"/>
  <c r="F15" i="90" s="1"/>
  <c r="F12" i="92" s="1"/>
  <c r="F60" i="92" s="1"/>
  <c r="D14" i="90"/>
  <c r="K15" i="90"/>
  <c r="K12" i="92" s="1"/>
  <c r="K60" i="92" s="1"/>
  <c r="L12" i="90"/>
  <c r="L15" i="90" s="1"/>
  <c r="L12" i="92" s="1"/>
  <c r="L60" i="92" s="1"/>
  <c r="M12" i="90"/>
  <c r="M15" i="90" s="1"/>
  <c r="M12" i="92" s="1"/>
  <c r="M60" i="92" s="1"/>
  <c r="J12" i="90"/>
  <c r="J15" i="90" s="1"/>
  <c r="J12" i="92" s="1"/>
  <c r="J60" i="92" s="1"/>
  <c r="I15" i="90"/>
  <c r="I12" i="92" s="1"/>
  <c r="I60" i="92" s="1"/>
  <c r="C15" i="90"/>
  <c r="C12" i="92" s="1"/>
  <c r="O13" i="90"/>
  <c r="O15" i="89"/>
  <c r="D10" i="92" l="1"/>
  <c r="C60" i="92"/>
  <c r="D12" i="90"/>
  <c r="D15" i="90" s="1"/>
  <c r="D12" i="92" s="1"/>
  <c r="D60" i="92" s="1"/>
  <c r="G15" i="90"/>
  <c r="G12" i="92" s="1"/>
  <c r="G60" i="92" s="1"/>
  <c r="H12" i="90"/>
  <c r="H15" i="90" s="1"/>
  <c r="H12" i="92" s="1"/>
  <c r="H60" i="92" s="1"/>
  <c r="E12" i="90"/>
  <c r="E15" i="90" s="1"/>
  <c r="E12" i="92" s="1"/>
  <c r="E60" i="92" s="1"/>
  <c r="E10" i="92" l="1"/>
  <c r="O60" i="92"/>
  <c r="D58" i="92"/>
  <c r="D61" i="92" s="1"/>
  <c r="O12" i="92"/>
  <c r="O15" i="90"/>
  <c r="E58" i="92" l="1"/>
  <c r="E61" i="92" s="1"/>
  <c r="E13" i="92"/>
  <c r="F10" i="92" s="1"/>
  <c r="G10" i="92" s="1"/>
  <c r="F58" i="92" l="1"/>
  <c r="F61" i="92" s="1"/>
  <c r="G13" i="92"/>
  <c r="H10" i="92" s="1"/>
  <c r="G58" i="92" l="1"/>
  <c r="G61" i="92" s="1"/>
  <c r="H13" i="92"/>
  <c r="I10" i="92" s="1"/>
  <c r="H58" i="92" l="1"/>
  <c r="H61" i="92" s="1"/>
  <c r="I13" i="92"/>
  <c r="J10" i="92" s="1"/>
  <c r="I58" i="92" l="1"/>
  <c r="I61" i="92" s="1"/>
  <c r="J13" i="92"/>
  <c r="K10" i="92" s="1"/>
  <c r="J58" i="92" l="1"/>
  <c r="J61" i="92" s="1"/>
  <c r="K13" i="92"/>
  <c r="L10" i="92" s="1"/>
  <c r="K58" i="92" l="1"/>
  <c r="K61" i="92" s="1"/>
  <c r="L13" i="92"/>
  <c r="M10" i="92" s="1"/>
  <c r="L58" i="92" l="1"/>
  <c r="L61" i="92" s="1"/>
  <c r="M13" i="92"/>
  <c r="N10" i="92" s="1"/>
  <c r="M58" i="92" l="1"/>
  <c r="M61" i="92" s="1"/>
  <c r="N58" i="92" l="1"/>
  <c r="N61" i="92" s="1"/>
</calcChain>
</file>

<file path=xl/sharedStrings.xml><?xml version="1.0" encoding="utf-8"?>
<sst xmlns="http://schemas.openxmlformats.org/spreadsheetml/2006/main" count="885" uniqueCount="162">
  <si>
    <t>qtà</t>
  </si>
  <si>
    <t>valore</t>
  </si>
  <si>
    <t>Totale I° sem</t>
  </si>
  <si>
    <t>Totale</t>
  </si>
  <si>
    <t>p</t>
  </si>
  <si>
    <t>TOT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</si>
  <si>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</si>
  <si>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</si>
  <si>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</si>
  <si>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</si>
  <si>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</si>
  <si>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</si>
  <si>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</si>
  <si>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</si>
  <si>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</si>
  <si>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</si>
  <si>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</si>
  <si>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</si>
  <si>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LUGLIO</t>
  </si>
  <si>
    <t>AGOSTO</t>
  </si>
  <si>
    <t>SETTEMBRE</t>
  </si>
  <si>
    <t>OTTOBRE</t>
  </si>
  <si>
    <t>NOVEMBRE</t>
  </si>
  <si>
    <t>DICEMBRE</t>
  </si>
  <si>
    <t>GENNAIO</t>
  </si>
  <si>
    <t>FEBBRAIO</t>
  </si>
  <si>
    <t>MARZO</t>
  </si>
  <si>
    <t>APRILE</t>
  </si>
  <si>
    <t>MAGGIO</t>
  </si>
  <si>
    <t>GIUGNO</t>
  </si>
  <si>
    <t>Quantità</t>
  </si>
  <si>
    <t>Prezzo unitario</t>
  </si>
  <si>
    <t>Fatturato</t>
  </si>
  <si>
    <t xml:space="preserve">Prezzi di listino medi unitari </t>
  </si>
  <si>
    <t>Canale</t>
  </si>
  <si>
    <t>Valore mercato di riferimento</t>
  </si>
  <si>
    <t>Punti vendita</t>
  </si>
  <si>
    <t>Quota di mercato</t>
  </si>
  <si>
    <t>Fatturato Mozart</t>
  </si>
  <si>
    <t>Punti vendita serviti</t>
  </si>
  <si>
    <t>Fatturato per punto vendita</t>
  </si>
  <si>
    <t>Penetrazione punti vendita</t>
  </si>
  <si>
    <t>Fatturato per agente</t>
  </si>
  <si>
    <t>Materassi in schiuma poliuretanica (B)</t>
  </si>
  <si>
    <t>Materassi a molle (A)</t>
  </si>
  <si>
    <t>Analisi del mercato di riferimento</t>
  </si>
  <si>
    <t>1- Evoluzione per canale</t>
  </si>
  <si>
    <t>anno (N+1)</t>
  </si>
  <si>
    <t>anno (N+2)</t>
  </si>
  <si>
    <t>anno (N+3)</t>
  </si>
  <si>
    <t>tradizionale</t>
  </si>
  <si>
    <t>televendite</t>
  </si>
  <si>
    <t>gdo</t>
  </si>
  <si>
    <t>2- Dati commerciali anno (N)</t>
  </si>
  <si>
    <t>Preconsuntivo (N)</t>
  </si>
  <si>
    <t>Distribuzione fatt. per canale</t>
  </si>
  <si>
    <t>Condizioni  di regolamento medie di mercato (in gg)</t>
  </si>
  <si>
    <t>Mix di vendita:</t>
  </si>
  <si>
    <t>Fatturato per prodotto:</t>
  </si>
  <si>
    <t>Agenti:</t>
  </si>
  <si>
    <t>nord</t>
  </si>
  <si>
    <t>centro</t>
  </si>
  <si>
    <t>sud e isole</t>
  </si>
  <si>
    <t>totale</t>
  </si>
  <si>
    <t>Premio trimestrale clientela</t>
  </si>
  <si>
    <t>Provvigione agenti</t>
  </si>
  <si>
    <t>altro</t>
  </si>
  <si>
    <t>Budget vendite totali (N+1)</t>
  </si>
  <si>
    <t>Prezzo medio</t>
  </si>
  <si>
    <t>Prezzo medio mix</t>
  </si>
  <si>
    <t>Scostamenti (N+1)/(N) %</t>
  </si>
  <si>
    <t>trad.</t>
  </si>
  <si>
    <t>tel.</t>
  </si>
  <si>
    <t>Molle</t>
  </si>
  <si>
    <t>Poliuretano</t>
  </si>
  <si>
    <t>Q</t>
  </si>
  <si>
    <t>Canale tradizionale</t>
  </si>
  <si>
    <t>Canale televendite</t>
  </si>
  <si>
    <t>Canale GDO</t>
  </si>
  <si>
    <t>MIX prodotto/canale</t>
  </si>
  <si>
    <t>Budget (N+1)</t>
  </si>
  <si>
    <t>Tabella A.3 - Budget vendite per prodotto/canale</t>
  </si>
  <si>
    <t>televendita</t>
  </si>
  <si>
    <t>Tradizionale</t>
  </si>
  <si>
    <t>Televendite</t>
  </si>
  <si>
    <t>GDO</t>
  </si>
  <si>
    <t>CHECK</t>
  </si>
  <si>
    <t>POLIURETANO - TUTTI I CANALI</t>
  </si>
  <si>
    <t>POLIURETANO - TRADIZIONALE</t>
  </si>
  <si>
    <t>POLIURETANO - TELEVENDITE</t>
  </si>
  <si>
    <t>POLIURETANO - GDO</t>
  </si>
  <si>
    <t>MOLLE - TUTTI I CANALI</t>
  </si>
  <si>
    <t>MOLLE- TRADIZIOONALE</t>
  </si>
  <si>
    <t>MOLLE - TELEVENDITE</t>
  </si>
  <si>
    <t>MOLLE - GDO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</si>
  <si>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</si>
  <si>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</si>
  <si>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</si>
  <si>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</si>
  <si>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</si>
  <si>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</si>
  <si>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</si>
  <si>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</si>
  <si>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</si>
  <si>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</si>
  <si>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</si>
  <si>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</si>
  <si>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Premi alla clientela</t>
  </si>
  <si>
    <t>Tabella 4 - Budget premi a cliente per canale mensilizzati</t>
  </si>
  <si>
    <t>Tabella 3 - Budget vendite per prodotto/canale mensilizzate</t>
  </si>
  <si>
    <t>Tabella 2 - Budget vendite per prodotto/canale</t>
  </si>
  <si>
    <t>Tabella 1 - Sviluppo del preconsuntivo e del budget delle vendite complessivo</t>
  </si>
  <si>
    <t>Tabella 0 - Dati necessari per sviluppo successivo</t>
  </si>
  <si>
    <t>Tabella 5 - Budget quantità da produrre</t>
  </si>
  <si>
    <t>Materassi a molle</t>
  </si>
  <si>
    <t>Giacenze iniziali</t>
  </si>
  <si>
    <t>Giacenze iniziali (q)</t>
  </si>
  <si>
    <t>Tasso di rotazione scorte</t>
  </si>
  <si>
    <t>Durata prodotti (gg)</t>
  </si>
  <si>
    <t>Budget N+2</t>
  </si>
  <si>
    <t>Giacenze finali</t>
  </si>
  <si>
    <t>Produzione necessaria</t>
  </si>
  <si>
    <t>Vendite</t>
  </si>
  <si>
    <t>Budget vendite totali (N+2)</t>
  </si>
  <si>
    <t>Budget (N+2)</t>
  </si>
  <si>
    <t>Materassi in schiuma poliuretanica</t>
  </si>
  <si>
    <t>All B.1 - Scheda di costo standard</t>
  </si>
  <si>
    <t>Ferro</t>
  </si>
  <si>
    <t>Cotone</t>
  </si>
  <si>
    <t>Lana</t>
  </si>
  <si>
    <t>Materasso a molle</t>
  </si>
  <si>
    <t>u.m.</t>
  </si>
  <si>
    <t>q u.m.</t>
  </si>
  <si>
    <t>kg</t>
  </si>
  <si>
    <t>Materasso schiuma poliuretanica</t>
  </si>
  <si>
    <t>Teli di cotone</t>
  </si>
  <si>
    <t>Filo</t>
  </si>
  <si>
    <t>Cellophane</t>
  </si>
  <si>
    <t>metri</t>
  </si>
  <si>
    <t>n.ro</t>
  </si>
  <si>
    <t>€/u.m.</t>
  </si>
  <si>
    <t>costo</t>
  </si>
  <si>
    <t>All B.2 - Parametri per MRP</t>
  </si>
  <si>
    <t>Tempi di rapprovvigionamento</t>
  </si>
  <si>
    <t>Scorta minima</t>
  </si>
  <si>
    <t>All B.3 - Rimanenze iniziali materie espresse in quantità</t>
  </si>
  <si>
    <t>Tempo di riapprovvigionamento in gg</t>
  </si>
  <si>
    <t>scorta minima</t>
  </si>
  <si>
    <t>Fabbisogno di produzione</t>
  </si>
  <si>
    <t>Acquisti necessari</t>
  </si>
  <si>
    <t>scost. q</t>
  </si>
  <si>
    <t>scost. p</t>
  </si>
  <si>
    <t>Tabella 7 - Budget quantità di materie prime da acquistare</t>
  </si>
  <si>
    <t>Tab. 6 - Distinta Base materie prime</t>
  </si>
  <si>
    <t>valore unitario</t>
  </si>
  <si>
    <t>-Fabbisogno di produzione</t>
  </si>
  <si>
    <t>+Acquisti</t>
  </si>
  <si>
    <t>Tabella 8 - Budget acquisti (a valore) di materie prime</t>
  </si>
  <si>
    <t>cu</t>
  </si>
  <si>
    <t>pcu</t>
  </si>
  <si>
    <t>Totale II° sem</t>
  </si>
  <si>
    <t>Tabella 9 - Budget costo del venduto per prodotto/canale mensilizzato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</si>
</sst>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  <numFmt numFmtId="168" formatCode="_-&quot;€&quot;\ * #,##0_-;\-&quot;€&quot;\ * #,##0_-;_-&quot;€&quot;\ * &quot;-&quot;??_-;_-@_-"/>
    <numFmt numFmtId="169" formatCode="_-* #,##0.00000_-;\-* #,##0.00000_-;_-* &quot;-&quot;??_-;_-@_-"/>
  </numFmts>
  <fonts count="16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PT Sans Narrow"/>
      <family val="2"/>
      <charset val="204"/>
    </font>
    <font>
      <b/>
      <sz val="12"/>
      <name val="PT Sans Narrow"/>
      <family val="2"/>
      <charset val="204"/>
    </font>
    <font>
      <i/>
      <sz val="12"/>
      <name val="PT Sans Narrow"/>
      <family val="2"/>
      <charset val="204"/>
    </font>
    <font>
      <b/>
      <i/>
      <sz val="12"/>
      <name val="PT Sans Narrow"/>
      <family val="2"/>
      <charset val="204"/>
    </font>
    <font>
      <sz val="12"/>
      <color indexed="10"/>
      <name val="PT Sans Narrow"/>
      <family val="2"/>
      <charset val="204"/>
    </font>
    <font>
      <b/>
      <sz val="16"/>
      <color theme="4"/>
      <name val="PT Sans Narrow"/>
      <family val="2"/>
      <charset val="204"/>
    </font>
    <font>
      <sz val="12"/>
      <color theme="0"/>
      <name val="PT Sans Narrow"/>
      <family val="2"/>
      <charset val="204"/>
    </font>
    <font>
      <b/>
      <sz val="12"/>
      <color theme="4" tint="-0.249977111117893"/>
      <name val="PT Sans Narrow"/>
      <family val="2"/>
      <charset val="204"/>
    </font>
    <font>
      <sz val="14"/>
      <name val="PT Sans Narrow"/>
      <family val="2"/>
      <charset val="204"/>
    </font>
    <font>
      <b/>
      <sz val="14"/>
      <name val="PT Sans Narrow"/>
      <family val="2"/>
      <charset val="204"/>
    </font>
    <font>
      <sz val="14"/>
      <color theme="0"/>
      <name val="PT Sans Narrow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4D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422">
    <xf numFmtId="0" fontId="0" fillId="0" borderId="0" xfId="0"/>
    <xf numFmtId="0" fontId="5" fillId="0" borderId="0" xfId="0" applyFont="1"/>
    <xf numFmtId="0" fontId="6" fillId="0" borderId="10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3" fontId="6" fillId="0" borderId="0" xfId="2" applyNumberFormat="1" applyFont="1" applyFill="1" applyBorder="1" applyAlignment="1"/>
    <xf numFmtId="0" fontId="6" fillId="0" borderId="11" xfId="0" applyFont="1" applyFill="1" applyBorder="1" applyAlignment="1">
      <alignment horizontal="left"/>
    </xf>
    <xf numFmtId="3" fontId="6" fillId="0" borderId="11" xfId="0" applyNumberFormat="1" applyFont="1" applyFill="1" applyBorder="1" applyAlignment="1"/>
    <xf numFmtId="0" fontId="6" fillId="0" borderId="12" xfId="0" applyFont="1" applyFill="1" applyBorder="1" applyAlignment="1">
      <alignment horizontal="left"/>
    </xf>
    <xf numFmtId="3" fontId="5" fillId="0" borderId="12" xfId="0" applyNumberFormat="1" applyFont="1" applyFill="1" applyBorder="1" applyAlignment="1"/>
    <xf numFmtId="0" fontId="6" fillId="0" borderId="0" xfId="0" applyFont="1"/>
    <xf numFmtId="0" fontId="5" fillId="0" borderId="0" xfId="0" applyFont="1" applyFill="1"/>
    <xf numFmtId="0" fontId="5" fillId="0" borderId="1" xfId="0" applyFont="1" applyBorder="1"/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6" xfId="0" applyFont="1" applyBorder="1"/>
    <xf numFmtId="0" fontId="5" fillId="0" borderId="7" xfId="0" applyFont="1" applyBorder="1"/>
    <xf numFmtId="0" fontId="5" fillId="2" borderId="2" xfId="0" applyFont="1" applyFill="1" applyBorder="1"/>
    <xf numFmtId="0" fontId="5" fillId="2" borderId="0" xfId="0" applyFont="1" applyFill="1" applyBorder="1"/>
    <xf numFmtId="0" fontId="5" fillId="2" borderId="16" xfId="0" applyFont="1" applyFill="1" applyBorder="1"/>
    <xf numFmtId="0" fontId="5" fillId="0" borderId="0" xfId="0" applyFont="1" applyFill="1" applyBorder="1"/>
    <xf numFmtId="165" fontId="5" fillId="0" borderId="2" xfId="2" applyNumberFormat="1" applyFont="1" applyBorder="1"/>
    <xf numFmtId="165" fontId="5" fillId="0" borderId="0" xfId="2" applyNumberFormat="1" applyFont="1" applyBorder="1"/>
    <xf numFmtId="165" fontId="5" fillId="0" borderId="7" xfId="2" applyNumberFormat="1" applyFont="1" applyBorder="1"/>
    <xf numFmtId="165" fontId="5" fillId="2" borderId="2" xfId="0" applyNumberFormat="1" applyFont="1" applyFill="1" applyBorder="1"/>
    <xf numFmtId="165" fontId="5" fillId="0" borderId="0" xfId="0" applyNumberFormat="1" applyFont="1" applyFill="1" applyBorder="1"/>
    <xf numFmtId="0" fontId="5" fillId="0" borderId="2" xfId="0" applyFont="1" applyBorder="1" applyAlignment="1"/>
    <xf numFmtId="0" fontId="6" fillId="0" borderId="8" xfId="0" applyFont="1" applyBorder="1" applyAlignment="1">
      <alignment horizontal="left"/>
    </xf>
    <xf numFmtId="165" fontId="6" fillId="2" borderId="8" xfId="2" applyNumberFormat="1" applyFont="1" applyFill="1" applyBorder="1"/>
    <xf numFmtId="165" fontId="6" fillId="2" borderId="13" xfId="2" applyNumberFormat="1" applyFont="1" applyFill="1" applyBorder="1"/>
    <xf numFmtId="165" fontId="6" fillId="2" borderId="15" xfId="2" applyNumberFormat="1" applyFont="1" applyFill="1" applyBorder="1"/>
    <xf numFmtId="165" fontId="6" fillId="0" borderId="0" xfId="2" applyNumberFormat="1" applyFont="1" applyFill="1" applyBorder="1"/>
    <xf numFmtId="165" fontId="5" fillId="0" borderId="2" xfId="0" applyNumberFormat="1" applyFont="1" applyBorder="1"/>
    <xf numFmtId="9" fontId="5" fillId="0" borderId="0" xfId="4" applyFont="1"/>
    <xf numFmtId="165" fontId="5" fillId="0" borderId="0" xfId="0" applyNumberFormat="1" applyFont="1"/>
    <xf numFmtId="43" fontId="5" fillId="0" borderId="0" xfId="0" applyNumberFormat="1" applyFont="1"/>
    <xf numFmtId="0" fontId="6" fillId="0" borderId="0" xfId="0" applyFont="1" applyBorder="1" applyAlignment="1">
      <alignment horizontal="left"/>
    </xf>
    <xf numFmtId="165" fontId="6" fillId="0" borderId="0" xfId="2" applyNumberFormat="1" applyFont="1" applyBorder="1"/>
    <xf numFmtId="0" fontId="5" fillId="2" borderId="2" xfId="0" applyFont="1" applyFill="1" applyBorder="1" applyAlignment="1">
      <alignment horizontal="center"/>
    </xf>
    <xf numFmtId="43" fontId="5" fillId="0" borderId="0" xfId="2" applyFont="1"/>
    <xf numFmtId="0" fontId="6" fillId="3" borderId="10" xfId="0" applyFont="1" applyFill="1" applyBorder="1" applyAlignment="1">
      <alignment horizontal="center"/>
    </xf>
    <xf numFmtId="3" fontId="5" fillId="0" borderId="0" xfId="0" applyNumberFormat="1" applyFont="1"/>
    <xf numFmtId="3" fontId="5" fillId="3" borderId="0" xfId="0" applyNumberFormat="1" applyFont="1" applyFill="1"/>
    <xf numFmtId="168" fontId="6" fillId="0" borderId="0" xfId="5" applyNumberFormat="1" applyFont="1"/>
    <xf numFmtId="168" fontId="6" fillId="3" borderId="0" xfId="5" applyNumberFormat="1" applyFont="1" applyFill="1"/>
    <xf numFmtId="10" fontId="9" fillId="0" borderId="0" xfId="4" applyNumberFormat="1" applyFont="1" applyAlignment="1">
      <alignment horizontal="center"/>
    </xf>
    <xf numFmtId="0" fontId="10" fillId="0" borderId="0" xfId="0" applyFont="1"/>
    <xf numFmtId="164" fontId="5" fillId="0" borderId="0" xfId="5" applyFont="1" applyFill="1" applyBorder="1" applyAlignment="1"/>
    <xf numFmtId="164" fontId="5" fillId="0" borderId="13" xfId="5" applyFont="1" applyFill="1" applyBorder="1" applyAlignment="1"/>
    <xf numFmtId="164" fontId="5" fillId="0" borderId="0" xfId="5" applyFont="1" applyBorder="1"/>
    <xf numFmtId="164" fontId="8" fillId="2" borderId="13" xfId="5" applyFont="1" applyFill="1" applyBorder="1"/>
    <xf numFmtId="164" fontId="7" fillId="0" borderId="0" xfId="5" applyFont="1" applyBorder="1"/>
    <xf numFmtId="168" fontId="5" fillId="0" borderId="6" xfId="5" applyNumberFormat="1" applyFont="1" applyBorder="1"/>
    <xf numFmtId="168" fontId="6" fillId="2" borderId="14" xfId="5" applyNumberFormat="1" applyFont="1" applyFill="1" applyBorder="1"/>
    <xf numFmtId="164" fontId="7" fillId="2" borderId="0" xfId="5" applyFont="1" applyFill="1" applyBorder="1"/>
    <xf numFmtId="164" fontId="6" fillId="2" borderId="13" xfId="5" applyFont="1" applyFill="1" applyBorder="1"/>
    <xf numFmtId="164" fontId="5" fillId="2" borderId="0" xfId="5" applyFont="1" applyFill="1" applyBorder="1"/>
    <xf numFmtId="168" fontId="5" fillId="2" borderId="16" xfId="5" applyNumberFormat="1" applyFont="1" applyFill="1" applyBorder="1"/>
    <xf numFmtId="168" fontId="6" fillId="2" borderId="17" xfId="5" applyNumberFormat="1" applyFont="1" applyFill="1" applyBorder="1"/>
    <xf numFmtId="164" fontId="5" fillId="0" borderId="0" xfId="5" applyFont="1"/>
    <xf numFmtId="164" fontId="5" fillId="3" borderId="0" xfId="5" applyFont="1" applyFill="1"/>
    <xf numFmtId="0" fontId="5" fillId="0" borderId="33" xfId="0" applyFont="1" applyBorder="1"/>
    <xf numFmtId="0" fontId="5" fillId="0" borderId="0" xfId="0" applyFont="1" applyAlignment="1">
      <alignment horizontal="left"/>
    </xf>
    <xf numFmtId="0" fontId="5" fillId="0" borderId="33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21" xfId="0" applyFont="1" applyBorder="1"/>
    <xf numFmtId="3" fontId="5" fillId="0" borderId="0" xfId="0" applyNumberFormat="1" applyFont="1" applyBorder="1"/>
    <xf numFmtId="168" fontId="5" fillId="0" borderId="0" xfId="5" applyNumberFormat="1" applyFont="1" applyBorder="1"/>
    <xf numFmtId="168" fontId="5" fillId="5" borderId="0" xfId="0" applyNumberFormat="1" applyFont="1" applyFill="1"/>
    <xf numFmtId="0" fontId="5" fillId="0" borderId="42" xfId="0" applyFont="1" applyBorder="1"/>
    <xf numFmtId="0" fontId="5" fillId="0" borderId="27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43" xfId="0" applyFont="1" applyBorder="1"/>
    <xf numFmtId="0" fontId="5" fillId="0" borderId="36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2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4" borderId="19" xfId="0" applyFont="1" applyFill="1" applyBorder="1" applyAlignment="1">
      <alignment vertical="center"/>
    </xf>
    <xf numFmtId="168" fontId="5" fillId="0" borderId="19" xfId="5" applyNumberFormat="1" applyFont="1" applyBorder="1" applyAlignment="1">
      <alignment vertical="center"/>
    </xf>
    <xf numFmtId="9" fontId="5" fillId="4" borderId="19" xfId="0" applyNumberFormat="1" applyFont="1" applyFill="1" applyBorder="1" applyAlignment="1">
      <alignment vertical="center"/>
    </xf>
    <xf numFmtId="9" fontId="5" fillId="4" borderId="19" xfId="0" applyNumberFormat="1" applyFont="1" applyFill="1" applyBorder="1" applyAlignment="1">
      <alignment horizontal="center" vertical="center"/>
    </xf>
    <xf numFmtId="168" fontId="5" fillId="0" borderId="19" xfId="0" applyNumberFormat="1" applyFont="1" applyBorder="1" applyAlignment="1">
      <alignment vertical="center"/>
    </xf>
    <xf numFmtId="168" fontId="5" fillId="4" borderId="19" xfId="0" applyNumberFormat="1" applyFont="1" applyFill="1" applyBorder="1" applyAlignment="1">
      <alignment vertical="center"/>
    </xf>
    <xf numFmtId="9" fontId="5" fillId="0" borderId="19" xfId="0" applyNumberFormat="1" applyFont="1" applyFill="1" applyBorder="1" applyAlignment="1">
      <alignment horizontal="center" vertical="center"/>
    </xf>
    <xf numFmtId="168" fontId="5" fillId="4" borderId="19" xfId="5" applyNumberFormat="1" applyFont="1" applyFill="1" applyBorder="1" applyAlignment="1">
      <alignment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9" fontId="5" fillId="0" borderId="0" xfId="4" applyFont="1" applyAlignment="1">
      <alignment horizontal="center" vertical="center"/>
    </xf>
    <xf numFmtId="9" fontId="5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5" fillId="4" borderId="0" xfId="0" applyNumberFormat="1" applyFont="1" applyFill="1" applyBorder="1" applyAlignment="1">
      <alignment horizontal="center" vertical="center"/>
    </xf>
    <xf numFmtId="9" fontId="5" fillId="4" borderId="30" xfId="0" applyNumberFormat="1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168" fontId="5" fillId="0" borderId="19" xfId="0" applyNumberFormat="1" applyFont="1" applyFill="1" applyBorder="1" applyAlignment="1">
      <alignment vertical="center"/>
    </xf>
    <xf numFmtId="9" fontId="5" fillId="4" borderId="6" xfId="0" applyNumberFormat="1" applyFont="1" applyFill="1" applyBorder="1" applyAlignment="1">
      <alignment horizontal="center" vertical="center"/>
    </xf>
    <xf numFmtId="9" fontId="5" fillId="4" borderId="5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9" fontId="5" fillId="4" borderId="50" xfId="0" applyNumberFormat="1" applyFont="1" applyFill="1" applyBorder="1" applyAlignment="1">
      <alignment horizontal="center" vertical="center"/>
    </xf>
    <xf numFmtId="168" fontId="5" fillId="0" borderId="53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5" fontId="5" fillId="0" borderId="19" xfId="2" applyNumberFormat="1" applyFont="1" applyFill="1" applyBorder="1" applyAlignment="1">
      <alignment horizontal="center" vertical="center"/>
    </xf>
    <xf numFmtId="9" fontId="5" fillId="0" borderId="19" xfId="4" applyFont="1" applyBorder="1" applyAlignment="1">
      <alignment horizontal="center" vertical="center"/>
    </xf>
    <xf numFmtId="168" fontId="5" fillId="0" borderId="19" xfId="5" applyNumberFormat="1" applyFont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165" fontId="5" fillId="4" borderId="19" xfId="2" applyNumberFormat="1" applyFont="1" applyFill="1" applyBorder="1" applyAlignment="1">
      <alignment vertical="center"/>
    </xf>
    <xf numFmtId="165" fontId="5" fillId="4" borderId="19" xfId="2" applyNumberFormat="1" applyFont="1" applyFill="1" applyBorder="1" applyAlignment="1">
      <alignment horizontal="center" vertical="center"/>
    </xf>
    <xf numFmtId="164" fontId="5" fillId="0" borderId="19" xfId="5" applyFont="1" applyBorder="1" applyAlignment="1">
      <alignment horizontal="center" vertical="center"/>
    </xf>
    <xf numFmtId="0" fontId="6" fillId="0" borderId="53" xfId="0" applyFont="1" applyBorder="1" applyAlignment="1">
      <alignment vertical="center"/>
    </xf>
    <xf numFmtId="165" fontId="5" fillId="0" borderId="19" xfId="2" applyNumberFormat="1" applyFont="1" applyBorder="1" applyAlignment="1">
      <alignment vertical="center"/>
    </xf>
    <xf numFmtId="165" fontId="5" fillId="0" borderId="19" xfId="2" applyNumberFormat="1" applyFont="1" applyBorder="1" applyAlignment="1">
      <alignment horizontal="center" vertical="center"/>
    </xf>
    <xf numFmtId="9" fontId="5" fillId="4" borderId="19" xfId="4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168" fontId="5" fillId="4" borderId="19" xfId="5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56" xfId="0" applyFont="1" applyBorder="1" applyAlignment="1">
      <alignment vertical="center"/>
    </xf>
    <xf numFmtId="0" fontId="5" fillId="8" borderId="55" xfId="0" applyFont="1" applyFill="1" applyBorder="1" applyAlignment="1">
      <alignment vertical="center"/>
    </xf>
    <xf numFmtId="168" fontId="5" fillId="0" borderId="57" xfId="0" applyNumberFormat="1" applyFont="1" applyFill="1" applyBorder="1" applyAlignment="1">
      <alignment vertical="center"/>
    </xf>
    <xf numFmtId="168" fontId="5" fillId="8" borderId="20" xfId="0" applyNumberFormat="1" applyFont="1" applyFill="1" applyBorder="1" applyAlignment="1">
      <alignment vertical="center"/>
    </xf>
    <xf numFmtId="165" fontId="5" fillId="0" borderId="57" xfId="2" applyNumberFormat="1" applyFont="1" applyFill="1" applyBorder="1" applyAlignment="1">
      <alignment horizontal="center" vertical="center"/>
    </xf>
    <xf numFmtId="165" fontId="5" fillId="8" borderId="20" xfId="2" applyNumberFormat="1" applyFont="1" applyFill="1" applyBorder="1" applyAlignment="1">
      <alignment horizontal="center" vertical="center"/>
    </xf>
    <xf numFmtId="168" fontId="5" fillId="0" borderId="57" xfId="5" applyNumberFormat="1" applyFont="1" applyBorder="1" applyAlignment="1">
      <alignment vertical="center"/>
    </xf>
    <xf numFmtId="168" fontId="5" fillId="8" borderId="20" xfId="5" applyNumberFormat="1" applyFont="1" applyFill="1" applyBorder="1" applyAlignment="1">
      <alignment vertical="center"/>
    </xf>
    <xf numFmtId="9" fontId="5" fillId="0" borderId="57" xfId="4" applyFont="1" applyBorder="1" applyAlignment="1">
      <alignment horizontal="center" vertical="center"/>
    </xf>
    <xf numFmtId="9" fontId="5" fillId="8" borderId="20" xfId="4" applyFont="1" applyFill="1" applyBorder="1" applyAlignment="1">
      <alignment horizontal="center" vertical="center"/>
    </xf>
    <xf numFmtId="168" fontId="5" fillId="0" borderId="57" xfId="5" applyNumberFormat="1" applyFont="1" applyBorder="1" applyAlignment="1">
      <alignment horizontal="center" vertical="center"/>
    </xf>
    <xf numFmtId="168" fontId="5" fillId="8" borderId="20" xfId="5" applyNumberFormat="1" applyFont="1" applyFill="1" applyBorder="1" applyAlignment="1">
      <alignment horizontal="center" vertical="center"/>
    </xf>
    <xf numFmtId="0" fontId="5" fillId="0" borderId="57" xfId="0" applyFont="1" applyBorder="1" applyAlignment="1">
      <alignment vertical="center"/>
    </xf>
    <xf numFmtId="0" fontId="5" fillId="8" borderId="20" xfId="0" applyFont="1" applyFill="1" applyBorder="1" applyAlignment="1">
      <alignment vertical="center"/>
    </xf>
    <xf numFmtId="0" fontId="5" fillId="0" borderId="57" xfId="0" applyFont="1" applyFill="1" applyBorder="1" applyAlignment="1">
      <alignment vertical="center"/>
    </xf>
    <xf numFmtId="0" fontId="6" fillId="0" borderId="57" xfId="0" applyFont="1" applyBorder="1" applyAlignment="1">
      <alignment vertical="center"/>
    </xf>
    <xf numFmtId="0" fontId="6" fillId="8" borderId="20" xfId="0" applyFont="1" applyFill="1" applyBorder="1" applyAlignment="1">
      <alignment vertical="center"/>
    </xf>
    <xf numFmtId="168" fontId="6" fillId="0" borderId="58" xfId="0" applyNumberFormat="1" applyFont="1" applyBorder="1" applyAlignment="1">
      <alignment vertical="center"/>
    </xf>
    <xf numFmtId="168" fontId="6" fillId="0" borderId="59" xfId="0" applyNumberFormat="1" applyFont="1" applyBorder="1" applyAlignment="1">
      <alignment vertical="center"/>
    </xf>
    <xf numFmtId="168" fontId="6" fillId="8" borderId="60" xfId="0" applyNumberFormat="1" applyFont="1" applyFill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6" fillId="0" borderId="42" xfId="0" applyFont="1" applyBorder="1" applyAlignment="1">
      <alignment vertical="center"/>
    </xf>
    <xf numFmtId="0" fontId="6" fillId="0" borderId="45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168" fontId="6" fillId="0" borderId="61" xfId="0" applyNumberFormat="1" applyFont="1" applyBorder="1" applyAlignment="1">
      <alignment vertical="center"/>
    </xf>
    <xf numFmtId="168" fontId="6" fillId="0" borderId="49" xfId="0" applyNumberFormat="1" applyFont="1" applyBorder="1" applyAlignment="1">
      <alignment vertical="center"/>
    </xf>
    <xf numFmtId="168" fontId="6" fillId="8" borderId="62" xfId="0" applyNumberFormat="1" applyFont="1" applyFill="1" applyBorder="1" applyAlignment="1">
      <alignment vertical="center"/>
    </xf>
    <xf numFmtId="0" fontId="5" fillId="9" borderId="55" xfId="0" applyFont="1" applyFill="1" applyBorder="1" applyAlignment="1">
      <alignment vertical="center"/>
    </xf>
    <xf numFmtId="168" fontId="5" fillId="9" borderId="20" xfId="0" applyNumberFormat="1" applyFont="1" applyFill="1" applyBorder="1" applyAlignment="1">
      <alignment vertical="center"/>
    </xf>
    <xf numFmtId="165" fontId="5" fillId="9" borderId="20" xfId="2" applyNumberFormat="1" applyFont="1" applyFill="1" applyBorder="1" applyAlignment="1">
      <alignment horizontal="center" vertical="center"/>
    </xf>
    <xf numFmtId="168" fontId="5" fillId="9" borderId="20" xfId="5" applyNumberFormat="1" applyFont="1" applyFill="1" applyBorder="1" applyAlignment="1">
      <alignment vertical="center"/>
    </xf>
    <xf numFmtId="168" fontId="6" fillId="9" borderId="62" xfId="0" applyNumberFormat="1" applyFont="1" applyFill="1" applyBorder="1" applyAlignment="1">
      <alignment vertical="center"/>
    </xf>
    <xf numFmtId="9" fontId="5" fillId="9" borderId="20" xfId="4" applyFont="1" applyFill="1" applyBorder="1" applyAlignment="1">
      <alignment horizontal="center" vertical="center"/>
    </xf>
    <xf numFmtId="168" fontId="5" fillId="9" borderId="20" xfId="5" applyNumberFormat="1" applyFont="1" applyFill="1" applyBorder="1" applyAlignment="1">
      <alignment horizontal="center" vertical="center"/>
    </xf>
    <xf numFmtId="0" fontId="5" fillId="9" borderId="20" xfId="0" applyFont="1" applyFill="1" applyBorder="1" applyAlignment="1">
      <alignment vertical="center"/>
    </xf>
    <xf numFmtId="0" fontId="6" fillId="9" borderId="20" xfId="0" applyFont="1" applyFill="1" applyBorder="1" applyAlignment="1">
      <alignment vertical="center"/>
    </xf>
    <xf numFmtId="168" fontId="6" fillId="9" borderId="60" xfId="0" applyNumberFormat="1" applyFont="1" applyFill="1" applyBorder="1" applyAlignment="1">
      <alignment vertical="center"/>
    </xf>
    <xf numFmtId="165" fontId="5" fillId="4" borderId="57" xfId="2" applyNumberFormat="1" applyFont="1" applyFill="1" applyBorder="1" applyAlignment="1">
      <alignment horizontal="center" vertical="center"/>
    </xf>
    <xf numFmtId="164" fontId="5" fillId="4" borderId="19" xfId="5" applyFont="1" applyFill="1" applyBorder="1" applyAlignment="1">
      <alignment horizontal="center" vertical="center"/>
    </xf>
    <xf numFmtId="9" fontId="6" fillId="0" borderId="57" xfId="0" applyNumberFormat="1" applyFont="1" applyFill="1" applyBorder="1" applyAlignment="1">
      <alignment horizontal="center" vertical="center"/>
    </xf>
    <xf numFmtId="9" fontId="6" fillId="0" borderId="19" xfId="0" applyNumberFormat="1" applyFont="1" applyFill="1" applyBorder="1" applyAlignment="1">
      <alignment horizontal="center" vertical="center"/>
    </xf>
    <xf numFmtId="9" fontId="6" fillId="8" borderId="20" xfId="0" applyNumberFormat="1" applyFont="1" applyFill="1" applyBorder="1" applyAlignment="1">
      <alignment horizontal="center" vertical="center"/>
    </xf>
    <xf numFmtId="9" fontId="6" fillId="4" borderId="19" xfId="0" applyNumberFormat="1" applyFont="1" applyFill="1" applyBorder="1" applyAlignment="1">
      <alignment horizontal="center" vertical="center"/>
    </xf>
    <xf numFmtId="9" fontId="6" fillId="9" borderId="20" xfId="0" applyNumberFormat="1" applyFont="1" applyFill="1" applyBorder="1" applyAlignment="1">
      <alignment horizontal="center" vertical="center"/>
    </xf>
    <xf numFmtId="9" fontId="6" fillId="0" borderId="57" xfId="4" applyFont="1" applyBorder="1" applyAlignment="1">
      <alignment horizontal="center" vertical="center"/>
    </xf>
    <xf numFmtId="9" fontId="6" fillId="0" borderId="19" xfId="4" applyFont="1" applyBorder="1" applyAlignment="1">
      <alignment horizontal="center" vertical="center"/>
    </xf>
    <xf numFmtId="9" fontId="6" fillId="8" borderId="20" xfId="4" applyFont="1" applyFill="1" applyBorder="1" applyAlignment="1">
      <alignment horizontal="center" vertical="center"/>
    </xf>
    <xf numFmtId="9" fontId="6" fillId="4" borderId="57" xfId="4" applyFont="1" applyFill="1" applyBorder="1" applyAlignment="1">
      <alignment horizontal="center" vertical="center"/>
    </xf>
    <xf numFmtId="9" fontId="6" fillId="9" borderId="20" xfId="4" applyFont="1" applyFill="1" applyBorder="1" applyAlignment="1">
      <alignment horizontal="center" vertical="center"/>
    </xf>
    <xf numFmtId="0" fontId="5" fillId="4" borderId="57" xfId="0" applyFont="1" applyFill="1" applyBorder="1" applyAlignment="1">
      <alignment vertical="center"/>
    </xf>
    <xf numFmtId="10" fontId="5" fillId="0" borderId="19" xfId="4" applyNumberFormat="1" applyFont="1" applyFill="1" applyBorder="1" applyAlignment="1">
      <alignment horizontal="center" vertical="center"/>
    </xf>
    <xf numFmtId="10" fontId="5" fillId="9" borderId="20" xfId="4" applyNumberFormat="1" applyFont="1" applyFill="1" applyBorder="1" applyAlignment="1">
      <alignment horizontal="center" vertical="center"/>
    </xf>
    <xf numFmtId="10" fontId="5" fillId="0" borderId="57" xfId="4" applyNumberFormat="1" applyFont="1" applyFill="1" applyBorder="1" applyAlignment="1">
      <alignment horizontal="center" vertical="center"/>
    </xf>
    <xf numFmtId="10" fontId="5" fillId="0" borderId="19" xfId="4" applyNumberFormat="1" applyFont="1" applyBorder="1" applyAlignment="1">
      <alignment horizontal="center" vertical="center"/>
    </xf>
    <xf numFmtId="10" fontId="6" fillId="0" borderId="57" xfId="4" applyNumberFormat="1" applyFont="1" applyFill="1" applyBorder="1" applyAlignment="1">
      <alignment horizontal="center" vertical="center"/>
    </xf>
    <xf numFmtId="10" fontId="6" fillId="0" borderId="19" xfId="4" applyNumberFormat="1" applyFont="1" applyBorder="1" applyAlignment="1">
      <alignment horizontal="center" vertical="center"/>
    </xf>
    <xf numFmtId="10" fontId="6" fillId="9" borderId="20" xfId="4" applyNumberFormat="1" applyFont="1" applyFill="1" applyBorder="1" applyAlignment="1">
      <alignment horizontal="center" vertical="center"/>
    </xf>
    <xf numFmtId="10" fontId="6" fillId="0" borderId="58" xfId="4" applyNumberFormat="1" applyFont="1" applyBorder="1" applyAlignment="1">
      <alignment vertical="center"/>
    </xf>
    <xf numFmtId="10" fontId="6" fillId="0" borderId="59" xfId="4" applyNumberFormat="1" applyFont="1" applyBorder="1" applyAlignment="1">
      <alignment vertical="center"/>
    </xf>
    <xf numFmtId="10" fontId="6" fillId="9" borderId="60" xfId="4" applyNumberFormat="1" applyFont="1" applyFill="1" applyBorder="1" applyAlignment="1">
      <alignment vertical="center"/>
    </xf>
    <xf numFmtId="0" fontId="5" fillId="0" borderId="50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165" fontId="5" fillId="0" borderId="3" xfId="2" applyNumberFormat="1" applyFont="1" applyBorder="1"/>
    <xf numFmtId="168" fontId="5" fillId="0" borderId="5" xfId="5" applyNumberFormat="1" applyFont="1" applyBorder="1"/>
    <xf numFmtId="168" fontId="5" fillId="0" borderId="4" xfId="5" applyNumberFormat="1" applyFont="1" applyBorder="1"/>
    <xf numFmtId="0" fontId="5" fillId="0" borderId="31" xfId="0" applyFont="1" applyBorder="1" applyAlignment="1">
      <alignment horizontal="center"/>
    </xf>
    <xf numFmtId="0" fontId="5" fillId="0" borderId="56" xfId="0" applyFont="1" applyBorder="1"/>
    <xf numFmtId="168" fontId="5" fillId="0" borderId="9" xfId="5" applyNumberFormat="1" applyFont="1" applyBorder="1"/>
    <xf numFmtId="168" fontId="5" fillId="0" borderId="44" xfId="5" applyNumberFormat="1" applyFont="1" applyBorder="1"/>
    <xf numFmtId="0" fontId="6" fillId="0" borderId="64" xfId="0" applyFont="1" applyBorder="1"/>
    <xf numFmtId="0" fontId="6" fillId="0" borderId="15" xfId="0" applyFont="1" applyBorder="1"/>
    <xf numFmtId="0" fontId="6" fillId="0" borderId="13" xfId="0" applyFont="1" applyBorder="1"/>
    <xf numFmtId="168" fontId="6" fillId="0" borderId="14" xfId="5" applyNumberFormat="1" applyFont="1" applyBorder="1"/>
    <xf numFmtId="168" fontId="6" fillId="0" borderId="17" xfId="5" applyNumberFormat="1" applyFont="1" applyBorder="1"/>
    <xf numFmtId="0" fontId="5" fillId="0" borderId="26" xfId="0" applyFont="1" applyBorder="1" applyAlignment="1">
      <alignment horizontal="center"/>
    </xf>
    <xf numFmtId="9" fontId="5" fillId="0" borderId="44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9" fontId="5" fillId="0" borderId="6" xfId="0" applyNumberFormat="1" applyFont="1" applyFill="1" applyBorder="1" applyAlignment="1">
      <alignment horizontal="center"/>
    </xf>
    <xf numFmtId="9" fontId="5" fillId="4" borderId="6" xfId="0" applyNumberFormat="1" applyFont="1" applyFill="1" applyBorder="1" applyAlignment="1">
      <alignment horizontal="center"/>
    </xf>
    <xf numFmtId="0" fontId="5" fillId="0" borderId="64" xfId="0" applyFont="1" applyBorder="1" applyAlignment="1">
      <alignment horizontal="center"/>
    </xf>
    <xf numFmtId="9" fontId="5" fillId="0" borderId="21" xfId="0" applyNumberFormat="1" applyFont="1" applyFill="1" applyBorder="1" applyAlignment="1">
      <alignment horizontal="center"/>
    </xf>
    <xf numFmtId="9" fontId="5" fillId="4" borderId="21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5" fillId="0" borderId="0" xfId="2" applyNumberFormat="1" applyFont="1" applyFill="1" applyBorder="1" applyAlignment="1"/>
    <xf numFmtId="0" fontId="6" fillId="0" borderId="34" xfId="0" applyFont="1" applyFill="1" applyBorder="1" applyAlignment="1">
      <alignment horizontal="left"/>
    </xf>
    <xf numFmtId="0" fontId="6" fillId="0" borderId="48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164" fontId="5" fillId="0" borderId="44" xfId="5" applyFont="1" applyFill="1" applyBorder="1" applyAlignment="1"/>
    <xf numFmtId="164" fontId="5" fillId="0" borderId="17" xfId="5" applyFont="1" applyFill="1" applyBorder="1" applyAlignment="1"/>
    <xf numFmtId="0" fontId="6" fillId="3" borderId="35" xfId="0" applyFont="1" applyFill="1" applyBorder="1" applyAlignment="1">
      <alignment horizontal="center"/>
    </xf>
    <xf numFmtId="0" fontId="5" fillId="0" borderId="43" xfId="0" applyFont="1" applyBorder="1" applyAlignment="1">
      <alignment horizontal="left"/>
    </xf>
    <xf numFmtId="3" fontId="5" fillId="3" borderId="44" xfId="0" applyNumberFormat="1" applyFont="1" applyFill="1" applyBorder="1"/>
    <xf numFmtId="164" fontId="5" fillId="3" borderId="44" xfId="5" applyFont="1" applyFill="1" applyBorder="1"/>
    <xf numFmtId="168" fontId="6" fillId="0" borderId="13" xfId="5" applyNumberFormat="1" applyFont="1" applyBorder="1"/>
    <xf numFmtId="168" fontId="6" fillId="3" borderId="17" xfId="5" applyNumberFormat="1" applyFont="1" applyFill="1" applyBorder="1"/>
    <xf numFmtId="0" fontId="6" fillId="0" borderId="34" xfId="0" applyFont="1" applyBorder="1" applyAlignment="1">
      <alignment horizontal="left"/>
    </xf>
    <xf numFmtId="168" fontId="5" fillId="0" borderId="7" xfId="5" applyNumberFormat="1" applyFont="1" applyBorder="1"/>
    <xf numFmtId="168" fontId="5" fillId="0" borderId="3" xfId="5" applyNumberFormat="1" applyFont="1" applyBorder="1"/>
    <xf numFmtId="168" fontId="5" fillId="0" borderId="50" xfId="5" applyNumberFormat="1" applyFont="1" applyBorder="1"/>
    <xf numFmtId="168" fontId="5" fillId="0" borderId="30" xfId="5" applyNumberFormat="1" applyFont="1" applyBorder="1"/>
    <xf numFmtId="0" fontId="5" fillId="0" borderId="29" xfId="0" applyFont="1" applyBorder="1"/>
    <xf numFmtId="0" fontId="5" fillId="9" borderId="55" xfId="0" applyFont="1" applyFill="1" applyBorder="1" applyAlignment="1">
      <alignment horizontal="center"/>
    </xf>
    <xf numFmtId="0" fontId="5" fillId="0" borderId="54" xfId="0" applyFont="1" applyBorder="1"/>
    <xf numFmtId="168" fontId="6" fillId="9" borderId="55" xfId="5" applyNumberFormat="1" applyFont="1" applyFill="1" applyBorder="1"/>
    <xf numFmtId="168" fontId="6" fillId="9" borderId="20" xfId="5" applyNumberFormat="1" applyFont="1" applyFill="1" applyBorder="1"/>
    <xf numFmtId="168" fontId="6" fillId="9" borderId="41" xfId="5" applyNumberFormat="1" applyFont="1" applyFill="1" applyBorder="1"/>
    <xf numFmtId="0" fontId="6" fillId="0" borderId="58" xfId="0" applyFont="1" applyBorder="1"/>
    <xf numFmtId="168" fontId="6" fillId="0" borderId="15" xfId="5" applyNumberFormat="1" applyFont="1" applyBorder="1"/>
    <xf numFmtId="168" fontId="6" fillId="9" borderId="40" xfId="5" applyNumberFormat="1" applyFont="1" applyFill="1" applyBorder="1"/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165" fontId="5" fillId="0" borderId="0" xfId="2" applyNumberFormat="1" applyFont="1" applyBorder="1" applyAlignment="1">
      <alignment horizontal="center" vertical="center"/>
    </xf>
    <xf numFmtId="0" fontId="11" fillId="7" borderId="39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65" fontId="5" fillId="4" borderId="0" xfId="2" applyNumberFormat="1" applyFont="1" applyFill="1" applyBorder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165" fontId="6" fillId="0" borderId="46" xfId="2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9" borderId="20" xfId="0" applyFont="1" applyFill="1" applyBorder="1" applyAlignment="1">
      <alignment horizontal="center" vertical="center"/>
    </xf>
    <xf numFmtId="0" fontId="5" fillId="0" borderId="66" xfId="0" applyFont="1" applyBorder="1" applyAlignment="1">
      <alignment vertical="center"/>
    </xf>
    <xf numFmtId="0" fontId="5" fillId="0" borderId="57" xfId="0" quotePrefix="1" applyFont="1" applyBorder="1" applyAlignment="1">
      <alignment vertical="center"/>
    </xf>
    <xf numFmtId="0" fontId="6" fillId="0" borderId="61" xfId="0" quotePrefix="1" applyFont="1" applyBorder="1" applyAlignment="1">
      <alignment vertical="center"/>
    </xf>
    <xf numFmtId="0" fontId="5" fillId="9" borderId="38" xfId="0" applyFont="1" applyFill="1" applyBorder="1" applyAlignment="1">
      <alignment horizontal="center" vertical="center"/>
    </xf>
    <xf numFmtId="0" fontId="5" fillId="0" borderId="44" xfId="0" applyFont="1" applyBorder="1" applyAlignment="1">
      <alignment vertical="center"/>
    </xf>
    <xf numFmtId="3" fontId="5" fillId="0" borderId="43" xfId="0" applyNumberFormat="1" applyFont="1" applyBorder="1" applyAlignment="1">
      <alignment vertical="center"/>
    </xf>
    <xf numFmtId="3" fontId="5" fillId="0" borderId="44" xfId="0" applyNumberFormat="1" applyFont="1" applyBorder="1" applyAlignment="1">
      <alignment vertical="center"/>
    </xf>
    <xf numFmtId="165" fontId="6" fillId="9" borderId="62" xfId="2" applyNumberFormat="1" applyFont="1" applyFill="1" applyBorder="1" applyAlignment="1">
      <alignment horizontal="center" vertical="center"/>
    </xf>
    <xf numFmtId="165" fontId="5" fillId="0" borderId="0" xfId="2" applyNumberFormat="1" applyFont="1" applyFill="1" applyBorder="1" applyAlignment="1">
      <alignment horizontal="center" vertical="center"/>
    </xf>
    <xf numFmtId="2" fontId="5" fillId="4" borderId="0" xfId="0" applyNumberFormat="1" applyFont="1" applyFill="1" applyBorder="1" applyAlignment="1">
      <alignment horizontal="right" vertical="center"/>
    </xf>
    <xf numFmtId="9" fontId="6" fillId="0" borderId="64" xfId="0" applyNumberFormat="1" applyFont="1" applyFill="1" applyBorder="1" applyAlignment="1">
      <alignment horizontal="center" vertical="center"/>
    </xf>
    <xf numFmtId="9" fontId="6" fillId="0" borderId="67" xfId="0" applyNumberFormat="1" applyFont="1" applyFill="1" applyBorder="1" applyAlignment="1">
      <alignment horizontal="center" vertical="center"/>
    </xf>
    <xf numFmtId="0" fontId="5" fillId="6" borderId="55" xfId="0" applyFont="1" applyFill="1" applyBorder="1" applyAlignment="1">
      <alignment vertical="center"/>
    </xf>
    <xf numFmtId="168" fontId="5" fillId="6" borderId="20" xfId="0" applyNumberFormat="1" applyFont="1" applyFill="1" applyBorder="1" applyAlignment="1">
      <alignment vertical="center"/>
    </xf>
    <xf numFmtId="165" fontId="5" fillId="6" borderId="20" xfId="2" applyNumberFormat="1" applyFont="1" applyFill="1" applyBorder="1" applyAlignment="1">
      <alignment horizontal="center" vertical="center"/>
    </xf>
    <xf numFmtId="168" fontId="5" fillId="6" borderId="20" xfId="5" applyNumberFormat="1" applyFont="1" applyFill="1" applyBorder="1" applyAlignment="1">
      <alignment vertical="center"/>
    </xf>
    <xf numFmtId="168" fontId="6" fillId="6" borderId="62" xfId="0" applyNumberFormat="1" applyFont="1" applyFill="1" applyBorder="1" applyAlignment="1">
      <alignment vertical="center"/>
    </xf>
    <xf numFmtId="9" fontId="6" fillId="6" borderId="40" xfId="0" applyNumberFormat="1" applyFont="1" applyFill="1" applyBorder="1" applyAlignment="1">
      <alignment horizontal="center" vertical="center"/>
    </xf>
    <xf numFmtId="168" fontId="5" fillId="0" borderId="57" xfId="5" applyNumberFormat="1" applyFont="1" applyFill="1" applyBorder="1" applyAlignment="1">
      <alignment vertical="center"/>
    </xf>
    <xf numFmtId="168" fontId="5" fillId="0" borderId="19" xfId="5" applyNumberFormat="1" applyFont="1" applyFill="1" applyBorder="1" applyAlignment="1">
      <alignment vertical="center"/>
    </xf>
    <xf numFmtId="168" fontId="6" fillId="0" borderId="61" xfId="0" applyNumberFormat="1" applyFont="1" applyFill="1" applyBorder="1" applyAlignment="1">
      <alignment vertical="center"/>
    </xf>
    <xf numFmtId="168" fontId="6" fillId="0" borderId="49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horizontal="center" vertical="center"/>
    </xf>
    <xf numFmtId="0" fontId="13" fillId="0" borderId="43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50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164" fontId="14" fillId="0" borderId="0" xfId="5" applyFont="1" applyBorder="1" applyAlignment="1">
      <alignment vertical="center"/>
    </xf>
    <xf numFmtId="164" fontId="13" fillId="0" borderId="44" xfId="5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64" fontId="14" fillId="0" borderId="17" xfId="5" applyFont="1" applyBorder="1" applyAlignment="1">
      <alignment horizontal="center" vertical="center"/>
    </xf>
    <xf numFmtId="164" fontId="13" fillId="0" borderId="0" xfId="5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 wrapText="1"/>
    </xf>
    <xf numFmtId="0" fontId="15" fillId="0" borderId="65" xfId="0" applyFont="1" applyFill="1" applyBorder="1" applyAlignment="1">
      <alignment vertical="center"/>
    </xf>
    <xf numFmtId="0" fontId="15" fillId="0" borderId="66" xfId="0" applyFont="1" applyFill="1" applyBorder="1" applyAlignment="1">
      <alignment vertical="center"/>
    </xf>
    <xf numFmtId="0" fontId="13" fillId="12" borderId="69" xfId="0" applyFont="1" applyFill="1" applyBorder="1" applyAlignment="1">
      <alignment horizontal="center" vertical="center"/>
    </xf>
    <xf numFmtId="0" fontId="6" fillId="0" borderId="57" xfId="0" applyFont="1" applyBorder="1" applyAlignment="1">
      <alignment horizontal="right" vertical="center"/>
    </xf>
    <xf numFmtId="165" fontId="7" fillId="0" borderId="0" xfId="2" applyNumberFormat="1" applyFont="1" applyFill="1" applyBorder="1" applyAlignment="1">
      <alignment horizontal="right" vertical="center"/>
    </xf>
    <xf numFmtId="0" fontId="7" fillId="0" borderId="57" xfId="0" applyFont="1" applyBorder="1" applyAlignment="1">
      <alignment horizontal="right" vertical="center"/>
    </xf>
    <xf numFmtId="165" fontId="5" fillId="0" borderId="43" xfId="0" applyNumberFormat="1" applyFont="1" applyBorder="1" applyAlignment="1">
      <alignment vertical="center"/>
    </xf>
    <xf numFmtId="165" fontId="6" fillId="0" borderId="32" xfId="2" applyNumberFormat="1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65" fontId="5" fillId="0" borderId="44" xfId="2" applyNumberFormat="1" applyFont="1" applyBorder="1" applyAlignment="1">
      <alignment vertical="center"/>
    </xf>
    <xf numFmtId="0" fontId="6" fillId="10" borderId="70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165" fontId="5" fillId="0" borderId="42" xfId="0" applyNumberFormat="1" applyFont="1" applyBorder="1" applyAlignment="1">
      <alignment vertical="center"/>
    </xf>
    <xf numFmtId="3" fontId="5" fillId="0" borderId="71" xfId="0" applyNumberFormat="1" applyFont="1" applyBorder="1" applyAlignment="1">
      <alignment vertical="center"/>
    </xf>
    <xf numFmtId="165" fontId="13" fillId="0" borderId="44" xfId="2" applyNumberFormat="1" applyFont="1" applyBorder="1" applyAlignment="1">
      <alignment horizontal="center" vertical="center"/>
    </xf>
    <xf numFmtId="165" fontId="13" fillId="0" borderId="17" xfId="2" applyNumberFormat="1" applyFont="1" applyBorder="1" applyAlignment="1">
      <alignment horizontal="center" vertical="center"/>
    </xf>
    <xf numFmtId="9" fontId="13" fillId="4" borderId="0" xfId="0" applyNumberFormat="1" applyFont="1" applyFill="1" applyAlignment="1">
      <alignment horizontal="center" vertical="center"/>
    </xf>
    <xf numFmtId="164" fontId="13" fillId="12" borderId="0" xfId="5" applyFont="1" applyFill="1" applyBorder="1" applyAlignment="1">
      <alignment horizontal="center" vertical="center"/>
    </xf>
    <xf numFmtId="164" fontId="13" fillId="4" borderId="0" xfId="5" applyFont="1" applyFill="1" applyAlignment="1">
      <alignment horizontal="center" vertical="center"/>
    </xf>
    <xf numFmtId="2" fontId="13" fillId="12" borderId="0" xfId="2" applyNumberFormat="1" applyFont="1" applyFill="1" applyBorder="1" applyAlignment="1">
      <alignment horizontal="center" vertical="center"/>
    </xf>
    <xf numFmtId="0" fontId="13" fillId="9" borderId="69" xfId="0" applyFont="1" applyFill="1" applyBorder="1" applyAlignment="1">
      <alignment horizontal="center" vertical="center"/>
    </xf>
    <xf numFmtId="43" fontId="13" fillId="0" borderId="44" xfId="2" applyNumberFormat="1" applyFont="1" applyBorder="1" applyAlignment="1">
      <alignment horizontal="center" vertical="center"/>
    </xf>
    <xf numFmtId="43" fontId="13" fillId="0" borderId="17" xfId="2" applyNumberFormat="1" applyFont="1" applyBorder="1" applyAlignment="1">
      <alignment horizontal="center" vertical="center"/>
    </xf>
    <xf numFmtId="165" fontId="13" fillId="12" borderId="44" xfId="2" applyNumberFormat="1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164" fontId="7" fillId="0" borderId="0" xfId="5" applyFont="1" applyFill="1" applyBorder="1" applyAlignment="1">
      <alignment horizontal="right" vertical="center"/>
    </xf>
    <xf numFmtId="168" fontId="5" fillId="0" borderId="0" xfId="5" applyNumberFormat="1" applyFont="1" applyFill="1" applyBorder="1" applyAlignment="1">
      <alignment horizontal="center" vertical="center"/>
    </xf>
    <xf numFmtId="168" fontId="5" fillId="0" borderId="0" xfId="5" applyNumberFormat="1" applyFont="1" applyBorder="1" applyAlignment="1">
      <alignment horizontal="center" vertical="center"/>
    </xf>
    <xf numFmtId="168" fontId="6" fillId="0" borderId="46" xfId="5" applyNumberFormat="1" applyFont="1" applyBorder="1" applyAlignment="1">
      <alignment horizontal="center" vertical="center"/>
    </xf>
    <xf numFmtId="168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0" fontId="6" fillId="9" borderId="57" xfId="0" applyFont="1" applyFill="1" applyBorder="1" applyAlignment="1">
      <alignment horizontal="right" vertical="center"/>
    </xf>
    <xf numFmtId="0" fontId="5" fillId="9" borderId="0" xfId="0" applyFont="1" applyFill="1" applyBorder="1" applyAlignment="1">
      <alignment horizontal="center" vertical="center"/>
    </xf>
    <xf numFmtId="0" fontId="5" fillId="9" borderId="57" xfId="0" applyFont="1" applyFill="1" applyBorder="1" applyAlignment="1">
      <alignment vertical="center"/>
    </xf>
    <xf numFmtId="168" fontId="5" fillId="9" borderId="0" xfId="5" applyNumberFormat="1" applyFont="1" applyFill="1" applyBorder="1" applyAlignment="1">
      <alignment horizontal="center" vertical="center"/>
    </xf>
    <xf numFmtId="0" fontId="5" fillId="9" borderId="57" xfId="0" quotePrefix="1" applyFont="1" applyFill="1" applyBorder="1" applyAlignment="1">
      <alignment vertical="center"/>
    </xf>
    <xf numFmtId="0" fontId="6" fillId="9" borderId="61" xfId="0" quotePrefix="1" applyFont="1" applyFill="1" applyBorder="1" applyAlignment="1">
      <alignment vertical="center"/>
    </xf>
    <xf numFmtId="168" fontId="6" fillId="9" borderId="46" xfId="5" applyNumberFormat="1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right"/>
    </xf>
    <xf numFmtId="0" fontId="5" fillId="0" borderId="42" xfId="0" applyFont="1" applyBorder="1" applyAlignment="1"/>
    <xf numFmtId="0" fontId="6" fillId="0" borderId="71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8" borderId="34" xfId="0" applyFont="1" applyFill="1" applyBorder="1" applyAlignment="1">
      <alignment horizontal="center" vertical="center"/>
    </xf>
    <xf numFmtId="0" fontId="6" fillId="8" borderId="48" xfId="0" applyFont="1" applyFill="1" applyBorder="1" applyAlignment="1">
      <alignment horizontal="center" vertical="center"/>
    </xf>
    <xf numFmtId="0" fontId="6" fillId="8" borderId="35" xfId="0" applyFont="1" applyFill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8" borderId="55" xfId="0" applyFont="1" applyFill="1" applyBorder="1" applyAlignment="1">
      <alignment horizontal="center" vertical="center"/>
    </xf>
    <xf numFmtId="0" fontId="6" fillId="8" borderId="41" xfId="0" applyFont="1" applyFill="1" applyBorder="1" applyAlignment="1">
      <alignment horizontal="center" vertical="center"/>
    </xf>
    <xf numFmtId="0" fontId="6" fillId="9" borderId="34" xfId="0" applyFont="1" applyFill="1" applyBorder="1" applyAlignment="1">
      <alignment horizontal="center" vertical="center"/>
    </xf>
    <xf numFmtId="0" fontId="6" fillId="9" borderId="48" xfId="0" applyFont="1" applyFill="1" applyBorder="1" applyAlignment="1">
      <alignment horizontal="center" vertical="center"/>
    </xf>
    <xf numFmtId="0" fontId="6" fillId="9" borderId="35" xfId="0" applyFont="1" applyFill="1" applyBorder="1" applyAlignment="1">
      <alignment horizontal="center" vertical="center"/>
    </xf>
    <xf numFmtId="0" fontId="6" fillId="9" borderId="55" xfId="0" applyFont="1" applyFill="1" applyBorder="1" applyAlignment="1">
      <alignment horizontal="center" vertical="center"/>
    </xf>
    <xf numFmtId="0" fontId="6" fillId="9" borderId="41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6" borderId="48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/>
    </xf>
    <xf numFmtId="0" fontId="6" fillId="6" borderId="55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horizontal="center" vertical="center"/>
    </xf>
    <xf numFmtId="0" fontId="6" fillId="9" borderId="34" xfId="0" applyFont="1" applyFill="1" applyBorder="1" applyAlignment="1">
      <alignment horizontal="center"/>
    </xf>
    <xf numFmtId="0" fontId="6" fillId="9" borderId="48" xfId="0" applyFont="1" applyFill="1" applyBorder="1" applyAlignment="1">
      <alignment horizontal="center"/>
    </xf>
    <xf numFmtId="0" fontId="6" fillId="9" borderId="35" xfId="0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6" fillId="8" borderId="34" xfId="0" applyFont="1" applyFill="1" applyBorder="1" applyAlignment="1">
      <alignment horizontal="center"/>
    </xf>
    <xf numFmtId="0" fontId="6" fillId="8" borderId="48" xfId="0" applyFont="1" applyFill="1" applyBorder="1" applyAlignment="1">
      <alignment horizontal="center"/>
    </xf>
    <xf numFmtId="0" fontId="6" fillId="8" borderId="35" xfId="0" applyFont="1" applyFill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6" fillId="9" borderId="63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6" fillId="9" borderId="63" xfId="0" applyFont="1" applyFill="1" applyBorder="1" applyAlignment="1">
      <alignment horizontal="center" vertical="center"/>
    </xf>
    <xf numFmtId="0" fontId="6" fillId="10" borderId="34" xfId="0" applyFont="1" applyFill="1" applyBorder="1" applyAlignment="1">
      <alignment horizontal="center" vertical="center"/>
    </xf>
    <xf numFmtId="0" fontId="6" fillId="10" borderId="48" xfId="0" applyFont="1" applyFill="1" applyBorder="1" applyAlignment="1">
      <alignment horizontal="center" vertical="center"/>
    </xf>
    <xf numFmtId="0" fontId="6" fillId="10" borderId="35" xfId="0" applyFont="1" applyFill="1" applyBorder="1" applyAlignment="1">
      <alignment horizontal="center" vertical="center"/>
    </xf>
    <xf numFmtId="0" fontId="13" fillId="8" borderId="68" xfId="0" applyFont="1" applyFill="1" applyBorder="1" applyAlignment="1">
      <alignment horizontal="center" vertical="center"/>
    </xf>
    <xf numFmtId="0" fontId="13" fillId="8" borderId="22" xfId="0" applyFont="1" applyFill="1" applyBorder="1" applyAlignment="1">
      <alignment horizontal="center" vertical="center"/>
    </xf>
    <xf numFmtId="0" fontId="15" fillId="11" borderId="65" xfId="0" applyFont="1" applyFill="1" applyBorder="1" applyAlignment="1">
      <alignment horizontal="left" vertical="center"/>
    </xf>
    <xf numFmtId="0" fontId="15" fillId="11" borderId="66" xfId="0" applyFont="1" applyFill="1" applyBorder="1" applyAlignment="1">
      <alignment horizontal="left" vertical="center"/>
    </xf>
    <xf numFmtId="0" fontId="13" fillId="8" borderId="12" xfId="0" applyFont="1" applyFill="1" applyBorder="1" applyAlignment="1">
      <alignment horizontal="center" vertical="center"/>
    </xf>
    <xf numFmtId="0" fontId="13" fillId="9" borderId="68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13" fillId="9" borderId="22" xfId="0" applyFont="1" applyFill="1" applyBorder="1" applyAlignment="1">
      <alignment horizontal="center" vertical="center"/>
    </xf>
  </cellXfs>
  <cellStyles count="8">
    <cellStyle name="Euro" xfId="1" xr:uid="{00000000-0005-0000-0000-000000000000}"/>
    <cellStyle name="Migliaia" xfId="2" builtinId="3"/>
    <cellStyle name="Migliaia (0)_01.2001" xfId="3" xr:uid="{00000000-0005-0000-0000-000001000000}"/>
    <cellStyle name="Normale" xfId="0" builtinId="0"/>
    <cellStyle name="Normale 5" xfId="7" xr:uid="{939FCEDB-6FBD-9D44-9B50-4D5B8889D210}"/>
    <cellStyle name="Percentuale" xfId="4" builtinId="5"/>
    <cellStyle name="Valuta" xfId="5" builtinId="4"/>
    <cellStyle name="Valuta (0)_01.2001" xfId="6" xr:uid="{00000000-0005-0000-0000-000005000000}"/>
  </cellStyles>
  <dxfs count="0"/>
  <tableStyles count="0" defaultTableStyle="TableStyleMedium9" defaultPivotStyle="PivotStyleLight16"/>
  <colors>
    <mruColors>
      <color rgb="FFFFF4D7"/>
      <color rgb="FF26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molla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QUANTITÀ!$A$8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QUANTITÀ!$B$8:$M$8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0-D147-9576-83675012660F}"/>
            </c:ext>
          </c:extLst>
        </c:ser>
        <c:ser>
          <c:idx val="1"/>
          <c:order val="1"/>
          <c:tx>
            <c:strRef>
              <c:f>QUANTITÀ!$A$9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QUANTITÀ!$B$9:$M$9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0-D147-9576-83675012660F}"/>
            </c:ext>
          </c:extLst>
        </c:ser>
        <c:ser>
          <c:idx val="2"/>
          <c:order val="2"/>
          <c:tx>
            <c:strRef>
              <c:f>QUANTITÀ!$A$10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QUANTITÀ!$B$10:$M$10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0-D147-9576-836750126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TRADIZIONALE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129450479352E-2"/>
          <c:y val="0.18644038865885801"/>
          <c:w val="0.87772910168170903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POLIUR!$B$29:$M$29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76184"/>
        <c:axId val="112137592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POLIUR!$B$30:$M$30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BC44-B48C-2B6278338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706920"/>
        <c:axId val="677770712"/>
      </c:lineChart>
      <c:catAx>
        <c:axId val="678276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137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2137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76184"/>
        <c:crosses val="autoZero"/>
        <c:crossBetween val="between"/>
      </c:valAx>
      <c:catAx>
        <c:axId val="677706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770712"/>
        <c:crosses val="autoZero"/>
        <c:auto val="0"/>
        <c:lblAlgn val="ctr"/>
        <c:lblOffset val="100"/>
        <c:noMultiLvlLbl val="0"/>
      </c:catAx>
      <c:valAx>
        <c:axId val="677770712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7069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9912596250292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603803670438303E-2"/>
          <c:y val="0.23305048582357199"/>
          <c:w val="0.87518188751985404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POLIUR!$B$54:$M$54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62920"/>
        <c:axId val="111995048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POLIUR!$B$55:$M$55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A-FE4B-8E66-A73C7F86A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7533208"/>
        <c:axId val="112108776"/>
      </c:lineChart>
      <c:catAx>
        <c:axId val="678262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5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50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62920"/>
        <c:crosses val="autoZero"/>
        <c:crossBetween val="between"/>
      </c:valAx>
      <c:catAx>
        <c:axId val="677533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12108776"/>
        <c:crosses val="autoZero"/>
        <c:auto val="0"/>
        <c:lblAlgn val="ctr"/>
        <c:lblOffset val="100"/>
        <c:noMultiLvlLbl val="0"/>
      </c:catAx>
      <c:valAx>
        <c:axId val="1121087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3320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7358691136254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POLIURETANO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662199020779E-2"/>
          <c:y val="0.23305048582357199"/>
          <c:w val="0.86211947128821398"/>
          <c:h val="0.546609321295288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POLIUR!$B$79:$M$79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646808"/>
        <c:axId val="11199882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POLIUR!$B$80:$M$80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F-894C-ABEF-E60CB5A7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13352"/>
        <c:axId val="112082328"/>
      </c:lineChart>
      <c:catAx>
        <c:axId val="677646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98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98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646808"/>
        <c:crosses val="autoZero"/>
        <c:crossBetween val="between"/>
      </c:valAx>
      <c:catAx>
        <c:axId val="11201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12082328"/>
        <c:crosses val="autoZero"/>
        <c:auto val="0"/>
        <c:lblAlgn val="ctr"/>
        <c:lblOffset val="100"/>
        <c:noMultiLvlLbl val="0"/>
      </c:catAx>
      <c:valAx>
        <c:axId val="112082328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2013352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316420946142898"/>
          <c:y val="0.90254097237129005"/>
          <c:w val="0.232220733006926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MATERASSI A SCHIUMA POLIURETANICA - TUTTI I CANALI</a:t>
            </a:r>
          </a:p>
        </c:rich>
      </c:tx>
      <c:layout>
        <c:manualLayout>
          <c:xMode val="edge"/>
          <c:yMode val="edge"/>
          <c:x val="0.31144789689075902"/>
          <c:y val="3.3994481613298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13379401393595E-2"/>
          <c:y val="0.18644038865885801"/>
          <c:w val="0.86462866732825105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POLIUR!$A$29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POLIUR!$B$28:$M$28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POLIUR!$B$4:$M$4</c:f>
              <c:numCache>
                <c:formatCode>#,##0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118968"/>
        <c:axId val="677573544"/>
      </c:barChart>
      <c:lineChart>
        <c:grouping val="standard"/>
        <c:varyColors val="0"/>
        <c:ser>
          <c:idx val="0"/>
          <c:order val="1"/>
          <c:tx>
            <c:strRef>
              <c:f>POLIUR!$A$30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POLIUR!$B$5:$M$5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499.99999999999994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499.99999999999994</c:v>
                </c:pt>
                <c:pt idx="6">
                  <c:v>499.99999999999994</c:v>
                </c:pt>
                <c:pt idx="7">
                  <c:v>499.99999999999994</c:v>
                </c:pt>
                <c:pt idx="8">
                  <c:v>499.99999999999994</c:v>
                </c:pt>
                <c:pt idx="9">
                  <c:v>500</c:v>
                </c:pt>
                <c:pt idx="10">
                  <c:v>500</c:v>
                </c:pt>
                <c:pt idx="11">
                  <c:v>499.99999999999994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00-E246-B905-5379DDC5F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39768"/>
        <c:axId val="678113032"/>
      </c:lineChart>
      <c:catAx>
        <c:axId val="67811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573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757354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18968"/>
        <c:crosses val="autoZero"/>
        <c:crossBetween val="between"/>
      </c:valAx>
      <c:catAx>
        <c:axId val="678139768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13032"/>
        <c:crosses val="autoZero"/>
        <c:auto val="0"/>
        <c:lblAlgn val="ctr"/>
        <c:lblOffset val="100"/>
        <c:noMultiLvlLbl val="0"/>
      </c:catAx>
      <c:valAx>
        <c:axId val="678113032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39768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427940770144497"/>
          <c:y val="0.90254097237129005"/>
          <c:w val="0.23289661072814799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5'!$B$15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5'!$C$6:$N$6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5'!$C$15:$N$15</c:f>
              <c:numCache>
                <c:formatCode>_-* #,##0_-;\-* #,##0_-;_-* "-"??_-;_-@_-</c:formatCode>
                <c:ptCount val="12"/>
                <c:pt idx="0">
                  <c:v>52198.030813963218</c:v>
                </c:pt>
                <c:pt idx="1">
                  <c:v>61002.600772020123</c:v>
                </c:pt>
                <c:pt idx="2">
                  <c:v>61002.600772020131</c:v>
                </c:pt>
                <c:pt idx="3">
                  <c:v>63907.486523068699</c:v>
                </c:pt>
                <c:pt idx="4">
                  <c:v>63907.486523068714</c:v>
                </c:pt>
                <c:pt idx="5">
                  <c:v>34858.629012582933</c:v>
                </c:pt>
                <c:pt idx="6">
                  <c:v>63907.486523068706</c:v>
                </c:pt>
                <c:pt idx="7">
                  <c:v>61002.600772020123</c:v>
                </c:pt>
                <c:pt idx="8">
                  <c:v>61002.600772020138</c:v>
                </c:pt>
                <c:pt idx="9">
                  <c:v>34858.629012582925</c:v>
                </c:pt>
                <c:pt idx="10">
                  <c:v>51363.459053081679</c:v>
                </c:pt>
                <c:pt idx="11">
                  <c:v>57070.510058979642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FD-2F47-95B4-2FFCEDA06999}"/>
            </c:ext>
          </c:extLst>
        </c:ser>
        <c:ser>
          <c:idx val="1"/>
          <c:order val="1"/>
          <c:tx>
            <c:strRef>
              <c:f>'Tab 5'!$B$13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5'!$C$13:$N$13</c:f>
              <c:numCache>
                <c:formatCode>_-* #,##0_-;\-* #,##0_-;_-* "-"??_-;_-@_-</c:formatCode>
                <c:ptCount val="12"/>
                <c:pt idx="0">
                  <c:v>52287.943518874388</c:v>
                </c:pt>
                <c:pt idx="1">
                  <c:v>58097.71502097154</c:v>
                </c:pt>
                <c:pt idx="2">
                  <c:v>66812.372274117282</c:v>
                </c:pt>
                <c:pt idx="3">
                  <c:v>61002.600772020131</c:v>
                </c:pt>
                <c:pt idx="4">
                  <c:v>61002.600772020131</c:v>
                </c:pt>
                <c:pt idx="5">
                  <c:v>63907.486523068706</c:v>
                </c:pt>
                <c:pt idx="6">
                  <c:v>63907.486523068706</c:v>
                </c:pt>
                <c:pt idx="7">
                  <c:v>34858.629012582933</c:v>
                </c:pt>
                <c:pt idx="8">
                  <c:v>63907.486523068706</c:v>
                </c:pt>
                <c:pt idx="9">
                  <c:v>61002.600772020131</c:v>
                </c:pt>
                <c:pt idx="10">
                  <c:v>61002.600772020131</c:v>
                </c:pt>
                <c:pt idx="11">
                  <c:v>34858.629012582933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FD-2F47-95B4-2FFCEDA06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just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r>
              <a:rPr lang="it-IT"/>
              <a:t>Quantità prodotte Materassi in schiuma</a:t>
            </a:r>
            <a:r>
              <a:rPr lang="it-IT" baseline="0"/>
              <a:t> poliuretanica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just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'Tab 5'!$B$15</c:f>
              <c:strCache>
                <c:ptCount val="1"/>
                <c:pt idx="0">
                  <c:v>Produzione necessaria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'Tab 5'!$C$6:$N$6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'Tab 5'!$C$28:$N$28</c:f>
              <c:numCache>
                <c:formatCode>_-* #,##0_-;\-* #,##0_-;_-* "-"??_-;_-@_-</c:formatCode>
                <c:ptCount val="12"/>
                <c:pt idx="0">
                  <c:v>3608.373268716542</c:v>
                </c:pt>
                <c:pt idx="1">
                  <c:v>3741.1687639396041</c:v>
                </c:pt>
                <c:pt idx="2">
                  <c:v>3919.3196574605345</c:v>
                </c:pt>
                <c:pt idx="3">
                  <c:v>3919.3196574605354</c:v>
                </c:pt>
                <c:pt idx="4">
                  <c:v>2137.8107222512008</c:v>
                </c:pt>
                <c:pt idx="5">
                  <c:v>3919.3196574605354</c:v>
                </c:pt>
                <c:pt idx="6">
                  <c:v>3741.1687639396023</c:v>
                </c:pt>
                <c:pt idx="7">
                  <c:v>3741.1687639396027</c:v>
                </c:pt>
                <c:pt idx="8">
                  <c:v>2137.8107222512008</c:v>
                </c:pt>
                <c:pt idx="9">
                  <c:v>3391.3508305762534</c:v>
                </c:pt>
                <c:pt idx="10">
                  <c:v>3768.1675895291683</c:v>
                </c:pt>
                <c:pt idx="11">
                  <c:v>4333.3927279585441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A-344A-AE24-D59B29B8710F}"/>
            </c:ext>
          </c:extLst>
        </c:ser>
        <c:ser>
          <c:idx val="1"/>
          <c:order val="1"/>
          <c:tx>
            <c:strRef>
              <c:f>'Tab 5'!$B$26</c:f>
              <c:strCache>
                <c:ptCount val="1"/>
                <c:pt idx="0">
                  <c:v>Vendite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'Tab 5'!$C$26:$N$26</c:f>
              <c:numCache>
                <c:formatCode>_-* #,##0_-;\-* #,##0_-;_-* "-"??_-;_-@_-</c:formatCode>
                <c:ptCount val="12"/>
                <c:pt idx="0">
                  <c:v>3206.7160833768021</c:v>
                </c:pt>
                <c:pt idx="1">
                  <c:v>3563.0178704186692</c:v>
                </c:pt>
                <c:pt idx="2">
                  <c:v>4097.4705509814694</c:v>
                </c:pt>
                <c:pt idx="3">
                  <c:v>3741.1687639396023</c:v>
                </c:pt>
                <c:pt idx="4">
                  <c:v>3741.1687639396023</c:v>
                </c:pt>
                <c:pt idx="5">
                  <c:v>3919.3196574605354</c:v>
                </c:pt>
                <c:pt idx="6">
                  <c:v>3919.3196574605354</c:v>
                </c:pt>
                <c:pt idx="7">
                  <c:v>2137.8107222512012</c:v>
                </c:pt>
                <c:pt idx="8">
                  <c:v>3919.3196574605354</c:v>
                </c:pt>
                <c:pt idx="9">
                  <c:v>3741.1687639396023</c:v>
                </c:pt>
                <c:pt idx="10">
                  <c:v>3741.1687639396023</c:v>
                </c:pt>
                <c:pt idx="11">
                  <c:v>2137.8107222512012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A-344A-AE24-D59B29B87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74079"/>
        <c:axId val="683336239"/>
      </c:lineChart>
      <c:catAx>
        <c:axId val="95777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683336239"/>
        <c:crosses val="autoZero"/>
        <c:auto val="1"/>
        <c:lblAlgn val="ctr"/>
        <c:lblOffset val="100"/>
        <c:noMultiLvlLbl val="0"/>
      </c:catAx>
      <c:valAx>
        <c:axId val="683336239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 Narrow" panose="020B0506020203020204" pitchFamily="34" charset="77"/>
                <a:ea typeface="+mn-ea"/>
                <a:cs typeface="+mn-cs"/>
              </a:defRPr>
            </a:pPr>
            <a:endParaRPr lang="it-IT"/>
          </a:p>
        </c:txPr>
        <c:crossAx val="957774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 Narrow" panose="020B0506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0" i="0">
          <a:latin typeface="PT Sans Narrow" panose="020B0506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Quantità venduta Materassi a schiuma poliuretanica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QUANTITÀ!$A$15</c:f>
              <c:strCache>
                <c:ptCount val="1"/>
                <c:pt idx="0">
                  <c:v>tradizionale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QUANTITÀ!$B$15:$M$15</c:f>
              <c:numCache>
                <c:formatCode>#,##0</c:formatCode>
                <c:ptCount val="12"/>
                <c:pt idx="0">
                  <c:v>1198.375657844887</c:v>
                </c:pt>
                <c:pt idx="1">
                  <c:v>1331.528508716541</c:v>
                </c:pt>
                <c:pt idx="2">
                  <c:v>1531.257785024022</c:v>
                </c:pt>
                <c:pt idx="3">
                  <c:v>1398.1049341523681</c:v>
                </c:pt>
                <c:pt idx="4">
                  <c:v>1398.1049341523681</c:v>
                </c:pt>
                <c:pt idx="5">
                  <c:v>1464.6813595881949</c:v>
                </c:pt>
                <c:pt idx="6">
                  <c:v>1464.6813595881949</c:v>
                </c:pt>
                <c:pt idx="7">
                  <c:v>798.91710522992457</c:v>
                </c:pt>
                <c:pt idx="8">
                  <c:v>1464.6813595881949</c:v>
                </c:pt>
                <c:pt idx="9">
                  <c:v>1398.1049341523681</c:v>
                </c:pt>
                <c:pt idx="10">
                  <c:v>1398.1049341523681</c:v>
                </c:pt>
                <c:pt idx="11">
                  <c:v>798.91710522992457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0-8E4A-8327-CD0C135C6C96}"/>
            </c:ext>
          </c:extLst>
        </c:ser>
        <c:ser>
          <c:idx val="1"/>
          <c:order val="1"/>
          <c:tx>
            <c:strRef>
              <c:f>QUANTITÀ!$A$16</c:f>
              <c:strCache>
                <c:ptCount val="1"/>
                <c:pt idx="0">
                  <c:v>televendita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QUANTITÀ!$B$16:$M$16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0-8E4A-8327-CD0C135C6C96}"/>
            </c:ext>
          </c:extLst>
        </c:ser>
        <c:ser>
          <c:idx val="2"/>
          <c:order val="2"/>
          <c:tx>
            <c:strRef>
              <c:f>QUANTITÀ!$A$17</c:f>
              <c:strCache>
                <c:ptCount val="1"/>
                <c:pt idx="0">
                  <c:v>gdo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QUANTITÀ!$B$7:$M$7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QUANTITÀ!$B$17:$M$17</c:f>
              <c:numCache>
                <c:formatCode>#,##0</c:formatCode>
                <c:ptCount val="12"/>
                <c:pt idx="0">
                  <c:v>2008.3404255319151</c:v>
                </c:pt>
                <c:pt idx="1">
                  <c:v>2231.489361702128</c:v>
                </c:pt>
                <c:pt idx="2">
                  <c:v>2566.2127659574471</c:v>
                </c:pt>
                <c:pt idx="3">
                  <c:v>2343.0638297872342</c:v>
                </c:pt>
                <c:pt idx="4">
                  <c:v>2343.0638297872342</c:v>
                </c:pt>
                <c:pt idx="5">
                  <c:v>2454.6382978723404</c:v>
                </c:pt>
                <c:pt idx="6">
                  <c:v>2454.6382978723404</c:v>
                </c:pt>
                <c:pt idx="7">
                  <c:v>1338.8936170212767</c:v>
                </c:pt>
                <c:pt idx="8">
                  <c:v>2454.6382978723404</c:v>
                </c:pt>
                <c:pt idx="9">
                  <c:v>2343.0638297872342</c:v>
                </c:pt>
                <c:pt idx="10">
                  <c:v>2343.0638297872342</c:v>
                </c:pt>
                <c:pt idx="11">
                  <c:v>1338.8936170212767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0-8E4A-8327-CD0C135C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b="1"/>
              <a:t>Prezzo unitario Materassi a molle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PREZZI!$B$5:$M$5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309-FD45-BA6F-D49A22F9724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PREZZI!$B$6:$M$6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309-FD45-BA6F-D49A22F9724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PREZZI!$B$4:$M$4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PREZZI!$B$7:$M$7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309-FD45-BA6F-D49A22F97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30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Materassi a schiuma poliuretanica</a:t>
            </a:r>
            <a:endParaRPr lang="it-I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PREZZI!$B$12:$M$12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87E-0341-B106-7B2C9D94B703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PREZZI!$B$13:$M$13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87E-0341-B106-7B2C9D94B703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PREZZI!$B$11:$M$11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PREZZI!$B$14:$M$14</c:f>
              <c:numCache>
                <c:formatCode>_-"€"\ * #,##0.00_-;\-"€"\ * #,##0.00_-;_-"€"\ * "-"??_-;_-@_-</c:formatCode>
                <c:ptCount val="12"/>
                <c:pt idx="0">
                  <c:v>500</c:v>
                </c:pt>
                <c:pt idx="1">
                  <c:v>500</c:v>
                </c:pt>
                <c:pt idx="2">
                  <c:v>500</c:v>
                </c:pt>
                <c:pt idx="3">
                  <c:v>500</c:v>
                </c:pt>
                <c:pt idx="4">
                  <c:v>500</c:v>
                </c:pt>
                <c:pt idx="5">
                  <c:v>500</c:v>
                </c:pt>
                <c:pt idx="6">
                  <c:v>500</c:v>
                </c:pt>
                <c:pt idx="7">
                  <c:v>500</c:v>
                </c:pt>
                <c:pt idx="8">
                  <c:v>500</c:v>
                </c:pt>
                <c:pt idx="9">
                  <c:v>500</c:v>
                </c:pt>
                <c:pt idx="10">
                  <c:v>500</c:v>
                </c:pt>
                <c:pt idx="11">
                  <c:v>500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87E-0341-B106-7B2C9D94B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45"/>
        </c:scaling>
        <c:delete val="0"/>
        <c:axPos val="l"/>
        <c:numFmt formatCode="_-&quot;€&quot;\ * #,##0.00_-;\-&quot;€&quot;\ * #,##0.00_-;_-&quot;€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r>
              <a:rPr lang="it-IT" sz="1400" b="1" i="0" u="none" strike="noStrike" baseline="0">
                <a:effectLst/>
              </a:rPr>
              <a:t>Prezzo unitario prodotto </a:t>
            </a:r>
            <a:r>
              <a:rPr lang="it-IT" b="1"/>
              <a:t>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5C1-4247-B7F2-5818AC867DEE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5C1-4247-B7F2-5818AC867DEE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PREZZI!#REF!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PREZZI!#REF!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5C1-4247-B7F2-5818AC867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055168"/>
        <c:axId val="2140033744"/>
      </c:lineChart>
      <c:catAx>
        <c:axId val="21400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33744"/>
        <c:crosses val="autoZero"/>
        <c:auto val="1"/>
        <c:lblAlgn val="ctr"/>
        <c:lblOffset val="100"/>
        <c:noMultiLvlLbl val="0"/>
      </c:catAx>
      <c:valAx>
        <c:axId val="2140033744"/>
        <c:scaling>
          <c:orientation val="minMax"/>
          <c:min val="22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T Sans" panose="020B0503020203020204" pitchFamily="34" charset="77"/>
                <a:ea typeface="+mn-ea"/>
                <a:cs typeface="+mn-cs"/>
              </a:defRPr>
            </a:pPr>
            <a:endParaRPr lang="it-IT"/>
          </a:p>
        </c:txPr>
        <c:crossAx val="214005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T Sans" panose="020B0503020203020204" pitchFamily="34" charset="77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>
          <a:latin typeface="PT Sans" panose="020B0503020203020204" pitchFamily="34" charset="77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</a:t>
            </a:r>
            <a:r>
              <a:rPr lang="it-IT" b="1" baseline="0"/>
              <a:t> - TRADIZIONALE</a:t>
            </a:r>
            <a:endParaRPr lang="it-IT" b="1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MOLLE!$B$29:$M$29</c:f>
              <c:numCache>
                <c:formatCode>#,##0</c:formatCode>
                <c:ptCount val="12"/>
                <c:pt idx="0">
                  <c:v>18863.320540150991</c:v>
                </c:pt>
                <c:pt idx="1">
                  <c:v>20959.245044612213</c:v>
                </c:pt>
                <c:pt idx="2">
                  <c:v>24103.131801304044</c:v>
                </c:pt>
                <c:pt idx="3">
                  <c:v>22007.207296842822</c:v>
                </c:pt>
                <c:pt idx="4">
                  <c:v>22007.207296842822</c:v>
                </c:pt>
                <c:pt idx="5">
                  <c:v>23055.169549073435</c:v>
                </c:pt>
                <c:pt idx="6">
                  <c:v>23055.169549073435</c:v>
                </c:pt>
                <c:pt idx="7">
                  <c:v>12575.547026767326</c:v>
                </c:pt>
                <c:pt idx="8">
                  <c:v>23055.169549073435</c:v>
                </c:pt>
                <c:pt idx="9">
                  <c:v>22007.207296842822</c:v>
                </c:pt>
                <c:pt idx="10">
                  <c:v>22007.207296842822</c:v>
                </c:pt>
                <c:pt idx="11">
                  <c:v>12575.547026767326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MOLLE!$B$30:$M$30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B-D54C-BB12-FFCA19B93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GDO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646616541353398E-2"/>
          <c:y val="0.18644038865885801"/>
          <c:w val="0.87218045112781895"/>
          <c:h val="0.597456700020431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MOLLE!$B$77:$M$77</c:f>
              <c:numCache>
                <c:formatCode>#,##0</c:formatCode>
                <c:ptCount val="12"/>
                <c:pt idx="0">
                  <c:v>293.61702127659601</c:v>
                </c:pt>
                <c:pt idx="1">
                  <c:v>326.2411347517733</c:v>
                </c:pt>
                <c:pt idx="2">
                  <c:v>375.1773049645393</c:v>
                </c:pt>
                <c:pt idx="3">
                  <c:v>342.55319148936201</c:v>
                </c:pt>
                <c:pt idx="4">
                  <c:v>342.55319148936201</c:v>
                </c:pt>
                <c:pt idx="5">
                  <c:v>358.86524822695065</c:v>
                </c:pt>
                <c:pt idx="6">
                  <c:v>358.86524822695065</c:v>
                </c:pt>
                <c:pt idx="7">
                  <c:v>195.744680851064</c:v>
                </c:pt>
                <c:pt idx="8">
                  <c:v>358.86524822695065</c:v>
                </c:pt>
                <c:pt idx="9">
                  <c:v>342.55319148936201</c:v>
                </c:pt>
                <c:pt idx="10">
                  <c:v>342.55319148936201</c:v>
                </c:pt>
                <c:pt idx="11">
                  <c:v>195.744680851064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218936"/>
        <c:axId val="678222648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MOLLE!$B$78:$M$78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7-3242-ACEE-ABC8B2EF3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226584"/>
        <c:axId val="678229800"/>
      </c:lineChart>
      <c:catAx>
        <c:axId val="678218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2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2226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18936"/>
        <c:crosses val="autoZero"/>
        <c:crossBetween val="between"/>
      </c:valAx>
      <c:catAx>
        <c:axId val="678226584"/>
        <c:scaling>
          <c:orientation val="minMax"/>
        </c:scaling>
        <c:delete val="1"/>
        <c:axPos val="b"/>
        <c:majorTickMark val="out"/>
        <c:minorTickMark val="none"/>
        <c:tickLblPos val="nextTo"/>
        <c:crossAx val="678229800"/>
        <c:crosses val="autoZero"/>
        <c:auto val="0"/>
        <c:lblAlgn val="ctr"/>
        <c:lblOffset val="100"/>
        <c:noMultiLvlLbl val="0"/>
      </c:catAx>
      <c:valAx>
        <c:axId val="678229800"/>
        <c:scaling>
          <c:orientation val="minMax"/>
        </c:scaling>
        <c:delete val="0"/>
        <c:axPos val="r"/>
        <c:numFmt formatCode="_-&quot;€&quot;\ * #,##0.00_-;\-&quot;€&quot;\ * #,##0.00_-;_-&quot;€&quot;\ * &quot;-&quot;??_-;_-@_-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226584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93984962406002"/>
          <c:y val="0.90677825393171796"/>
          <c:w val="0.24060150375939801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TUTTI I CANALI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MOLLE!$A$29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MOLLE!$B$28:$M$28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MOLLE!$B$4:$M$4</c:f>
              <c:numCache>
                <c:formatCode>#,##0</c:formatCode>
                <c:ptCount val="12"/>
                <c:pt idx="0">
                  <c:v>52287.943518874396</c:v>
                </c:pt>
                <c:pt idx="1">
                  <c:v>58097.715020971547</c:v>
                </c:pt>
                <c:pt idx="2">
                  <c:v>66812.372274117282</c:v>
                </c:pt>
                <c:pt idx="3">
                  <c:v>61002.600772020123</c:v>
                </c:pt>
                <c:pt idx="4">
                  <c:v>61002.600772020123</c:v>
                </c:pt>
                <c:pt idx="5">
                  <c:v>63907.486523068699</c:v>
                </c:pt>
                <c:pt idx="6">
                  <c:v>63907.486523068699</c:v>
                </c:pt>
                <c:pt idx="7">
                  <c:v>34858.629012582925</c:v>
                </c:pt>
                <c:pt idx="8">
                  <c:v>63907.486523068699</c:v>
                </c:pt>
                <c:pt idx="9">
                  <c:v>61002.600772020123</c:v>
                </c:pt>
                <c:pt idx="10">
                  <c:v>61002.600772020123</c:v>
                </c:pt>
                <c:pt idx="11">
                  <c:v>34858.629012582925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2456"/>
        <c:axId val="111978840"/>
      </c:barChart>
      <c:lineChart>
        <c:grouping val="standard"/>
        <c:varyColors val="0"/>
        <c:ser>
          <c:idx val="0"/>
          <c:order val="1"/>
          <c:tx>
            <c:strRef>
              <c:f>MOLLE!$A$30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val>
            <c:numRef>
              <c:f>MOLLE!$B$5:$M$5</c:f>
              <c:numCache>
                <c:formatCode>_-"€"\ * #,##0.00_-;\-"€"\ * #,##0.00_-;_-"€"\ * "-"??_-;_-@_-</c:formatCode>
                <c:ptCount val="12"/>
                <c:pt idx="0">
                  <c:v>179.99999999999997</c:v>
                </c:pt>
                <c:pt idx="1">
                  <c:v>180</c:v>
                </c:pt>
                <c:pt idx="2">
                  <c:v>179.99999999999997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D-F84C-9832-E2CA3B9E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984280"/>
        <c:axId val="677574840"/>
      </c:lineChart>
      <c:catAx>
        <c:axId val="67794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7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19788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2456"/>
        <c:crosses val="autoZero"/>
        <c:crossBetween val="between"/>
      </c:valAx>
      <c:catAx>
        <c:axId val="111984280"/>
        <c:scaling>
          <c:orientation val="minMax"/>
        </c:scaling>
        <c:delete val="1"/>
        <c:axPos val="b"/>
        <c:majorTickMark val="out"/>
        <c:minorTickMark val="none"/>
        <c:tickLblPos val="nextTo"/>
        <c:crossAx val="677574840"/>
        <c:crosses val="autoZero"/>
        <c:auto val="0"/>
        <c:lblAlgn val="ctr"/>
        <c:lblOffset val="100"/>
        <c:noMultiLvlLbl val="0"/>
      </c:catAx>
      <c:valAx>
        <c:axId val="677574840"/>
        <c:scaling>
          <c:orientation val="minMax"/>
          <c:max val="1000"/>
          <c:min val="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11198428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it-IT" b="1"/>
              <a:t>MOLLE - TELEVENDITE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98136726014001E-2"/>
          <c:y val="0.18644038865885801"/>
          <c:w val="0.85671128459116597"/>
          <c:h val="0.593219418460003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MOLLE!$A$52</c:f>
              <c:strCache>
                <c:ptCount val="1"/>
                <c:pt idx="0">
                  <c:v>Quantità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MOLLE!$B$52:$M$52</c:f>
              <c:numCache>
                <c:formatCode>#,##0</c:formatCode>
                <c:ptCount val="12"/>
                <c:pt idx="0">
                  <c:v>33131.005957446803</c:v>
                </c:pt>
                <c:pt idx="1">
                  <c:v>36812.228841607561</c:v>
                </c:pt>
                <c:pt idx="2">
                  <c:v>42334.063167848697</c:v>
                </c:pt>
                <c:pt idx="3">
                  <c:v>38652.84028368794</c:v>
                </c:pt>
                <c:pt idx="4">
                  <c:v>38652.84028368794</c:v>
                </c:pt>
                <c:pt idx="5">
                  <c:v>40493.451725768318</c:v>
                </c:pt>
                <c:pt idx="6">
                  <c:v>40493.451725768318</c:v>
                </c:pt>
                <c:pt idx="7">
                  <c:v>22087.337304964538</c:v>
                </c:pt>
                <c:pt idx="8">
                  <c:v>40493.451725768318</c:v>
                </c:pt>
                <c:pt idx="9">
                  <c:v>38652.84028368794</c:v>
                </c:pt>
                <c:pt idx="10">
                  <c:v>38652.84028368794</c:v>
                </c:pt>
                <c:pt idx="11">
                  <c:v>22087.337304964538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7941064"/>
        <c:axId val="678174104"/>
      </c:barChart>
      <c:lineChart>
        <c:grouping val="standard"/>
        <c:varyColors val="0"/>
        <c:ser>
          <c:idx val="0"/>
          <c:order val="1"/>
          <c:tx>
            <c:strRef>
              <c:f>MOLLE!$A$53</c:f>
              <c:strCache>
                <c:ptCount val="1"/>
                <c:pt idx="0">
                  <c:v>Prezzo unitario</c:v>
                </c:pt>
              </c:strCache>
            </c:strRef>
          </c:tx>
          <c:spPr>
            <a:ln w="12700">
              <a:solidFill>
                <a:srgbClr val="00009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90"/>
              </a:solidFill>
              <a:ln>
                <a:solidFill>
                  <a:srgbClr val="000090"/>
                </a:solidFill>
                <a:prstDash val="solid"/>
              </a:ln>
            </c:spPr>
          </c:marker>
          <c:cat>
            <c:strRef>
              <c:f>MOLLE!$B$51:$M$51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MOLLE!$B$53:$M$53</c:f>
              <c:numCache>
                <c:formatCode>_-"€"\ * #,##0.00_-;\-"€"\ * #,##0.00_-;_-"€"\ * "-"??_-;_-@_-</c:formatCode>
                <c:ptCount val="1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180</c:v>
                </c:pt>
                <c:pt idx="5">
                  <c:v>180</c:v>
                </c:pt>
                <c:pt idx="6">
                  <c:v>180</c:v>
                </c:pt>
                <c:pt idx="7">
                  <c:v>180</c:v>
                </c:pt>
                <c:pt idx="8">
                  <c:v>180</c:v>
                </c:pt>
                <c:pt idx="9">
                  <c:v>180</c:v>
                </c:pt>
                <c:pt idx="10">
                  <c:v>180</c:v>
                </c:pt>
                <c:pt idx="11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F-944E-BD80-1A6E94C52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8177960"/>
        <c:axId val="678181176"/>
      </c:lineChart>
      <c:catAx>
        <c:axId val="677941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4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7817410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7941064"/>
        <c:crosses val="autoZero"/>
        <c:crossBetween val="between"/>
      </c:valAx>
      <c:catAx>
        <c:axId val="678177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181176"/>
        <c:crosses val="autoZero"/>
        <c:auto val="0"/>
        <c:lblAlgn val="ctr"/>
        <c:lblOffset val="100"/>
        <c:noMultiLvlLbl val="0"/>
      </c:catAx>
      <c:valAx>
        <c:axId val="678181176"/>
        <c:scaling>
          <c:orientation val="minMax"/>
          <c:max val="1000"/>
        </c:scaling>
        <c:delete val="0"/>
        <c:axPos val="r"/>
        <c:numFmt formatCode="_(&quot;€&quot;* #,##0_);_(&quot;€&quot;* \(#,##0\);_(&quot;€&quot;* &quot;-&quot;_);_(@_)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67817796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858192329644802"/>
          <c:y val="0.90254097237129005"/>
          <c:w val="0.241327122420047"/>
          <c:h val="7.62710680877145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T Sans Narrow" panose="020B0506020203020204" pitchFamily="34" charset="77"/>
          <a:ea typeface="Arial"/>
          <a:cs typeface="Arial"/>
        </a:defRPr>
      </a:pPr>
      <a:endParaRPr lang="it-IT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1396999</xdr:colOff>
      <xdr:row>18</xdr:row>
      <xdr:rowOff>201082</xdr:rowOff>
    </xdr:from>
    <xdr:to>
      <xdr:col>12</xdr:col>
      <xdr:colOff>656165</xdr:colOff>
      <xdr:row>35</xdr:row>
      <xdr:rowOff>201083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4BBCAB-BA10-B24E-8C4A-9F2312C2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13</xdr:col>
      <xdr:colOff>10583</xdr:colOff>
      <xdr:row>55</xdr:row>
      <xdr:rowOff>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DCC353C-F926-0743-9B47-765CCAF09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584201</xdr:colOff>
      <xdr:row>15</xdr:row>
      <xdr:rowOff>8466</xdr:rowOff>
    </xdr:from>
    <xdr:to>
      <xdr:col>11</xdr:col>
      <xdr:colOff>171450</xdr:colOff>
      <xdr:row>35</xdr:row>
      <xdr:rowOff>40217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A17FD0-07E0-4A44-A07C-9DB1691EB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594785</xdr:colOff>
      <xdr:row>37</xdr:row>
      <xdr:rowOff>103717</xdr:rowOff>
    </xdr:from>
    <xdr:to>
      <xdr:col>11</xdr:col>
      <xdr:colOff>182034</xdr:colOff>
      <xdr:row>57</xdr:row>
      <xdr:rowOff>135467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C7BC051-D175-8C4D-9324-25696DD4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605368</xdr:colOff>
      <xdr:row>60</xdr:row>
      <xdr:rowOff>8467</xdr:rowOff>
    </xdr:from>
    <xdr:to>
      <xdr:col>11</xdr:col>
      <xdr:colOff>192617</xdr:colOff>
      <xdr:row>80</xdr:row>
      <xdr:rowOff>40218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F198404-2859-3D40-B14F-376AFC3DCE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3125" name="Chart 1">
          <a:extLst>
            <a:ext uri="{FF2B5EF4-FFF2-40B4-BE49-F238E27FC236}">
              <a16:creationId xmlns:a16="http://schemas.microsoft.com/office/drawing/2014/main" id="{00000000-0008-0000-0200-00003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1723571</xdr:colOff>
      <xdr:row>80</xdr:row>
      <xdr:rowOff>108857</xdr:rowOff>
    </xdr:from>
    <xdr:to>
      <xdr:col>11</xdr:col>
      <xdr:colOff>444500</xdr:colOff>
      <xdr:row>97</xdr:row>
      <xdr:rowOff>61686</xdr:rowOff>
    </xdr:to>
    <xdr:graphicFrame macro="">
      <xdr:nvGraphicFramePr>
        <xdr:cNvPr id="3126" name="Chart 3">
          <a:extLst>
            <a:ext uri="{FF2B5EF4-FFF2-40B4-BE49-F238E27FC236}">
              <a16:creationId xmlns:a16="http://schemas.microsoft.com/office/drawing/2014/main" id="{00000000-0008-0000-0200-00003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3127" name="Chart 4">
          <a:extLst>
            <a:ext uri="{FF2B5EF4-FFF2-40B4-BE49-F238E27FC236}">
              <a16:creationId xmlns:a16="http://schemas.microsoft.com/office/drawing/2014/main" id="{00000000-0008-0000-0200-00003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55</xdr:row>
      <xdr:rowOff>12700</xdr:rowOff>
    </xdr:from>
    <xdr:to>
      <xdr:col>11</xdr:col>
      <xdr:colOff>444500</xdr:colOff>
      <xdr:row>71</xdr:row>
      <xdr:rowOff>165100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609AC95E-40E7-FC47-836C-14C735FDD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32</xdr:row>
      <xdr:rowOff>12700</xdr:rowOff>
    </xdr:from>
    <xdr:to>
      <xdr:col>11</xdr:col>
      <xdr:colOff>444500</xdr:colOff>
      <xdr:row>48</xdr:row>
      <xdr:rowOff>165100</xdr:rowOff>
    </xdr:to>
    <xdr:graphicFrame macro="">
      <xdr:nvGraphicFramePr>
        <xdr:cNvPr id="4165" name="Chart 1">
          <a:extLst>
            <a:ext uri="{FF2B5EF4-FFF2-40B4-BE49-F238E27FC236}">
              <a16:creationId xmlns:a16="http://schemas.microsoft.com/office/drawing/2014/main" id="{00000000-0008-0000-0300-00004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57</xdr:row>
      <xdr:rowOff>0</xdr:rowOff>
    </xdr:from>
    <xdr:to>
      <xdr:col>11</xdr:col>
      <xdr:colOff>444500</xdr:colOff>
      <xdr:row>73</xdr:row>
      <xdr:rowOff>152400</xdr:rowOff>
    </xdr:to>
    <xdr:graphicFrame macro="">
      <xdr:nvGraphicFramePr>
        <xdr:cNvPr id="4166" name="Chart 2">
          <a:extLst>
            <a:ext uri="{FF2B5EF4-FFF2-40B4-BE49-F238E27FC236}">
              <a16:creationId xmlns:a16="http://schemas.microsoft.com/office/drawing/2014/main" id="{00000000-0008-0000-0300-00004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82</xdr:row>
      <xdr:rowOff>0</xdr:rowOff>
    </xdr:from>
    <xdr:to>
      <xdr:col>11</xdr:col>
      <xdr:colOff>444500</xdr:colOff>
      <xdr:row>98</xdr:row>
      <xdr:rowOff>152400</xdr:rowOff>
    </xdr:to>
    <xdr:graphicFrame macro="">
      <xdr:nvGraphicFramePr>
        <xdr:cNvPr id="4167" name="Chart 3">
          <a:extLst>
            <a:ext uri="{FF2B5EF4-FFF2-40B4-BE49-F238E27FC236}">
              <a16:creationId xmlns:a16="http://schemas.microsoft.com/office/drawing/2014/main" id="{00000000-0008-0000-0300-000047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7</xdr:row>
      <xdr:rowOff>12700</xdr:rowOff>
    </xdr:from>
    <xdr:to>
      <xdr:col>11</xdr:col>
      <xdr:colOff>444500</xdr:colOff>
      <xdr:row>23</xdr:row>
      <xdr:rowOff>165100</xdr:rowOff>
    </xdr:to>
    <xdr:graphicFrame macro="">
      <xdr:nvGraphicFramePr>
        <xdr:cNvPr id="4168" name="Chart 4">
          <a:extLst>
            <a:ext uri="{FF2B5EF4-FFF2-40B4-BE49-F238E27FC236}">
              <a16:creationId xmlns:a16="http://schemas.microsoft.com/office/drawing/2014/main" id="{00000000-0008-0000-0300-00004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249768</xdr:colOff>
      <xdr:row>29</xdr:row>
      <xdr:rowOff>42332</xdr:rowOff>
    </xdr:from>
    <xdr:to>
      <xdr:col>6</xdr:col>
      <xdr:colOff>690034</xdr:colOff>
      <xdr:row>41</xdr:row>
      <xdr:rowOff>143932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385B65C-52E4-AD49-A6DA-4BFCFC44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499534</xdr:colOff>
      <xdr:row>29</xdr:row>
      <xdr:rowOff>0</xdr:rowOff>
    </xdr:from>
    <xdr:to>
      <xdr:col>10</xdr:col>
      <xdr:colOff>1016001</xdr:colOff>
      <xdr:row>41</xdr:row>
      <xdr:rowOff>101600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EE0561B-44C5-6A40-8375-F5573AD3F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BDE3-4417-CC40-A021-0C33AB397D14}">
  <sheetPr>
    <pageSetUpPr fitToPage="1"/>
  </sheetPr>
  <dimension ref="A2:G55"/>
  <sheetViews>
    <sheetView zoomScale="200" zoomScaleNormal="200" workbookViewId="0">
      <selection activeCell="B11" sqref="B11:D11"/>
    </sheetView>
  </sheetViews>
  <sheetFormatPr baseColWidth="10" defaultRowHeight="16" x14ac:dyDescent="0.15"/>
  <cols>
    <col min="1" max="1" width="38.1640625" style="77" customWidth="1"/>
    <col min="2" max="2" width="12.33203125" style="77" customWidth="1"/>
    <col min="3" max="3" width="14.83203125" style="77" customWidth="1"/>
    <col min="4" max="4" width="13.33203125" style="77" customWidth="1"/>
    <col min="5" max="5" width="13.5" style="77" customWidth="1"/>
    <col min="6" max="6" width="2.6640625" style="77" customWidth="1"/>
    <col min="7" max="7" width="13.33203125" style="77" customWidth="1"/>
    <col min="8" max="8" width="12.33203125" style="77" bestFit="1" customWidth="1"/>
    <col min="9" max="12" width="10.83203125" style="77"/>
    <col min="13" max="13" width="12.33203125" style="77" bestFit="1" customWidth="1"/>
    <col min="14" max="16384" width="10.83203125" style="77"/>
  </cols>
  <sheetData>
    <row r="2" spans="1:5" x14ac:dyDescent="0.15">
      <c r="A2" s="77" t="s">
        <v>112</v>
      </c>
    </row>
    <row r="4" spans="1:5" x14ac:dyDescent="0.15">
      <c r="A4" s="119" t="s">
        <v>45</v>
      </c>
    </row>
    <row r="6" spans="1:5" x14ac:dyDescent="0.15">
      <c r="A6" s="119" t="s">
        <v>46</v>
      </c>
    </row>
    <row r="8" spans="1:5" x14ac:dyDescent="0.15">
      <c r="A8" s="354"/>
      <c r="B8" s="351" t="s">
        <v>34</v>
      </c>
      <c r="C8" s="352"/>
      <c r="D8" s="353"/>
    </row>
    <row r="9" spans="1:5" x14ac:dyDescent="0.15">
      <c r="A9" s="355"/>
      <c r="B9" s="111" t="s">
        <v>50</v>
      </c>
      <c r="C9" s="105" t="s">
        <v>51</v>
      </c>
      <c r="D9" s="103" t="s">
        <v>52</v>
      </c>
    </row>
    <row r="10" spans="1:5" x14ac:dyDescent="0.15">
      <c r="A10" s="92" t="s">
        <v>47</v>
      </c>
      <c r="B10" s="107">
        <v>0.01</v>
      </c>
      <c r="C10" s="109">
        <v>-0.02</v>
      </c>
      <c r="D10" s="113">
        <v>0.05</v>
      </c>
    </row>
    <row r="11" spans="1:5" x14ac:dyDescent="0.15">
      <c r="A11" s="93" t="s">
        <v>48</v>
      </c>
      <c r="B11" s="107">
        <v>0.02</v>
      </c>
      <c r="C11" s="109">
        <v>-0.04</v>
      </c>
      <c r="D11" s="113">
        <v>0.08</v>
      </c>
    </row>
    <row r="12" spans="1:5" x14ac:dyDescent="0.15">
      <c r="A12" s="94" t="s">
        <v>49</v>
      </c>
      <c r="B12" s="117">
        <v>0.01</v>
      </c>
      <c r="C12" s="110">
        <v>-0.02</v>
      </c>
      <c r="D12" s="114">
        <v>0.03</v>
      </c>
    </row>
    <row r="14" spans="1:5" x14ac:dyDescent="0.15">
      <c r="A14" s="119" t="s">
        <v>53</v>
      </c>
    </row>
    <row r="16" spans="1:5" x14ac:dyDescent="0.15">
      <c r="B16" s="358" t="s">
        <v>54</v>
      </c>
      <c r="C16" s="359"/>
      <c r="D16" s="359"/>
      <c r="E16" s="360"/>
    </row>
    <row r="17" spans="1:7" x14ac:dyDescent="0.15">
      <c r="B17" s="351" t="s">
        <v>34</v>
      </c>
      <c r="C17" s="352"/>
      <c r="D17" s="353"/>
      <c r="E17" s="356" t="s">
        <v>3</v>
      </c>
    </row>
    <row r="18" spans="1:7" x14ac:dyDescent="0.15">
      <c r="B18" s="111" t="s">
        <v>50</v>
      </c>
      <c r="C18" s="105" t="s">
        <v>51</v>
      </c>
      <c r="D18" s="103" t="s">
        <v>52</v>
      </c>
      <c r="E18" s="357"/>
      <c r="G18" s="104" t="s">
        <v>66</v>
      </c>
    </row>
    <row r="19" spans="1:7" x14ac:dyDescent="0.15">
      <c r="B19" s="92"/>
      <c r="C19" s="92"/>
      <c r="D19" s="92"/>
      <c r="E19" s="92"/>
      <c r="G19" s="93"/>
    </row>
    <row r="20" spans="1:7" x14ac:dyDescent="0.15">
      <c r="A20" s="90" t="s">
        <v>35</v>
      </c>
      <c r="B20" s="112">
        <f>+B24/B26</f>
        <v>128140000</v>
      </c>
      <c r="C20" s="112">
        <f>$E20*C21</f>
        <v>123000000</v>
      </c>
      <c r="D20" s="112">
        <f>$E20*D21</f>
        <v>77900000</v>
      </c>
      <c r="E20" s="100">
        <v>410000000</v>
      </c>
      <c r="G20" s="118">
        <f>+E20-B20-C20-D20</f>
        <v>80960000</v>
      </c>
    </row>
    <row r="21" spans="1:7" x14ac:dyDescent="0.15">
      <c r="B21" s="121">
        <f>B20/E20</f>
        <v>0.31253658536585366</v>
      </c>
      <c r="C21" s="98">
        <v>0.3</v>
      </c>
      <c r="D21" s="98">
        <v>0.19</v>
      </c>
      <c r="E21" s="132"/>
      <c r="F21" s="108"/>
      <c r="G21" s="106">
        <f>G20/E20</f>
        <v>0.19746341463414635</v>
      </c>
    </row>
    <row r="22" spans="1:7" x14ac:dyDescent="0.15">
      <c r="A22" s="77" t="s">
        <v>36</v>
      </c>
      <c r="B22" s="125">
        <v>22111</v>
      </c>
      <c r="C22" s="129">
        <f>C20/180</f>
        <v>683333.33333333337</v>
      </c>
      <c r="D22" s="129">
        <f>ROUND(D28/D30,0)</f>
        <v>3158</v>
      </c>
      <c r="E22" s="93"/>
    </row>
    <row r="23" spans="1:7" x14ac:dyDescent="0.15">
      <c r="B23" s="93"/>
      <c r="C23" s="93"/>
      <c r="D23" s="93"/>
      <c r="E23" s="93"/>
    </row>
    <row r="24" spans="1:7" x14ac:dyDescent="0.15">
      <c r="A24" s="90" t="s">
        <v>38</v>
      </c>
      <c r="B24" s="99">
        <f>+B25*E24</f>
        <v>38442000</v>
      </c>
      <c r="C24" s="99">
        <f>C25*E24</f>
        <v>79446800</v>
      </c>
      <c r="D24" s="112">
        <f>+E24-C24-B24</f>
        <v>10251200</v>
      </c>
      <c r="E24" s="102">
        <v>128140000</v>
      </c>
    </row>
    <row r="25" spans="1:7" x14ac:dyDescent="0.15">
      <c r="A25" s="91" t="s">
        <v>55</v>
      </c>
      <c r="B25" s="98">
        <v>0.3</v>
      </c>
      <c r="C25" s="98">
        <v>0.62</v>
      </c>
      <c r="D25" s="121">
        <f>+D24/E24</f>
        <v>0.08</v>
      </c>
      <c r="E25" s="121">
        <f>+E24/E24</f>
        <v>1</v>
      </c>
    </row>
    <row r="26" spans="1:7" x14ac:dyDescent="0.15">
      <c r="A26" s="77" t="s">
        <v>37</v>
      </c>
      <c r="B26" s="98">
        <v>0.3</v>
      </c>
      <c r="C26" s="121">
        <f>C24/C20</f>
        <v>0.64590894308943092</v>
      </c>
      <c r="D26" s="101">
        <f>D24/D20</f>
        <v>0.13159435173299103</v>
      </c>
      <c r="E26" s="101">
        <f>E24/E20</f>
        <v>0.31253658536585366</v>
      </c>
    </row>
    <row r="27" spans="1:7" x14ac:dyDescent="0.15">
      <c r="B27" s="121"/>
      <c r="C27" s="121"/>
      <c r="D27" s="93"/>
      <c r="E27" s="101"/>
    </row>
    <row r="28" spans="1:7" x14ac:dyDescent="0.15">
      <c r="A28" s="77" t="s">
        <v>39</v>
      </c>
      <c r="B28" s="126">
        <v>6200</v>
      </c>
      <c r="C28" s="130">
        <f>C24/C40</f>
        <v>441371.11111111112</v>
      </c>
      <c r="D28" s="125">
        <v>600</v>
      </c>
      <c r="E28" s="101"/>
    </row>
    <row r="29" spans="1:7" x14ac:dyDescent="0.15">
      <c r="A29" s="77" t="s">
        <v>40</v>
      </c>
      <c r="B29" s="127">
        <f>+B24/B28</f>
        <v>6200.322580645161</v>
      </c>
      <c r="C29" s="127">
        <f t="shared" ref="C29:D29" si="0">+C24/C28</f>
        <v>180</v>
      </c>
      <c r="D29" s="127">
        <f t="shared" si="0"/>
        <v>17085.333333333332</v>
      </c>
      <c r="E29" s="101"/>
    </row>
    <row r="30" spans="1:7" x14ac:dyDescent="0.15">
      <c r="A30" s="77" t="s">
        <v>41</v>
      </c>
      <c r="B30" s="121">
        <f>B28/B22</f>
        <v>0.28040341911265887</v>
      </c>
      <c r="C30" s="121">
        <f>C28/C22</f>
        <v>0.64590894308943092</v>
      </c>
      <c r="D30" s="131">
        <v>0.19</v>
      </c>
      <c r="E30" s="101"/>
    </row>
    <row r="31" spans="1:7" x14ac:dyDescent="0.15">
      <c r="B31" s="121"/>
      <c r="C31" s="121"/>
      <c r="D31" s="121"/>
      <c r="E31" s="101"/>
    </row>
    <row r="32" spans="1:7" x14ac:dyDescent="0.15">
      <c r="A32" s="77" t="s">
        <v>68</v>
      </c>
      <c r="B32" s="121"/>
      <c r="C32" s="121"/>
      <c r="D32" s="121"/>
      <c r="E32" s="101"/>
    </row>
    <row r="33" spans="1:5" x14ac:dyDescent="0.15">
      <c r="A33" s="90" t="s">
        <v>44</v>
      </c>
      <c r="B33" s="174">
        <v>180</v>
      </c>
      <c r="C33" s="174">
        <v>180</v>
      </c>
      <c r="D33" s="174">
        <v>180</v>
      </c>
      <c r="E33" s="101"/>
    </row>
    <row r="34" spans="1:5" x14ac:dyDescent="0.15">
      <c r="A34" s="90" t="s">
        <v>43</v>
      </c>
      <c r="B34" s="174">
        <v>500</v>
      </c>
      <c r="C34" s="174">
        <v>500</v>
      </c>
      <c r="D34" s="174">
        <v>500</v>
      </c>
      <c r="E34" s="101"/>
    </row>
    <row r="35" spans="1:5" x14ac:dyDescent="0.15">
      <c r="B35" s="93"/>
      <c r="C35" s="93"/>
      <c r="D35" s="93"/>
      <c r="E35" s="93"/>
    </row>
    <row r="36" spans="1:5" x14ac:dyDescent="0.15">
      <c r="A36" s="77" t="s">
        <v>57</v>
      </c>
      <c r="B36" s="93"/>
      <c r="C36" s="93"/>
      <c r="D36" s="93"/>
      <c r="E36" s="93"/>
    </row>
    <row r="37" spans="1:5" x14ac:dyDescent="0.15">
      <c r="A37" s="90" t="s">
        <v>44</v>
      </c>
      <c r="B37" s="97">
        <v>0.71</v>
      </c>
      <c r="C37" s="97">
        <v>1</v>
      </c>
      <c r="D37" s="97">
        <v>0.09</v>
      </c>
      <c r="E37" s="97">
        <v>0.84</v>
      </c>
    </row>
    <row r="38" spans="1:5" x14ac:dyDescent="0.15">
      <c r="A38" s="90" t="s">
        <v>43</v>
      </c>
      <c r="B38" s="97">
        <f>1-B37</f>
        <v>0.29000000000000004</v>
      </c>
      <c r="C38" s="97">
        <v>0</v>
      </c>
      <c r="D38" s="97">
        <v>0.91</v>
      </c>
      <c r="E38" s="97">
        <f>1-E37</f>
        <v>0.16000000000000003</v>
      </c>
    </row>
    <row r="39" spans="1:5" x14ac:dyDescent="0.15">
      <c r="B39" s="121"/>
      <c r="C39" s="121"/>
      <c r="D39" s="121"/>
      <c r="E39" s="101"/>
    </row>
    <row r="40" spans="1:5" x14ac:dyDescent="0.15">
      <c r="A40" s="77" t="s">
        <v>69</v>
      </c>
      <c r="B40" s="127">
        <f>B33*B37+B34*B38</f>
        <v>272.8</v>
      </c>
      <c r="C40" s="127">
        <f t="shared" ref="C40:D40" si="1">C33*C37+C34*C38</f>
        <v>180</v>
      </c>
      <c r="D40" s="127">
        <f t="shared" si="1"/>
        <v>471.2</v>
      </c>
      <c r="E40" s="101"/>
    </row>
    <row r="41" spans="1:5" x14ac:dyDescent="0.15">
      <c r="A41" s="91"/>
      <c r="B41" s="93"/>
      <c r="C41" s="93"/>
      <c r="D41" s="93"/>
      <c r="E41" s="93"/>
    </row>
    <row r="42" spans="1:5" x14ac:dyDescent="0.15">
      <c r="A42" s="91" t="s">
        <v>58</v>
      </c>
      <c r="B42" s="93"/>
      <c r="C42" s="93"/>
      <c r="D42" s="93"/>
      <c r="E42" s="93"/>
    </row>
    <row r="43" spans="1:5" x14ac:dyDescent="0.15">
      <c r="A43" s="90" t="s">
        <v>44</v>
      </c>
      <c r="B43" s="99">
        <f t="shared" ref="B43:E44" si="2">B37*B$24</f>
        <v>27293820</v>
      </c>
      <c r="C43" s="99">
        <f t="shared" si="2"/>
        <v>79446800</v>
      </c>
      <c r="D43" s="99">
        <f t="shared" si="2"/>
        <v>922608</v>
      </c>
      <c r="E43" s="99">
        <f t="shared" si="2"/>
        <v>107637600</v>
      </c>
    </row>
    <row r="44" spans="1:5" x14ac:dyDescent="0.15">
      <c r="A44" s="90" t="s">
        <v>43</v>
      </c>
      <c r="B44" s="99">
        <f t="shared" si="2"/>
        <v>11148180.000000002</v>
      </c>
      <c r="C44" s="99">
        <f t="shared" si="2"/>
        <v>0</v>
      </c>
      <c r="D44" s="99">
        <f t="shared" si="2"/>
        <v>9328592</v>
      </c>
      <c r="E44" s="99">
        <f t="shared" si="2"/>
        <v>20502400.000000004</v>
      </c>
    </row>
    <row r="45" spans="1:5" x14ac:dyDescent="0.15">
      <c r="A45" s="91"/>
      <c r="B45" s="93"/>
      <c r="C45" s="93"/>
      <c r="D45" s="93"/>
      <c r="E45" s="93"/>
    </row>
    <row r="46" spans="1:5" x14ac:dyDescent="0.15">
      <c r="A46" s="91" t="s">
        <v>64</v>
      </c>
      <c r="B46" s="97">
        <v>0.01</v>
      </c>
      <c r="C46" s="97">
        <v>0</v>
      </c>
      <c r="D46" s="97">
        <v>0.1</v>
      </c>
      <c r="E46" s="93"/>
    </row>
    <row r="47" spans="1:5" x14ac:dyDescent="0.15">
      <c r="A47" s="77" t="s">
        <v>56</v>
      </c>
      <c r="B47" s="95">
        <v>90</v>
      </c>
      <c r="C47" s="95">
        <v>30</v>
      </c>
      <c r="D47" s="95">
        <v>150</v>
      </c>
      <c r="E47" s="93"/>
    </row>
    <row r="48" spans="1:5" x14ac:dyDescent="0.15">
      <c r="A48" s="77" t="s">
        <v>65</v>
      </c>
      <c r="B48" s="97">
        <v>0.12</v>
      </c>
      <c r="C48" s="93"/>
      <c r="D48" s="97">
        <v>0.06</v>
      </c>
      <c r="E48" s="93"/>
    </row>
    <row r="49" spans="1:5" x14ac:dyDescent="0.15">
      <c r="A49" s="91"/>
      <c r="B49" s="93"/>
      <c r="C49" s="93"/>
      <c r="D49" s="93"/>
      <c r="E49" s="93"/>
    </row>
    <row r="50" spans="1:5" x14ac:dyDescent="0.15">
      <c r="A50" s="91"/>
      <c r="B50" s="93"/>
      <c r="C50" s="93"/>
      <c r="D50" s="93"/>
      <c r="E50" s="93"/>
    </row>
    <row r="51" spans="1:5" x14ac:dyDescent="0.15">
      <c r="A51" s="91" t="s">
        <v>59</v>
      </c>
      <c r="B51" s="93"/>
      <c r="C51" s="93"/>
      <c r="D51" s="93"/>
      <c r="E51" s="93"/>
    </row>
    <row r="52" spans="1:5" x14ac:dyDescent="0.15">
      <c r="A52" s="91" t="s">
        <v>60</v>
      </c>
      <c r="B52" s="95">
        <v>50</v>
      </c>
      <c r="C52" s="95">
        <v>0</v>
      </c>
      <c r="D52" s="95">
        <v>7</v>
      </c>
      <c r="E52" s="93"/>
    </row>
    <row r="53" spans="1:5" x14ac:dyDescent="0.15">
      <c r="A53" s="91" t="s">
        <v>61</v>
      </c>
      <c r="B53" s="95">
        <v>40</v>
      </c>
      <c r="C53" s="95">
        <v>0</v>
      </c>
      <c r="D53" s="95">
        <v>2</v>
      </c>
      <c r="E53" s="93"/>
    </row>
    <row r="54" spans="1:5" x14ac:dyDescent="0.15">
      <c r="A54" s="91" t="s">
        <v>62</v>
      </c>
      <c r="B54" s="95">
        <v>25</v>
      </c>
      <c r="C54" s="95">
        <v>0</v>
      </c>
      <c r="D54" s="95">
        <v>3</v>
      </c>
      <c r="E54" s="93"/>
    </row>
    <row r="55" spans="1:5" x14ac:dyDescent="0.15">
      <c r="A55" s="115" t="s">
        <v>63</v>
      </c>
      <c r="B55" s="128">
        <f>SUM(B52:B54)</f>
        <v>115</v>
      </c>
      <c r="C55" s="128">
        <f t="shared" ref="C55:D55" si="3">SUM(C52:C54)</f>
        <v>0</v>
      </c>
      <c r="D55" s="128">
        <f t="shared" si="3"/>
        <v>12</v>
      </c>
      <c r="E55" s="94"/>
    </row>
  </sheetData>
  <mergeCells count="5">
    <mergeCell ref="B8:D8"/>
    <mergeCell ref="A8:A9"/>
    <mergeCell ref="B17:D17"/>
    <mergeCell ref="E17:E18"/>
    <mergeCell ref="B16:E16"/>
  </mergeCells>
  <pageMargins left="0.25" right="0.25" top="0.75" bottom="0.75" header="0.3" footer="0.3"/>
  <pageSetup paperSize="9" scale="83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C66B3-B8AA-2F48-B332-F0E1E07ED9B8}">
  <sheetPr>
    <pageSetUpPr fitToPage="1"/>
  </sheetPr>
  <dimension ref="B2:U30"/>
  <sheetViews>
    <sheetView showGridLines="0" zoomScale="150" zoomScaleNormal="150" workbookViewId="0">
      <selection activeCell="C18" sqref="C18:O18"/>
    </sheetView>
  </sheetViews>
  <sheetFormatPr baseColWidth="10" defaultRowHeight="17" customHeight="1" x14ac:dyDescent="0.15"/>
  <cols>
    <col min="1" max="1" width="10.83203125" style="255"/>
    <col min="2" max="2" width="25.6640625" style="255" customWidth="1"/>
    <col min="3" max="9" width="13.5" style="255" bestFit="1" customWidth="1"/>
    <col min="10" max="10" width="12.5" style="255" bestFit="1" customWidth="1"/>
    <col min="11" max="13" width="13.5" style="255" bestFit="1" customWidth="1"/>
    <col min="14" max="14" width="12.5" style="255" bestFit="1" customWidth="1"/>
    <col min="15" max="15" width="13.1640625" style="255" customWidth="1"/>
    <col min="16" max="16" width="4.1640625" style="255" customWidth="1"/>
    <col min="17" max="16384" width="10.83203125" style="255"/>
  </cols>
  <sheetData>
    <row r="2" spans="2:21" ht="17" customHeight="1" x14ac:dyDescent="0.15">
      <c r="B2" s="77" t="s">
        <v>113</v>
      </c>
    </row>
    <row r="3" spans="2:21" ht="17" customHeight="1" thickBot="1" x14ac:dyDescent="0.2"/>
    <row r="4" spans="2:21" ht="17" customHeight="1" thickBot="1" x14ac:dyDescent="0.2">
      <c r="B4" s="259" t="s">
        <v>114</v>
      </c>
    </row>
    <row r="5" spans="2:21" s="77" customFormat="1" ht="17" customHeight="1" x14ac:dyDescent="0.15">
      <c r="B5" s="256"/>
      <c r="C5" s="410" t="s">
        <v>80</v>
      </c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9"/>
      <c r="Q5" s="411" t="s">
        <v>119</v>
      </c>
      <c r="R5" s="412"/>
      <c r="S5" s="412"/>
      <c r="T5" s="413"/>
      <c r="U5" s="255"/>
    </row>
    <row r="6" spans="2:21" s="77" customFormat="1" ht="17" customHeight="1" x14ac:dyDescent="0.15">
      <c r="B6" s="266"/>
      <c r="C6" s="264" t="s">
        <v>95</v>
      </c>
      <c r="D6" s="264" t="s">
        <v>96</v>
      </c>
      <c r="E6" s="264" t="s">
        <v>97</v>
      </c>
      <c r="F6" s="264" t="s">
        <v>98</v>
      </c>
      <c r="G6" s="264" t="s">
        <v>99</v>
      </c>
      <c r="H6" s="264" t="s">
        <v>100</v>
      </c>
      <c r="I6" s="264" t="s">
        <v>101</v>
      </c>
      <c r="J6" s="264" t="s">
        <v>102</v>
      </c>
      <c r="K6" s="264" t="s">
        <v>103</v>
      </c>
      <c r="L6" s="264" t="s">
        <v>104</v>
      </c>
      <c r="M6" s="264" t="s">
        <v>105</v>
      </c>
      <c r="N6" s="264" t="s">
        <v>106</v>
      </c>
      <c r="O6" s="269" t="s">
        <v>63</v>
      </c>
      <c r="Q6" s="314" t="s">
        <v>95</v>
      </c>
      <c r="R6" s="264" t="s">
        <v>96</v>
      </c>
      <c r="S6" s="264" t="s">
        <v>97</v>
      </c>
      <c r="T6" s="315"/>
      <c r="U6" s="260"/>
    </row>
    <row r="7" spans="2:21" s="77" customFormat="1" ht="17" customHeight="1" x14ac:dyDescent="0.15">
      <c r="B7" s="147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5"/>
      <c r="Q7" s="257"/>
      <c r="R7" s="91"/>
      <c r="S7" s="91"/>
      <c r="T7" s="270"/>
      <c r="U7" s="91"/>
    </row>
    <row r="8" spans="2:21" s="77" customFormat="1" ht="17" customHeight="1" x14ac:dyDescent="0.15">
      <c r="B8" s="147" t="s">
        <v>116</v>
      </c>
      <c r="C8" s="261">
        <v>125000</v>
      </c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5"/>
      <c r="Q8" s="257"/>
      <c r="R8" s="91"/>
      <c r="S8" s="91"/>
      <c r="T8" s="270"/>
      <c r="U8" s="91"/>
    </row>
    <row r="9" spans="2:21" s="77" customFormat="1" ht="17" customHeight="1" x14ac:dyDescent="0.15">
      <c r="B9" s="147" t="s">
        <v>117</v>
      </c>
      <c r="C9" s="275">
        <v>6</v>
      </c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5"/>
      <c r="Q9" s="257"/>
      <c r="R9" s="91"/>
      <c r="S9" s="91"/>
      <c r="T9" s="270"/>
      <c r="U9" s="91"/>
    </row>
    <row r="10" spans="2:21" s="77" customFormat="1" ht="17" customHeight="1" x14ac:dyDescent="0.15">
      <c r="B10" s="147" t="s">
        <v>118</v>
      </c>
      <c r="C10" s="260">
        <f>1/C9*360</f>
        <v>60</v>
      </c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5"/>
      <c r="Q10" s="257"/>
      <c r="R10" s="91"/>
      <c r="S10" s="91"/>
      <c r="T10" s="270"/>
      <c r="U10" s="91"/>
    </row>
    <row r="11" spans="2:21" s="77" customFormat="1" ht="17" customHeight="1" x14ac:dyDescent="0.15">
      <c r="B11" s="147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5"/>
      <c r="Q11" s="257"/>
      <c r="R11" s="91"/>
      <c r="S11" s="91"/>
      <c r="T11" s="270"/>
      <c r="U11" s="91"/>
    </row>
    <row r="12" spans="2:21" s="91" customFormat="1" ht="23" customHeight="1" x14ac:dyDescent="0.15">
      <c r="B12" s="147" t="s">
        <v>115</v>
      </c>
      <c r="C12" s="274">
        <f>+C8</f>
        <v>125000</v>
      </c>
      <c r="D12" s="258">
        <f>+C14</f>
        <v>124910.08729508883</v>
      </c>
      <c r="E12" s="258">
        <f t="shared" ref="E12:N12" si="0">+D14</f>
        <v>127814.97304613741</v>
      </c>
      <c r="F12" s="258">
        <f t="shared" si="0"/>
        <v>122005.20154404026</v>
      </c>
      <c r="G12" s="258">
        <f t="shared" si="0"/>
        <v>124910.08729508883</v>
      </c>
      <c r="H12" s="258">
        <f t="shared" si="0"/>
        <v>127814.97304613741</v>
      </c>
      <c r="I12" s="258">
        <f t="shared" si="0"/>
        <v>98766.115535651639</v>
      </c>
      <c r="J12" s="258">
        <f t="shared" si="0"/>
        <v>98766.115535651639</v>
      </c>
      <c r="K12" s="258">
        <f t="shared" si="0"/>
        <v>124910.08729508883</v>
      </c>
      <c r="L12" s="258">
        <f t="shared" si="0"/>
        <v>122005.20154404026</v>
      </c>
      <c r="M12" s="258">
        <f t="shared" si="0"/>
        <v>95861.229784603056</v>
      </c>
      <c r="N12" s="258">
        <f t="shared" si="0"/>
        <v>86222.088065664604</v>
      </c>
      <c r="O12" s="165"/>
      <c r="Q12" s="310">
        <f>+N14</f>
        <v>108433.96911206131</v>
      </c>
      <c r="T12" s="270"/>
    </row>
    <row r="13" spans="2:21" s="91" customFormat="1" ht="23" customHeight="1" x14ac:dyDescent="0.15">
      <c r="B13" s="267" t="s">
        <v>122</v>
      </c>
      <c r="C13" s="258">
        <f>QUANTITÀ!B11</f>
        <v>52287.943518874388</v>
      </c>
      <c r="D13" s="258">
        <f>QUANTITÀ!C11</f>
        <v>58097.71502097154</v>
      </c>
      <c r="E13" s="258">
        <f>QUANTITÀ!D11</f>
        <v>66812.372274117282</v>
      </c>
      <c r="F13" s="258">
        <f>QUANTITÀ!E11</f>
        <v>61002.600772020131</v>
      </c>
      <c r="G13" s="258">
        <f>QUANTITÀ!F11</f>
        <v>61002.600772020131</v>
      </c>
      <c r="H13" s="258">
        <f>QUANTITÀ!G11</f>
        <v>63907.486523068706</v>
      </c>
      <c r="I13" s="258">
        <f>QUANTITÀ!H11</f>
        <v>63907.486523068706</v>
      </c>
      <c r="J13" s="258">
        <f>QUANTITÀ!I11</f>
        <v>34858.629012582933</v>
      </c>
      <c r="K13" s="258">
        <f>QUANTITÀ!J11</f>
        <v>63907.486523068706</v>
      </c>
      <c r="L13" s="258">
        <f>QUANTITÀ!K11</f>
        <v>61002.600772020131</v>
      </c>
      <c r="M13" s="258">
        <f>QUANTITÀ!L11</f>
        <v>61002.600772020131</v>
      </c>
      <c r="N13" s="258">
        <f>QUANTITÀ!M11</f>
        <v>34858.629012582933</v>
      </c>
      <c r="O13" s="165">
        <f>SUM(C13:N13)</f>
        <v>682648.15149641572</v>
      </c>
      <c r="Q13" s="271">
        <f>QUANTITÀ!P11</f>
        <v>51363.459053081671</v>
      </c>
      <c r="R13" s="262">
        <f>QUANTITÀ!Q11</f>
        <v>57070.510058979649</v>
      </c>
      <c r="S13" s="262">
        <f>QUANTITÀ!R11</f>
        <v>65631.086567826584</v>
      </c>
      <c r="T13" s="272">
        <f>QUANTITÀ!S11</f>
        <v>59924.03556192862</v>
      </c>
      <c r="U13" s="262"/>
    </row>
    <row r="14" spans="2:21" s="91" customFormat="1" ht="23" customHeight="1" thickBot="1" x14ac:dyDescent="0.2">
      <c r="B14" s="267" t="s">
        <v>120</v>
      </c>
      <c r="C14" s="258">
        <f>(D13+E13)</f>
        <v>124910.08729508883</v>
      </c>
      <c r="D14" s="258">
        <f t="shared" ref="D14:L14" si="1">(E13+F13)</f>
        <v>127814.97304613741</v>
      </c>
      <c r="E14" s="258">
        <f t="shared" si="1"/>
        <v>122005.20154404026</v>
      </c>
      <c r="F14" s="258">
        <f t="shared" si="1"/>
        <v>124910.08729508883</v>
      </c>
      <c r="G14" s="258">
        <f t="shared" si="1"/>
        <v>127814.97304613741</v>
      </c>
      <c r="H14" s="258">
        <f t="shared" si="1"/>
        <v>98766.115535651639</v>
      </c>
      <c r="I14" s="258">
        <f t="shared" si="1"/>
        <v>98766.115535651639</v>
      </c>
      <c r="J14" s="258">
        <f t="shared" si="1"/>
        <v>124910.08729508883</v>
      </c>
      <c r="K14" s="258">
        <f t="shared" si="1"/>
        <v>122005.20154404026</v>
      </c>
      <c r="L14" s="258">
        <f t="shared" si="1"/>
        <v>95861.229784603056</v>
      </c>
      <c r="M14" s="258">
        <f>(N13+Q13)</f>
        <v>86222.088065664604</v>
      </c>
      <c r="N14" s="258">
        <f>(Q13+R13)</f>
        <v>108433.96911206131</v>
      </c>
      <c r="O14" s="165"/>
      <c r="Q14" s="271">
        <f>(R13+S13)</f>
        <v>122701.59662680623</v>
      </c>
      <c r="T14" s="270"/>
    </row>
    <row r="15" spans="2:21" s="91" customFormat="1" ht="19" customHeight="1" thickBot="1" x14ac:dyDescent="0.2">
      <c r="B15" s="268" t="s">
        <v>121</v>
      </c>
      <c r="C15" s="263">
        <f>(C14-C12+C13)</f>
        <v>52198.030813963218</v>
      </c>
      <c r="D15" s="263">
        <f t="shared" ref="D15:N15" si="2">(D14-D12+D13)</f>
        <v>61002.600772020123</v>
      </c>
      <c r="E15" s="263">
        <f t="shared" si="2"/>
        <v>61002.600772020131</v>
      </c>
      <c r="F15" s="263">
        <f t="shared" si="2"/>
        <v>63907.486523068699</v>
      </c>
      <c r="G15" s="263">
        <f t="shared" si="2"/>
        <v>63907.486523068714</v>
      </c>
      <c r="H15" s="263">
        <f t="shared" si="2"/>
        <v>34858.629012582933</v>
      </c>
      <c r="I15" s="263">
        <f t="shared" si="2"/>
        <v>63907.486523068706</v>
      </c>
      <c r="J15" s="263">
        <f t="shared" si="2"/>
        <v>61002.600772020123</v>
      </c>
      <c r="K15" s="263">
        <f t="shared" si="2"/>
        <v>61002.600772020138</v>
      </c>
      <c r="L15" s="263">
        <f t="shared" si="2"/>
        <v>34858.629012582925</v>
      </c>
      <c r="M15" s="263">
        <f t="shared" si="2"/>
        <v>51363.459053081679</v>
      </c>
      <c r="N15" s="263">
        <f t="shared" si="2"/>
        <v>57070.510058979642</v>
      </c>
      <c r="O15" s="273">
        <f>SUM(C15:N15)</f>
        <v>666082.12060847692</v>
      </c>
      <c r="Q15" s="311">
        <f t="shared" ref="Q15" si="3">(Q14-Q12+Q13)</f>
        <v>65631.086567826598</v>
      </c>
      <c r="R15" s="312"/>
      <c r="S15" s="312"/>
      <c r="T15" s="313"/>
    </row>
    <row r="16" spans="2:21" s="91" customFormat="1" ht="17" customHeight="1" thickBot="1" x14ac:dyDescent="0.2">
      <c r="C16" s="258"/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</row>
    <row r="17" spans="2:21" ht="17" customHeight="1" thickBot="1" x14ac:dyDescent="0.2">
      <c r="B17" s="259" t="s">
        <v>125</v>
      </c>
      <c r="U17" s="91"/>
    </row>
    <row r="18" spans="2:21" s="77" customFormat="1" ht="17" customHeight="1" x14ac:dyDescent="0.15">
      <c r="B18" s="256"/>
      <c r="C18" s="410" t="s">
        <v>80</v>
      </c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9"/>
      <c r="Q18" s="411" t="s">
        <v>119</v>
      </c>
      <c r="R18" s="412"/>
      <c r="S18" s="412"/>
      <c r="T18" s="413"/>
      <c r="U18" s="91"/>
    </row>
    <row r="19" spans="2:21" s="77" customFormat="1" ht="17" customHeight="1" x14ac:dyDescent="0.15">
      <c r="B19" s="266"/>
      <c r="C19" s="264" t="s">
        <v>95</v>
      </c>
      <c r="D19" s="264" t="s">
        <v>96</v>
      </c>
      <c r="E19" s="264" t="s">
        <v>97</v>
      </c>
      <c r="F19" s="264" t="s">
        <v>98</v>
      </c>
      <c r="G19" s="264" t="s">
        <v>99</v>
      </c>
      <c r="H19" s="264" t="s">
        <v>100</v>
      </c>
      <c r="I19" s="264" t="s">
        <v>101</v>
      </c>
      <c r="J19" s="264" t="s">
        <v>102</v>
      </c>
      <c r="K19" s="264" t="s">
        <v>103</v>
      </c>
      <c r="L19" s="264" t="s">
        <v>104</v>
      </c>
      <c r="M19" s="264" t="s">
        <v>105</v>
      </c>
      <c r="N19" s="264" t="s">
        <v>106</v>
      </c>
      <c r="O19" s="269" t="s">
        <v>63</v>
      </c>
      <c r="Q19" s="314" t="s">
        <v>95</v>
      </c>
      <c r="R19" s="264" t="s">
        <v>96</v>
      </c>
      <c r="S19" s="264" t="s">
        <v>97</v>
      </c>
      <c r="T19" s="315" t="s">
        <v>98</v>
      </c>
      <c r="U19" s="91"/>
    </row>
    <row r="20" spans="2:21" s="77" customFormat="1" ht="17" customHeight="1" x14ac:dyDescent="0.15">
      <c r="B20" s="147"/>
      <c r="C20" s="260"/>
      <c r="D20" s="260"/>
      <c r="E20" s="260"/>
      <c r="F20" s="260"/>
      <c r="G20" s="260"/>
      <c r="H20" s="260"/>
      <c r="I20" s="260"/>
      <c r="J20" s="260"/>
      <c r="K20" s="260"/>
      <c r="L20" s="260"/>
      <c r="M20" s="260"/>
      <c r="N20" s="260"/>
      <c r="O20" s="265"/>
      <c r="Q20" s="257"/>
      <c r="R20" s="91"/>
      <c r="S20" s="91"/>
      <c r="T20" s="270"/>
      <c r="U20" s="91"/>
    </row>
    <row r="21" spans="2:21" s="77" customFormat="1" ht="17" customHeight="1" x14ac:dyDescent="0.15">
      <c r="B21" s="147" t="s">
        <v>116</v>
      </c>
      <c r="C21" s="261">
        <v>11000</v>
      </c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5"/>
      <c r="Q21" s="257"/>
      <c r="R21" s="91"/>
      <c r="S21" s="91"/>
      <c r="T21" s="270"/>
      <c r="U21" s="91"/>
    </row>
    <row r="22" spans="2:21" s="77" customFormat="1" ht="17" customHeight="1" x14ac:dyDescent="0.15">
      <c r="B22" s="147" t="s">
        <v>117</v>
      </c>
      <c r="C22" s="275">
        <v>4</v>
      </c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5"/>
      <c r="Q22" s="257"/>
      <c r="R22" s="91"/>
      <c r="S22" s="91"/>
      <c r="T22" s="270"/>
      <c r="U22" s="91"/>
    </row>
    <row r="23" spans="2:21" s="77" customFormat="1" ht="17" customHeight="1" x14ac:dyDescent="0.15">
      <c r="B23" s="147" t="s">
        <v>118</v>
      </c>
      <c r="C23" s="260">
        <f>1/C22*360</f>
        <v>90</v>
      </c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5"/>
      <c r="Q23" s="257"/>
      <c r="R23" s="91"/>
      <c r="S23" s="91"/>
      <c r="T23" s="270"/>
      <c r="U23" s="91"/>
    </row>
    <row r="24" spans="2:21" s="77" customFormat="1" ht="17" customHeight="1" x14ac:dyDescent="0.15">
      <c r="B24" s="147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5"/>
      <c r="Q24" s="257"/>
      <c r="R24" s="91"/>
      <c r="S24" s="91"/>
      <c r="T24" s="270"/>
      <c r="U24" s="91"/>
    </row>
    <row r="25" spans="2:21" s="91" customFormat="1" ht="23" customHeight="1" x14ac:dyDescent="0.15">
      <c r="B25" s="147" t="s">
        <v>115</v>
      </c>
      <c r="C25" s="274">
        <f>+C21</f>
        <v>11000</v>
      </c>
      <c r="D25" s="258">
        <f>+C27</f>
        <v>11401.65718533974</v>
      </c>
      <c r="E25" s="258">
        <f t="shared" ref="E25:N25" si="4">+D27</f>
        <v>11579.808078860675</v>
      </c>
      <c r="F25" s="258">
        <f t="shared" si="4"/>
        <v>11401.65718533974</v>
      </c>
      <c r="G25" s="258">
        <f t="shared" si="4"/>
        <v>11579.808078860673</v>
      </c>
      <c r="H25" s="258">
        <f t="shared" si="4"/>
        <v>9976.4500371722715</v>
      </c>
      <c r="I25" s="258">
        <f t="shared" si="4"/>
        <v>9976.4500371722715</v>
      </c>
      <c r="J25" s="258">
        <f t="shared" si="4"/>
        <v>9798.2991436513385</v>
      </c>
      <c r="K25" s="258">
        <f t="shared" si="4"/>
        <v>11401.65718533974</v>
      </c>
      <c r="L25" s="258">
        <f t="shared" si="4"/>
        <v>9620.1482501304054</v>
      </c>
      <c r="M25" s="258">
        <f t="shared" si="4"/>
        <v>9270.3303167670565</v>
      </c>
      <c r="N25" s="258">
        <f t="shared" si="4"/>
        <v>9297.3291423566225</v>
      </c>
      <c r="O25" s="165"/>
      <c r="Q25" s="310">
        <f>+N27</f>
        <v>11492.911148063966</v>
      </c>
      <c r="T25" s="270"/>
    </row>
    <row r="26" spans="2:21" s="91" customFormat="1" ht="23" customHeight="1" x14ac:dyDescent="0.15">
      <c r="B26" s="267" t="s">
        <v>122</v>
      </c>
      <c r="C26" s="258">
        <f>QUANTITÀ!B18</f>
        <v>3206.7160833768021</v>
      </c>
      <c r="D26" s="258">
        <f>QUANTITÀ!C18</f>
        <v>3563.0178704186692</v>
      </c>
      <c r="E26" s="258">
        <f>QUANTITÀ!D18</f>
        <v>4097.4705509814694</v>
      </c>
      <c r="F26" s="258">
        <f>QUANTITÀ!E18</f>
        <v>3741.1687639396023</v>
      </c>
      <c r="G26" s="258">
        <f>QUANTITÀ!F18</f>
        <v>3741.1687639396023</v>
      </c>
      <c r="H26" s="258">
        <f>QUANTITÀ!G18</f>
        <v>3919.3196574605354</v>
      </c>
      <c r="I26" s="258">
        <f>QUANTITÀ!H18</f>
        <v>3919.3196574605354</v>
      </c>
      <c r="J26" s="258">
        <f>QUANTITÀ!I18</f>
        <v>2137.8107222512012</v>
      </c>
      <c r="K26" s="258">
        <f>QUANTITÀ!J18</f>
        <v>3919.3196574605354</v>
      </c>
      <c r="L26" s="258">
        <f>QUANTITÀ!K18</f>
        <v>3741.1687639396023</v>
      </c>
      <c r="M26" s="258">
        <f>QUANTITÀ!L18</f>
        <v>3741.1687639396023</v>
      </c>
      <c r="N26" s="258">
        <f>QUANTITÀ!M18</f>
        <v>2137.8107222512012</v>
      </c>
      <c r="O26" s="165">
        <f>SUM(C26:N26)</f>
        <v>41865.459977419363</v>
      </c>
      <c r="Q26" s="271">
        <f>QUANTITÀ!P18</f>
        <v>3391.3508305762525</v>
      </c>
      <c r="R26" s="262">
        <f>QUANTITÀ!Q18</f>
        <v>3768.1675895291692</v>
      </c>
      <c r="S26" s="262">
        <f>QUANTITÀ!R18</f>
        <v>4333.392727958545</v>
      </c>
      <c r="T26" s="316">
        <f>QUANTITÀ!S18</f>
        <v>3956.5759690056279</v>
      </c>
      <c r="U26" s="262"/>
    </row>
    <row r="27" spans="2:21" s="91" customFormat="1" ht="23" customHeight="1" thickBot="1" x14ac:dyDescent="0.2">
      <c r="B27" s="267" t="s">
        <v>120</v>
      </c>
      <c r="C27" s="258">
        <f>(D26+E26+F26)</f>
        <v>11401.65718533974</v>
      </c>
      <c r="D27" s="258">
        <f t="shared" ref="D27:K27" si="5">(E26+F26+G26)</f>
        <v>11579.808078860675</v>
      </c>
      <c r="E27" s="258">
        <f t="shared" si="5"/>
        <v>11401.65718533974</v>
      </c>
      <c r="F27" s="258">
        <f t="shared" si="5"/>
        <v>11579.808078860673</v>
      </c>
      <c r="G27" s="258">
        <f t="shared" si="5"/>
        <v>9976.4500371722715</v>
      </c>
      <c r="H27" s="258">
        <f t="shared" si="5"/>
        <v>9976.4500371722715</v>
      </c>
      <c r="I27" s="258">
        <f t="shared" si="5"/>
        <v>9798.2991436513385</v>
      </c>
      <c r="J27" s="258">
        <f t="shared" si="5"/>
        <v>11401.65718533974</v>
      </c>
      <c r="K27" s="258">
        <f t="shared" si="5"/>
        <v>9620.1482501304054</v>
      </c>
      <c r="L27" s="258">
        <f>(M26+N26+Q26)</f>
        <v>9270.3303167670565</v>
      </c>
      <c r="M27" s="258">
        <f>(N26+Q26+R26)</f>
        <v>9297.3291423566225</v>
      </c>
      <c r="N27" s="258">
        <f>(Q26+R26+S26)</f>
        <v>11492.911148063966</v>
      </c>
      <c r="O27" s="165"/>
      <c r="Q27" s="271">
        <f>(R26+S26+T26)</f>
        <v>12058.136286493342</v>
      </c>
      <c r="T27" s="270"/>
    </row>
    <row r="28" spans="2:21" s="91" customFormat="1" ht="19" customHeight="1" thickBot="1" x14ac:dyDescent="0.2">
      <c r="B28" s="268" t="s">
        <v>121</v>
      </c>
      <c r="C28" s="263">
        <f>C27-C25+C26</f>
        <v>3608.373268716542</v>
      </c>
      <c r="D28" s="263">
        <f t="shared" ref="D28:N28" si="6">D27-D25+D26</f>
        <v>3741.1687639396041</v>
      </c>
      <c r="E28" s="263">
        <f t="shared" si="6"/>
        <v>3919.3196574605345</v>
      </c>
      <c r="F28" s="263">
        <f t="shared" si="6"/>
        <v>3919.3196574605354</v>
      </c>
      <c r="G28" s="263">
        <f t="shared" si="6"/>
        <v>2137.8107222512008</v>
      </c>
      <c r="H28" s="263">
        <f t="shared" si="6"/>
        <v>3919.3196574605354</v>
      </c>
      <c r="I28" s="263">
        <f t="shared" si="6"/>
        <v>3741.1687639396023</v>
      </c>
      <c r="J28" s="263">
        <f t="shared" si="6"/>
        <v>3741.1687639396027</v>
      </c>
      <c r="K28" s="263">
        <f t="shared" si="6"/>
        <v>2137.8107222512008</v>
      </c>
      <c r="L28" s="263">
        <f t="shared" si="6"/>
        <v>3391.3508305762534</v>
      </c>
      <c r="M28" s="263">
        <f t="shared" si="6"/>
        <v>3768.1675895291683</v>
      </c>
      <c r="N28" s="263">
        <f t="shared" si="6"/>
        <v>4333.3927279585441</v>
      </c>
      <c r="O28" s="273">
        <f>SUM(C28:N28)</f>
        <v>42358.371125483332</v>
      </c>
      <c r="Q28" s="311">
        <f t="shared" ref="Q28" si="7">Q27-Q25+Q26</f>
        <v>3956.5759690056284</v>
      </c>
      <c r="R28" s="312"/>
      <c r="S28" s="312"/>
      <c r="T28" s="313"/>
    </row>
    <row r="29" spans="2:21" s="91" customFormat="1" ht="17" customHeight="1" x14ac:dyDescent="0.15"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</row>
    <row r="30" spans="2:21" ht="17" customHeight="1" x14ac:dyDescent="0.15">
      <c r="B30" s="331">
        <f>7217/C28</f>
        <v>2.0000702428900894</v>
      </c>
    </row>
  </sheetData>
  <mergeCells count="4">
    <mergeCell ref="C5:O5"/>
    <mergeCell ref="Q5:T5"/>
    <mergeCell ref="C18:O18"/>
    <mergeCell ref="Q18:T18"/>
  </mergeCells>
  <pageMargins left="0.25" right="0.25" top="0.75" bottom="0.75" header="0.3" footer="0.3"/>
  <pageSetup paperSize="9" scale="54" orientation="landscape" horizontalDpi="0" verticalDpi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7FA06-582A-B84B-98EE-753FE41B7B7F}">
  <dimension ref="B1:F48"/>
  <sheetViews>
    <sheetView showGridLines="0" zoomScale="211" zoomScaleNormal="140" workbookViewId="0">
      <selection activeCell="C42" sqref="C42"/>
    </sheetView>
  </sheetViews>
  <sheetFormatPr baseColWidth="10" defaultColWidth="9.1640625" defaultRowHeight="19" x14ac:dyDescent="0.15"/>
  <cols>
    <col min="1" max="1" width="9.1640625" style="289"/>
    <col min="2" max="2" width="29" style="289" bestFit="1" customWidth="1"/>
    <col min="3" max="3" width="20.6640625" style="289" customWidth="1"/>
    <col min="4" max="4" width="13.1640625" style="289" customWidth="1"/>
    <col min="5" max="5" width="12.33203125" style="289" bestFit="1" customWidth="1"/>
    <col min="6" max="6" width="11.5" style="289" customWidth="1"/>
    <col min="7" max="7" width="2.6640625" style="289" customWidth="1"/>
    <col min="8" max="16384" width="9.1640625" style="289"/>
  </cols>
  <sheetData>
    <row r="1" spans="2:6" x14ac:dyDescent="0.15">
      <c r="B1" s="289" t="s">
        <v>126</v>
      </c>
    </row>
    <row r="2" spans="2:6" ht="20" thickBot="1" x14ac:dyDescent="0.2"/>
    <row r="3" spans="2:6" x14ac:dyDescent="0.15">
      <c r="B3" s="416" t="s">
        <v>130</v>
      </c>
      <c r="C3" s="414" t="s">
        <v>54</v>
      </c>
      <c r="D3" s="418"/>
      <c r="E3" s="418"/>
      <c r="F3" s="415"/>
    </row>
    <row r="4" spans="2:6" x14ac:dyDescent="0.15">
      <c r="B4" s="417"/>
      <c r="C4" s="295" t="s">
        <v>131</v>
      </c>
      <c r="D4" s="296" t="s">
        <v>132</v>
      </c>
      <c r="E4" s="296" t="s">
        <v>140</v>
      </c>
      <c r="F4" s="297" t="s">
        <v>141</v>
      </c>
    </row>
    <row r="5" spans="2:6" x14ac:dyDescent="0.15">
      <c r="B5" s="292" t="s">
        <v>127</v>
      </c>
      <c r="C5" s="293" t="s">
        <v>133</v>
      </c>
      <c r="D5" s="291">
        <v>0.75</v>
      </c>
      <c r="E5" s="302">
        <f>0.005*1000</f>
        <v>5</v>
      </c>
      <c r="F5" s="299">
        <f>E5*D5</f>
        <v>3.75</v>
      </c>
    </row>
    <row r="6" spans="2:6" x14ac:dyDescent="0.15">
      <c r="B6" s="292" t="s">
        <v>128</v>
      </c>
      <c r="C6" s="293" t="s">
        <v>133</v>
      </c>
      <c r="D6" s="291">
        <v>1</v>
      </c>
      <c r="E6" s="302">
        <f>0.078947*1000</f>
        <v>78.947000000000003</v>
      </c>
      <c r="F6" s="299">
        <f t="shared" ref="F6:F7" si="0">E6*D6</f>
        <v>78.947000000000003</v>
      </c>
    </row>
    <row r="7" spans="2:6" x14ac:dyDescent="0.15">
      <c r="B7" s="292" t="s">
        <v>129</v>
      </c>
      <c r="C7" s="293" t="s">
        <v>133</v>
      </c>
      <c r="D7" s="291">
        <v>1</v>
      </c>
      <c r="E7" s="302">
        <f>0.03*1000</f>
        <v>30</v>
      </c>
      <c r="F7" s="299">
        <f t="shared" si="0"/>
        <v>30</v>
      </c>
    </row>
    <row r="8" spans="2:6" ht="20" thickBot="1" x14ac:dyDescent="0.2">
      <c r="B8" s="294"/>
      <c r="C8" s="300"/>
      <c r="D8" s="300"/>
      <c r="E8" s="300"/>
      <c r="F8" s="301">
        <f>SUM(F5:F7)</f>
        <v>112.697</v>
      </c>
    </row>
    <row r="9" spans="2:6" ht="41" customHeight="1" thickBot="1" x14ac:dyDescent="0.2">
      <c r="C9" s="288"/>
      <c r="D9" s="288"/>
      <c r="E9" s="288"/>
      <c r="F9" s="288"/>
    </row>
    <row r="10" spans="2:6" x14ac:dyDescent="0.15">
      <c r="B10" s="416" t="s">
        <v>134</v>
      </c>
      <c r="C10" s="414" t="s">
        <v>54</v>
      </c>
      <c r="D10" s="418"/>
      <c r="E10" s="418"/>
      <c r="F10" s="415"/>
    </row>
    <row r="11" spans="2:6" x14ac:dyDescent="0.15">
      <c r="B11" s="417"/>
      <c r="C11" s="295" t="s">
        <v>131</v>
      </c>
      <c r="D11" s="296" t="s">
        <v>132</v>
      </c>
      <c r="E11" s="296" t="s">
        <v>140</v>
      </c>
      <c r="F11" s="297" t="s">
        <v>141</v>
      </c>
    </row>
    <row r="12" spans="2:6" x14ac:dyDescent="0.15">
      <c r="B12" s="292" t="s">
        <v>74</v>
      </c>
      <c r="C12" s="293" t="s">
        <v>133</v>
      </c>
      <c r="D12" s="291">
        <v>0.5</v>
      </c>
      <c r="E12" s="302">
        <f>0.05*1000</f>
        <v>50</v>
      </c>
      <c r="F12" s="299">
        <f>E12*D12</f>
        <v>25</v>
      </c>
    </row>
    <row r="13" spans="2:6" x14ac:dyDescent="0.15">
      <c r="B13" s="292" t="s">
        <v>135</v>
      </c>
      <c r="C13" s="293" t="s">
        <v>138</v>
      </c>
      <c r="D13" s="291">
        <v>2.2200000000000002</v>
      </c>
      <c r="E13" s="302">
        <f>0.015*1000</f>
        <v>15</v>
      </c>
      <c r="F13" s="299">
        <f t="shared" ref="F13:F16" si="1">E13*D13</f>
        <v>33.300000000000004</v>
      </c>
    </row>
    <row r="14" spans="2:6" x14ac:dyDescent="0.15">
      <c r="B14" s="292" t="s">
        <v>129</v>
      </c>
      <c r="C14" s="293" t="s">
        <v>133</v>
      </c>
      <c r="D14" s="291">
        <v>0.8</v>
      </c>
      <c r="E14" s="302">
        <f>0.03*1000</f>
        <v>30</v>
      </c>
      <c r="F14" s="299">
        <f t="shared" si="1"/>
        <v>24</v>
      </c>
    </row>
    <row r="15" spans="2:6" x14ac:dyDescent="0.15">
      <c r="B15" s="292" t="s">
        <v>136</v>
      </c>
      <c r="C15" s="293" t="s">
        <v>139</v>
      </c>
      <c r="D15" s="291">
        <v>3</v>
      </c>
      <c r="E15" s="302">
        <f>0.02*1000</f>
        <v>20</v>
      </c>
      <c r="F15" s="299">
        <f t="shared" si="1"/>
        <v>60</v>
      </c>
    </row>
    <row r="16" spans="2:6" x14ac:dyDescent="0.15">
      <c r="B16" s="292" t="s">
        <v>137</v>
      </c>
      <c r="C16" s="293" t="s">
        <v>139</v>
      </c>
      <c r="D16" s="291">
        <v>1</v>
      </c>
      <c r="E16" s="302">
        <f>0.045*1000</f>
        <v>45</v>
      </c>
      <c r="F16" s="299">
        <f t="shared" si="1"/>
        <v>45</v>
      </c>
    </row>
    <row r="17" spans="2:6" ht="20" thickBot="1" x14ac:dyDescent="0.2">
      <c r="B17" s="294"/>
      <c r="C17" s="300"/>
      <c r="D17" s="300"/>
      <c r="E17" s="300"/>
      <c r="F17" s="301">
        <f>SUM(F12:F16)</f>
        <v>187.3</v>
      </c>
    </row>
    <row r="18" spans="2:6" x14ac:dyDescent="0.15">
      <c r="B18" s="290"/>
      <c r="C18" s="290"/>
      <c r="D18" s="290"/>
      <c r="E18" s="290"/>
      <c r="F18" s="298"/>
    </row>
    <row r="19" spans="2:6" x14ac:dyDescent="0.15">
      <c r="B19" s="290"/>
      <c r="C19" s="290"/>
      <c r="D19" s="290"/>
      <c r="E19" s="290"/>
      <c r="F19" s="298"/>
    </row>
    <row r="20" spans="2:6" x14ac:dyDescent="0.15">
      <c r="B20" s="290"/>
      <c r="C20" s="290"/>
      <c r="D20" s="290"/>
      <c r="E20" s="290"/>
      <c r="F20" s="298"/>
    </row>
    <row r="21" spans="2:6" x14ac:dyDescent="0.15">
      <c r="B21" s="289" t="s">
        <v>142</v>
      </c>
      <c r="C21" s="290"/>
      <c r="D21" s="290"/>
      <c r="E21" s="290"/>
      <c r="F21" s="298"/>
    </row>
    <row r="22" spans="2:6" ht="20" thickBot="1" x14ac:dyDescent="0.2">
      <c r="B22" s="290"/>
      <c r="C22" s="290"/>
      <c r="D22" s="290"/>
      <c r="E22" s="290"/>
      <c r="F22" s="298"/>
    </row>
    <row r="23" spans="2:6" x14ac:dyDescent="0.15">
      <c r="B23" s="304"/>
      <c r="C23" s="414" t="s">
        <v>54</v>
      </c>
      <c r="D23" s="415"/>
      <c r="E23" s="290"/>
      <c r="F23" s="298"/>
    </row>
    <row r="24" spans="2:6" ht="38" customHeight="1" x14ac:dyDescent="0.15">
      <c r="B24" s="305"/>
      <c r="C24" s="303" t="s">
        <v>143</v>
      </c>
      <c r="D24" s="297" t="s">
        <v>144</v>
      </c>
      <c r="E24" s="290"/>
      <c r="F24" s="298"/>
    </row>
    <row r="25" spans="2:6" x14ac:dyDescent="0.15">
      <c r="B25" s="292" t="s">
        <v>127</v>
      </c>
      <c r="C25" s="293">
        <v>30</v>
      </c>
      <c r="D25" s="328">
        <v>45000</v>
      </c>
      <c r="E25" s="290"/>
      <c r="F25" s="298"/>
    </row>
    <row r="26" spans="2:6" x14ac:dyDescent="0.15">
      <c r="B26" s="292" t="s">
        <v>128</v>
      </c>
      <c r="C26" s="293">
        <v>15</v>
      </c>
      <c r="D26" s="328">
        <v>60000</v>
      </c>
      <c r="E26" s="290"/>
      <c r="F26" s="298"/>
    </row>
    <row r="27" spans="2:6" x14ac:dyDescent="0.15">
      <c r="B27" s="292" t="s">
        <v>129</v>
      </c>
      <c r="C27" s="293">
        <v>15</v>
      </c>
      <c r="D27" s="328">
        <v>62800</v>
      </c>
      <c r="E27" s="290"/>
      <c r="F27" s="298"/>
    </row>
    <row r="28" spans="2:6" x14ac:dyDescent="0.15">
      <c r="B28" s="292" t="s">
        <v>74</v>
      </c>
      <c r="C28" s="293">
        <v>30</v>
      </c>
      <c r="D28" s="328">
        <v>3500</v>
      </c>
      <c r="E28" s="290"/>
      <c r="F28" s="298"/>
    </row>
    <row r="29" spans="2:6" x14ac:dyDescent="0.15">
      <c r="B29" s="292" t="s">
        <v>135</v>
      </c>
      <c r="C29" s="293">
        <v>30</v>
      </c>
      <c r="D29" s="328">
        <v>7777.78</v>
      </c>
      <c r="E29" s="290"/>
      <c r="F29" s="298"/>
    </row>
    <row r="30" spans="2:6" x14ac:dyDescent="0.15">
      <c r="B30" s="292" t="s">
        <v>136</v>
      </c>
      <c r="C30" s="293">
        <v>30</v>
      </c>
      <c r="D30" s="328">
        <v>21000</v>
      </c>
      <c r="E30" s="290"/>
      <c r="F30" s="298"/>
    </row>
    <row r="31" spans="2:6" ht="20" thickBot="1" x14ac:dyDescent="0.2">
      <c r="B31" s="294" t="s">
        <v>137</v>
      </c>
      <c r="C31" s="300">
        <v>30</v>
      </c>
      <c r="D31" s="329">
        <v>3500</v>
      </c>
      <c r="E31" s="290"/>
      <c r="F31" s="298"/>
    </row>
    <row r="32" spans="2:6" x14ac:dyDescent="0.15">
      <c r="B32" s="290"/>
      <c r="C32" s="290"/>
      <c r="D32" s="290"/>
      <c r="E32" s="290"/>
      <c r="F32" s="298"/>
    </row>
    <row r="33" spans="2:6" x14ac:dyDescent="0.15">
      <c r="B33" s="290"/>
      <c r="C33" s="290"/>
      <c r="D33" s="290"/>
      <c r="E33" s="290"/>
      <c r="F33" s="298"/>
    </row>
    <row r="34" spans="2:6" x14ac:dyDescent="0.15">
      <c r="B34" s="290"/>
      <c r="C34" s="290"/>
      <c r="D34" s="290"/>
      <c r="E34" s="290"/>
      <c r="F34" s="298"/>
    </row>
    <row r="35" spans="2:6" x14ac:dyDescent="0.15">
      <c r="B35" s="289" t="s">
        <v>145</v>
      </c>
      <c r="C35" s="290"/>
      <c r="D35" s="290"/>
      <c r="E35" s="290"/>
      <c r="F35" s="298"/>
    </row>
    <row r="36" spans="2:6" ht="20" thickBot="1" x14ac:dyDescent="0.2">
      <c r="B36" s="290"/>
      <c r="C36" s="290"/>
      <c r="D36" s="290"/>
      <c r="E36" s="290"/>
      <c r="F36" s="298"/>
    </row>
    <row r="37" spans="2:6" x14ac:dyDescent="0.15">
      <c r="B37" s="304"/>
      <c r="C37" s="306" t="s">
        <v>80</v>
      </c>
      <c r="D37" s="290"/>
      <c r="E37" s="298"/>
    </row>
    <row r="38" spans="2:6" x14ac:dyDescent="0.15">
      <c r="B38" s="292" t="s">
        <v>127</v>
      </c>
      <c r="C38" s="321">
        <v>49000</v>
      </c>
      <c r="D38" s="290"/>
      <c r="E38" s="298"/>
    </row>
    <row r="39" spans="2:6" x14ac:dyDescent="0.15">
      <c r="B39" s="292" t="s">
        <v>128</v>
      </c>
      <c r="C39" s="321">
        <v>60000</v>
      </c>
      <c r="D39" s="290"/>
      <c r="E39" s="298"/>
    </row>
    <row r="40" spans="2:6" x14ac:dyDescent="0.15">
      <c r="B40" s="292" t="s">
        <v>129</v>
      </c>
      <c r="C40" s="321">
        <v>62800</v>
      </c>
      <c r="D40" s="290"/>
      <c r="E40" s="298"/>
    </row>
    <row r="41" spans="2:6" x14ac:dyDescent="0.15">
      <c r="B41" s="292" t="s">
        <v>74</v>
      </c>
      <c r="C41" s="321">
        <v>3500</v>
      </c>
      <c r="D41" s="290"/>
      <c r="E41" s="298"/>
    </row>
    <row r="42" spans="2:6" x14ac:dyDescent="0.15">
      <c r="B42" s="292" t="s">
        <v>135</v>
      </c>
      <c r="C42" s="321">
        <v>7000</v>
      </c>
      <c r="D42" s="290"/>
      <c r="E42" s="298"/>
    </row>
    <row r="43" spans="2:6" x14ac:dyDescent="0.15">
      <c r="B43" s="292" t="s">
        <v>136</v>
      </c>
      <c r="C43" s="321">
        <v>21000</v>
      </c>
      <c r="D43" s="290"/>
      <c r="E43" s="298"/>
    </row>
    <row r="44" spans="2:6" ht="20" thickBot="1" x14ac:dyDescent="0.2">
      <c r="B44" s="294" t="s">
        <v>137</v>
      </c>
      <c r="C44" s="322">
        <v>3500</v>
      </c>
      <c r="D44" s="290"/>
      <c r="E44" s="298"/>
    </row>
    <row r="45" spans="2:6" x14ac:dyDescent="0.15">
      <c r="B45" s="290"/>
      <c r="C45" s="290"/>
      <c r="D45" s="290"/>
      <c r="E45" s="290"/>
      <c r="F45" s="298"/>
    </row>
    <row r="46" spans="2:6" x14ac:dyDescent="0.15">
      <c r="B46" s="290"/>
      <c r="C46" s="290"/>
      <c r="D46" s="290"/>
      <c r="E46" s="290"/>
      <c r="F46" s="298"/>
    </row>
    <row r="47" spans="2:6" x14ac:dyDescent="0.15">
      <c r="B47" s="290"/>
      <c r="C47" s="290"/>
      <c r="D47" s="290"/>
      <c r="E47" s="290"/>
      <c r="F47" s="298"/>
    </row>
    <row r="48" spans="2:6" x14ac:dyDescent="0.15">
      <c r="B48" s="290"/>
      <c r="C48" s="290"/>
      <c r="D48" s="290"/>
      <c r="E48" s="290"/>
      <c r="F48" s="298"/>
    </row>
  </sheetData>
  <mergeCells count="5">
    <mergeCell ref="C23:D23"/>
    <mergeCell ref="B3:B4"/>
    <mergeCell ref="C3:F3"/>
    <mergeCell ref="B10:B11"/>
    <mergeCell ref="C10:F10"/>
  </mergeCells>
  <pageMargins left="0.75" right="0.75" top="1" bottom="1" header="0.5" footer="0.5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48"/>
  <sheetViews>
    <sheetView showGridLines="0" topLeftCell="A2" zoomScale="223" zoomScaleNormal="140" workbookViewId="0">
      <selection activeCell="F8" sqref="F8:F9"/>
    </sheetView>
  </sheetViews>
  <sheetFormatPr baseColWidth="10" defaultColWidth="9.1640625" defaultRowHeight="19" x14ac:dyDescent="0.15"/>
  <cols>
    <col min="1" max="1" width="9.1640625" style="289"/>
    <col min="2" max="2" width="29" style="289" bestFit="1" customWidth="1"/>
    <col min="3" max="3" width="20.6640625" style="289" customWidth="1"/>
    <col min="4" max="4" width="13.1640625" style="289" customWidth="1"/>
    <col min="5" max="5" width="12.33203125" style="289" bestFit="1" customWidth="1"/>
    <col min="6" max="6" width="11.5" style="289" customWidth="1"/>
    <col min="7" max="7" width="2.6640625" style="289" customWidth="1"/>
    <col min="8" max="8" width="9.1640625" style="289" customWidth="1"/>
    <col min="9" max="9" width="11.83203125" style="289" customWidth="1"/>
    <col min="10" max="10" width="2.6640625" style="289" customWidth="1"/>
    <col min="11" max="16384" width="9.1640625" style="289"/>
  </cols>
  <sheetData>
    <row r="1" spans="2:9" x14ac:dyDescent="0.15">
      <c r="B1" s="289" t="s">
        <v>153</v>
      </c>
    </row>
    <row r="2" spans="2:9" ht="20" thickBot="1" x14ac:dyDescent="0.2"/>
    <row r="3" spans="2:9" x14ac:dyDescent="0.15">
      <c r="B3" s="416" t="s">
        <v>130</v>
      </c>
      <c r="C3" s="419" t="s">
        <v>80</v>
      </c>
      <c r="D3" s="420"/>
      <c r="E3" s="420"/>
      <c r="F3" s="421"/>
    </row>
    <row r="4" spans="2:9" x14ac:dyDescent="0.15">
      <c r="B4" s="417"/>
      <c r="C4" s="295" t="s">
        <v>131</v>
      </c>
      <c r="D4" s="296" t="s">
        <v>132</v>
      </c>
      <c r="E4" s="296" t="s">
        <v>140</v>
      </c>
      <c r="F4" s="297" t="s">
        <v>141</v>
      </c>
      <c r="H4" s="288" t="s">
        <v>150</v>
      </c>
      <c r="I4" s="288" t="s">
        <v>151</v>
      </c>
    </row>
    <row r="5" spans="2:9" x14ac:dyDescent="0.15">
      <c r="B5" s="292" t="s">
        <v>127</v>
      </c>
      <c r="C5" s="293" t="s">
        <v>133</v>
      </c>
      <c r="D5" s="291">
        <v>0.75</v>
      </c>
      <c r="E5" s="302">
        <f>0.005*1000</f>
        <v>5</v>
      </c>
      <c r="F5" s="299">
        <f>E5*D5</f>
        <v>3.75</v>
      </c>
    </row>
    <row r="6" spans="2:9" x14ac:dyDescent="0.15">
      <c r="B6" s="292" t="s">
        <v>128</v>
      </c>
      <c r="C6" s="293" t="s">
        <v>133</v>
      </c>
      <c r="D6" s="291">
        <v>1</v>
      </c>
      <c r="E6" s="324">
        <f>'All. B1-B2-B3 (2)'!E6*(1+'Tab. 6'!I6)</f>
        <v>74.999650000000003</v>
      </c>
      <c r="F6" s="299">
        <f t="shared" ref="F6:F7" si="0">E6*D6</f>
        <v>74.999650000000003</v>
      </c>
      <c r="I6" s="323">
        <v>-0.05</v>
      </c>
    </row>
    <row r="7" spans="2:9" x14ac:dyDescent="0.15">
      <c r="B7" s="292" t="s">
        <v>129</v>
      </c>
      <c r="C7" s="293" t="s">
        <v>133</v>
      </c>
      <c r="D7" s="291">
        <v>1</v>
      </c>
      <c r="E7" s="302">
        <f>0.03*1000</f>
        <v>30</v>
      </c>
      <c r="F7" s="299">
        <f t="shared" si="0"/>
        <v>30</v>
      </c>
    </row>
    <row r="8" spans="2:9" ht="20" thickBot="1" x14ac:dyDescent="0.2">
      <c r="B8" s="294"/>
      <c r="C8" s="300"/>
      <c r="D8" s="300"/>
      <c r="E8" s="300"/>
      <c r="F8" s="301">
        <f>SUM(F5:F7)</f>
        <v>108.74965</v>
      </c>
    </row>
    <row r="9" spans="2:9" ht="41" customHeight="1" thickBot="1" x14ac:dyDescent="0.2">
      <c r="C9" s="288"/>
      <c r="D9" s="288"/>
      <c r="E9" s="288"/>
      <c r="F9" s="288"/>
    </row>
    <row r="10" spans="2:9" x14ac:dyDescent="0.15">
      <c r="B10" s="416" t="s">
        <v>134</v>
      </c>
      <c r="C10" s="419" t="s">
        <v>80</v>
      </c>
      <c r="D10" s="420"/>
      <c r="E10" s="420"/>
      <c r="F10" s="421"/>
    </row>
    <row r="11" spans="2:9" x14ac:dyDescent="0.15">
      <c r="B11" s="417"/>
      <c r="C11" s="295" t="s">
        <v>131</v>
      </c>
      <c r="D11" s="296" t="s">
        <v>132</v>
      </c>
      <c r="E11" s="296" t="s">
        <v>140</v>
      </c>
      <c r="F11" s="297" t="s">
        <v>141</v>
      </c>
    </row>
    <row r="12" spans="2:9" x14ac:dyDescent="0.15">
      <c r="B12" s="292" t="s">
        <v>74</v>
      </c>
      <c r="C12" s="293" t="s">
        <v>133</v>
      </c>
      <c r="D12" s="291">
        <v>0.5</v>
      </c>
      <c r="E12" s="302">
        <f>0.05*1000</f>
        <v>50</v>
      </c>
      <c r="F12" s="299">
        <f>E12*D12</f>
        <v>25</v>
      </c>
    </row>
    <row r="13" spans="2:9" x14ac:dyDescent="0.15">
      <c r="B13" s="292" t="s">
        <v>135</v>
      </c>
      <c r="C13" s="293" t="s">
        <v>138</v>
      </c>
      <c r="D13" s="326">
        <f>ROUND('All. B1-B2-B3 (2)'!D13*(1+'Tab. 6'!H13),0)</f>
        <v>2</v>
      </c>
      <c r="E13" s="302">
        <f>0.015*1000</f>
        <v>15</v>
      </c>
      <c r="F13" s="299">
        <f t="shared" ref="F13:F16" si="1">E13*D13</f>
        <v>30</v>
      </c>
      <c r="H13" s="323">
        <v>-0.1</v>
      </c>
    </row>
    <row r="14" spans="2:9" x14ac:dyDescent="0.15">
      <c r="B14" s="292" t="s">
        <v>129</v>
      </c>
      <c r="C14" s="293" t="s">
        <v>133</v>
      </c>
      <c r="D14" s="291">
        <v>0.8</v>
      </c>
      <c r="E14" s="302">
        <f>0.03*1000</f>
        <v>30</v>
      </c>
      <c r="F14" s="299">
        <f t="shared" si="1"/>
        <v>24</v>
      </c>
    </row>
    <row r="15" spans="2:9" x14ac:dyDescent="0.15">
      <c r="B15" s="292" t="s">
        <v>136</v>
      </c>
      <c r="C15" s="293" t="s">
        <v>139</v>
      </c>
      <c r="D15" s="291">
        <v>3</v>
      </c>
      <c r="E15" s="302">
        <f>0.02*1000</f>
        <v>20</v>
      </c>
      <c r="F15" s="299">
        <f t="shared" si="1"/>
        <v>60</v>
      </c>
    </row>
    <row r="16" spans="2:9" x14ac:dyDescent="0.15">
      <c r="B16" s="292" t="s">
        <v>137</v>
      </c>
      <c r="C16" s="293" t="s">
        <v>139</v>
      </c>
      <c r="D16" s="291">
        <v>1</v>
      </c>
      <c r="E16" s="324">
        <f>'All. B1-B2-B3 (2)'!E16+'Tab. 6'!I16</f>
        <v>50</v>
      </c>
      <c r="F16" s="299">
        <f t="shared" si="1"/>
        <v>50</v>
      </c>
      <c r="I16" s="325">
        <v>5</v>
      </c>
    </row>
    <row r="17" spans="2:8" ht="20" thickBot="1" x14ac:dyDescent="0.2">
      <c r="B17" s="294"/>
      <c r="C17" s="300"/>
      <c r="D17" s="300"/>
      <c r="E17" s="300"/>
      <c r="F17" s="301">
        <f>SUM(F12:F16)</f>
        <v>189</v>
      </c>
    </row>
    <row r="18" spans="2:8" x14ac:dyDescent="0.15">
      <c r="B18" s="290"/>
      <c r="C18" s="290"/>
      <c r="D18" s="290"/>
      <c r="E18" s="290"/>
      <c r="F18" s="298"/>
    </row>
    <row r="19" spans="2:8" x14ac:dyDescent="0.15">
      <c r="B19" s="290"/>
      <c r="C19" s="290"/>
      <c r="D19" s="290"/>
      <c r="E19" s="290"/>
      <c r="F19" s="298"/>
    </row>
    <row r="20" spans="2:8" x14ac:dyDescent="0.15">
      <c r="B20" s="290"/>
      <c r="C20" s="290"/>
      <c r="D20" s="290"/>
      <c r="E20" s="290"/>
      <c r="F20" s="298"/>
    </row>
    <row r="21" spans="2:8" x14ac:dyDescent="0.15">
      <c r="B21" s="289" t="s">
        <v>142</v>
      </c>
      <c r="C21" s="290"/>
      <c r="D21" s="290"/>
      <c r="E21" s="290"/>
      <c r="F21" s="298"/>
    </row>
    <row r="22" spans="2:8" ht="20" thickBot="1" x14ac:dyDescent="0.2">
      <c r="B22" s="290"/>
      <c r="C22" s="290"/>
      <c r="D22" s="290"/>
      <c r="E22" s="290"/>
      <c r="F22" s="298"/>
    </row>
    <row r="23" spans="2:8" x14ac:dyDescent="0.15">
      <c r="B23" s="304"/>
      <c r="C23" s="419" t="s">
        <v>80</v>
      </c>
      <c r="D23" s="421"/>
      <c r="E23" s="290"/>
      <c r="F23" s="298"/>
    </row>
    <row r="24" spans="2:8" ht="38" customHeight="1" x14ac:dyDescent="0.15">
      <c r="B24" s="305"/>
      <c r="C24" s="303" t="s">
        <v>143</v>
      </c>
      <c r="D24" s="297" t="s">
        <v>144</v>
      </c>
      <c r="E24" s="290"/>
      <c r="F24" s="298"/>
    </row>
    <row r="25" spans="2:8" x14ac:dyDescent="0.15">
      <c r="B25" s="292" t="s">
        <v>127</v>
      </c>
      <c r="C25" s="293">
        <v>30</v>
      </c>
      <c r="D25" s="321">
        <v>45000</v>
      </c>
      <c r="E25" s="290"/>
      <c r="F25" s="298"/>
    </row>
    <row r="26" spans="2:8" x14ac:dyDescent="0.15">
      <c r="B26" s="292" t="s">
        <v>128</v>
      </c>
      <c r="C26" s="293">
        <v>15</v>
      </c>
      <c r="D26" s="321">
        <v>60000</v>
      </c>
      <c r="E26" s="290"/>
      <c r="F26" s="298"/>
    </row>
    <row r="27" spans="2:8" x14ac:dyDescent="0.15">
      <c r="B27" s="292" t="s">
        <v>129</v>
      </c>
      <c r="C27" s="293">
        <v>15</v>
      </c>
      <c r="D27" s="321">
        <v>62800</v>
      </c>
      <c r="E27" s="290"/>
      <c r="F27" s="298"/>
    </row>
    <row r="28" spans="2:8" x14ac:dyDescent="0.15">
      <c r="B28" s="292" t="s">
        <v>74</v>
      </c>
      <c r="C28" s="293">
        <v>30</v>
      </c>
      <c r="D28" s="321">
        <v>3500</v>
      </c>
      <c r="E28" s="290"/>
      <c r="F28" s="298"/>
    </row>
    <row r="29" spans="2:8" x14ac:dyDescent="0.15">
      <c r="B29" s="292" t="s">
        <v>135</v>
      </c>
      <c r="C29" s="293">
        <v>30</v>
      </c>
      <c r="D29" s="330">
        <f>'All. B1-B2-B3 (2)'!D29*(1+'Tab. 6'!H29)</f>
        <v>7000.0019999999995</v>
      </c>
      <c r="E29" s="290"/>
      <c r="F29" s="298"/>
      <c r="H29" s="323">
        <v>-0.1</v>
      </c>
    </row>
    <row r="30" spans="2:8" x14ac:dyDescent="0.15">
      <c r="B30" s="292" t="s">
        <v>136</v>
      </c>
      <c r="C30" s="293">
        <v>30</v>
      </c>
      <c r="D30" s="321">
        <v>21000</v>
      </c>
      <c r="E30" s="290"/>
      <c r="F30" s="298"/>
    </row>
    <row r="31" spans="2:8" ht="20" thickBot="1" x14ac:dyDescent="0.2">
      <c r="B31" s="294" t="s">
        <v>137</v>
      </c>
      <c r="C31" s="300">
        <v>30</v>
      </c>
      <c r="D31" s="322">
        <v>3500</v>
      </c>
      <c r="E31" s="290"/>
      <c r="F31" s="298"/>
    </row>
    <row r="32" spans="2:8" x14ac:dyDescent="0.15">
      <c r="B32" s="290"/>
      <c r="C32" s="290"/>
      <c r="D32" s="290"/>
      <c r="E32" s="290"/>
      <c r="F32" s="298"/>
    </row>
    <row r="33" spans="2:6" x14ac:dyDescent="0.15">
      <c r="B33" s="290"/>
      <c r="C33" s="290"/>
      <c r="D33" s="290"/>
      <c r="E33" s="290"/>
      <c r="F33" s="298"/>
    </row>
    <row r="34" spans="2:6" x14ac:dyDescent="0.15">
      <c r="B34" s="290"/>
      <c r="C34" s="290"/>
      <c r="D34" s="290"/>
      <c r="E34" s="290"/>
      <c r="F34" s="298"/>
    </row>
    <row r="35" spans="2:6" x14ac:dyDescent="0.15">
      <c r="B35" s="289" t="s">
        <v>145</v>
      </c>
      <c r="C35" s="290"/>
      <c r="D35" s="290"/>
      <c r="E35" s="290"/>
      <c r="F35" s="298"/>
    </row>
    <row r="36" spans="2:6" ht="20" thickBot="1" x14ac:dyDescent="0.2">
      <c r="B36" s="290"/>
      <c r="C36" s="290"/>
      <c r="D36" s="290"/>
      <c r="E36" s="290"/>
      <c r="F36" s="298"/>
    </row>
    <row r="37" spans="2:6" x14ac:dyDescent="0.15">
      <c r="B37" s="304"/>
      <c r="C37" s="327" t="s">
        <v>80</v>
      </c>
      <c r="D37" s="290"/>
      <c r="E37" s="298"/>
    </row>
    <row r="38" spans="2:6" x14ac:dyDescent="0.15">
      <c r="B38" s="292" t="s">
        <v>127</v>
      </c>
      <c r="C38" s="321">
        <v>49000</v>
      </c>
      <c r="D38" s="290"/>
      <c r="E38" s="298"/>
    </row>
    <row r="39" spans="2:6" x14ac:dyDescent="0.15">
      <c r="B39" s="292" t="s">
        <v>128</v>
      </c>
      <c r="C39" s="321">
        <v>60000</v>
      </c>
      <c r="D39" s="290"/>
      <c r="E39" s="298"/>
    </row>
    <row r="40" spans="2:6" x14ac:dyDescent="0.15">
      <c r="B40" s="292" t="s">
        <v>129</v>
      </c>
      <c r="C40" s="321">
        <v>62800</v>
      </c>
      <c r="D40" s="290"/>
      <c r="E40" s="298"/>
    </row>
    <row r="41" spans="2:6" x14ac:dyDescent="0.15">
      <c r="B41" s="292" t="s">
        <v>74</v>
      </c>
      <c r="C41" s="321">
        <v>3500</v>
      </c>
      <c r="D41" s="290"/>
      <c r="E41" s="298"/>
    </row>
    <row r="42" spans="2:6" x14ac:dyDescent="0.15">
      <c r="B42" s="292" t="s">
        <v>135</v>
      </c>
      <c r="C42" s="321">
        <v>7000</v>
      </c>
      <c r="D42" s="290"/>
      <c r="E42" s="298"/>
    </row>
    <row r="43" spans="2:6" x14ac:dyDescent="0.15">
      <c r="B43" s="292" t="s">
        <v>136</v>
      </c>
      <c r="C43" s="321">
        <v>21000</v>
      </c>
      <c r="D43" s="290"/>
      <c r="E43" s="298"/>
    </row>
    <row r="44" spans="2:6" ht="20" thickBot="1" x14ac:dyDescent="0.2">
      <c r="B44" s="294" t="s">
        <v>137</v>
      </c>
      <c r="C44" s="322">
        <v>3500</v>
      </c>
      <c r="D44" s="290"/>
      <c r="E44" s="298"/>
    </row>
    <row r="45" spans="2:6" x14ac:dyDescent="0.15">
      <c r="B45" s="290"/>
      <c r="C45" s="290"/>
      <c r="D45" s="290"/>
      <c r="E45" s="290"/>
      <c r="F45" s="298"/>
    </row>
    <row r="46" spans="2:6" x14ac:dyDescent="0.15">
      <c r="B46" s="290"/>
      <c r="C46" s="290"/>
      <c r="D46" s="290"/>
      <c r="E46" s="290"/>
      <c r="F46" s="298"/>
    </row>
    <row r="47" spans="2:6" x14ac:dyDescent="0.15">
      <c r="B47" s="290"/>
      <c r="C47" s="290"/>
      <c r="D47" s="290"/>
      <c r="E47" s="290"/>
      <c r="F47" s="298"/>
    </row>
    <row r="48" spans="2:6" x14ac:dyDescent="0.15">
      <c r="B48" s="290"/>
      <c r="C48" s="290"/>
      <c r="D48" s="290"/>
      <c r="E48" s="290"/>
      <c r="F48" s="298"/>
    </row>
  </sheetData>
  <mergeCells count="5">
    <mergeCell ref="C3:F3"/>
    <mergeCell ref="B3:B4"/>
    <mergeCell ref="B10:B11"/>
    <mergeCell ref="C10:F10"/>
    <mergeCell ref="C23:D23"/>
  </mergeCells>
  <phoneticPr fontId="4" type="noConversion"/>
  <pageMargins left="0.75" right="0.75" top="1" bottom="1" header="0.5" footer="0.5"/>
  <pageSetup paperSize="9" scale="67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B70EB-2C20-7349-B059-1C993E213A2F}">
  <sheetPr>
    <pageSetUpPr fitToPage="1"/>
  </sheetPr>
  <dimension ref="B2:Q69"/>
  <sheetViews>
    <sheetView showGridLines="0" tabSelected="1" topLeftCell="A48" zoomScale="178" zoomScaleNormal="170" workbookViewId="0">
      <selection activeCell="D51" sqref="D51"/>
    </sheetView>
  </sheetViews>
  <sheetFormatPr baseColWidth="10" defaultRowHeight="13" x14ac:dyDescent="0.15"/>
  <cols>
    <col min="2" max="2" width="29" bestFit="1" customWidth="1"/>
    <col min="16" max="16" width="2.1640625" customWidth="1"/>
  </cols>
  <sheetData>
    <row r="2" spans="2:17" ht="16" x14ac:dyDescent="0.15">
      <c r="B2" s="77" t="s">
        <v>152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2:17" x14ac:dyDescent="0.15"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2:17" ht="14" thickBot="1" x14ac:dyDescent="0.2"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2:17" ht="16" x14ac:dyDescent="0.15">
      <c r="B5" s="256"/>
      <c r="C5" s="410" t="s">
        <v>80</v>
      </c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9"/>
      <c r="Q5" s="317" t="s">
        <v>124</v>
      </c>
    </row>
    <row r="6" spans="2:17" ht="16" x14ac:dyDescent="0.15">
      <c r="B6" s="266"/>
      <c r="C6" s="264" t="s">
        <v>95</v>
      </c>
      <c r="D6" s="264" t="s">
        <v>96</v>
      </c>
      <c r="E6" s="264" t="s">
        <v>97</v>
      </c>
      <c r="F6" s="264" t="s">
        <v>98</v>
      </c>
      <c r="G6" s="264" t="s">
        <v>99</v>
      </c>
      <c r="H6" s="264" t="s">
        <v>100</v>
      </c>
      <c r="I6" s="264" t="s">
        <v>101</v>
      </c>
      <c r="J6" s="264" t="s">
        <v>102</v>
      </c>
      <c r="K6" s="264" t="s">
        <v>103</v>
      </c>
      <c r="L6" s="264" t="s">
        <v>104</v>
      </c>
      <c r="M6" s="264" t="s">
        <v>105</v>
      </c>
      <c r="N6" s="264" t="s">
        <v>106</v>
      </c>
      <c r="O6" s="269" t="s">
        <v>63</v>
      </c>
      <c r="Q6" s="318" t="s">
        <v>95</v>
      </c>
    </row>
    <row r="7" spans="2:17" ht="16" x14ac:dyDescent="0.15">
      <c r="B7" s="307" t="s">
        <v>127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5"/>
      <c r="Q7" s="156"/>
    </row>
    <row r="8" spans="2:17" ht="16" x14ac:dyDescent="0.15">
      <c r="B8" s="309" t="s">
        <v>116</v>
      </c>
      <c r="C8" s="308">
        <f>VLOOKUP(B7,'Tab. 6'!$B$38:$C$44,2,0)</f>
        <v>49000</v>
      </c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5"/>
      <c r="Q8" s="156"/>
    </row>
    <row r="9" spans="2:17" ht="16" x14ac:dyDescent="0.15">
      <c r="B9" s="309" t="s">
        <v>146</v>
      </c>
      <c r="C9" s="308">
        <f>VLOOKUP(B7,'Tab. 6'!$B$25:$D$31,2,0)</f>
        <v>30</v>
      </c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5"/>
      <c r="Q9" s="156"/>
    </row>
    <row r="10" spans="2:17" ht="16" x14ac:dyDescent="0.15">
      <c r="B10" s="309" t="s">
        <v>147</v>
      </c>
      <c r="C10" s="308">
        <f>VLOOKUP(B7,'Tab. 6'!$B$25:$D$31,3,0)</f>
        <v>45000</v>
      </c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5"/>
      <c r="Q10" s="156"/>
    </row>
    <row r="11" spans="2:17" ht="16" x14ac:dyDescent="0.15">
      <c r="B11" s="147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5"/>
      <c r="Q11" s="156"/>
    </row>
    <row r="12" spans="2:17" ht="16" x14ac:dyDescent="0.15">
      <c r="B12" s="147" t="s">
        <v>115</v>
      </c>
      <c r="C12" s="274">
        <f>+C8</f>
        <v>49000</v>
      </c>
      <c r="D12" s="258">
        <f>+C14</f>
        <v>45751.950579015094</v>
      </c>
      <c r="E12" s="258">
        <f t="shared" ref="E12:N12" si="0">+D14</f>
        <v>45751.950579015102</v>
      </c>
      <c r="F12" s="258">
        <f t="shared" si="0"/>
        <v>47930.614892301528</v>
      </c>
      <c r="G12" s="258">
        <f t="shared" si="0"/>
        <v>47930.614892301535</v>
      </c>
      <c r="H12" s="258">
        <f t="shared" si="0"/>
        <v>45000</v>
      </c>
      <c r="I12" s="258">
        <f t="shared" si="0"/>
        <v>47930.614892301528</v>
      </c>
      <c r="J12" s="258">
        <f t="shared" si="0"/>
        <v>45751.950579015094</v>
      </c>
      <c r="K12" s="258">
        <f t="shared" si="0"/>
        <v>45751.950579015102</v>
      </c>
      <c r="L12" s="258">
        <f t="shared" si="0"/>
        <v>45000</v>
      </c>
      <c r="M12" s="258">
        <f t="shared" si="0"/>
        <v>45000</v>
      </c>
      <c r="N12" s="258">
        <f t="shared" si="0"/>
        <v>45000</v>
      </c>
      <c r="O12" s="165"/>
      <c r="Q12" s="319"/>
    </row>
    <row r="13" spans="2:17" ht="16" x14ac:dyDescent="0.15">
      <c r="B13" s="267" t="s">
        <v>148</v>
      </c>
      <c r="C13" s="258">
        <f>IFERROR(VLOOKUP($B7,'Tab. 6'!$B$5:$D$7,3,0),0)*'Tab 5'!C$15+IFERROR(VLOOKUP($B7,'Tab. 6'!$B$12:$D$16,3,0),0)*'Tab 5'!C$28</f>
        <v>39148.523110472415</v>
      </c>
      <c r="D13" s="258">
        <f>IFERROR(VLOOKUP($B7,'Tab. 6'!$B$5:$D$7,3,0),0)*'Tab 5'!D$15+IFERROR(VLOOKUP($B7,'Tab. 6'!$B$12:$D$16,3,0),0)*'Tab 5'!D$28</f>
        <v>45751.950579015094</v>
      </c>
      <c r="E13" s="258">
        <f>IFERROR(VLOOKUP($B7,'Tab. 6'!$B$5:$D$7,3,0),0)*'Tab 5'!E$15+IFERROR(VLOOKUP($B7,'Tab. 6'!$B$12:$D$16,3,0),0)*'Tab 5'!E$28</f>
        <v>45751.950579015102</v>
      </c>
      <c r="F13" s="258">
        <f>IFERROR(VLOOKUP($B7,'Tab. 6'!$B$5:$D$7,3,0),0)*'Tab 5'!F$15+IFERROR(VLOOKUP($B7,'Tab. 6'!$B$12:$D$16,3,0),0)*'Tab 5'!F$28</f>
        <v>47930.614892301528</v>
      </c>
      <c r="G13" s="258">
        <f>IFERROR(VLOOKUP($B7,'Tab. 6'!$B$5:$D$7,3,0),0)*'Tab 5'!G$15+IFERROR(VLOOKUP($B7,'Tab. 6'!$B$12:$D$16,3,0),0)*'Tab 5'!G$28</f>
        <v>47930.614892301535</v>
      </c>
      <c r="H13" s="258">
        <f>IFERROR(VLOOKUP($B7,'Tab. 6'!$B$5:$D$7,3,0),0)*'Tab 5'!H$15+IFERROR(VLOOKUP($B7,'Tab. 6'!$B$12:$D$16,3,0),0)*'Tab 5'!H$28</f>
        <v>26143.971759437198</v>
      </c>
      <c r="I13" s="258">
        <f>IFERROR(VLOOKUP($B7,'Tab. 6'!$B$5:$D$7,3,0),0)*'Tab 5'!I$15+IFERROR(VLOOKUP($B7,'Tab. 6'!$B$12:$D$16,3,0),0)*'Tab 5'!I$28</f>
        <v>47930.614892301528</v>
      </c>
      <c r="J13" s="258">
        <f>IFERROR(VLOOKUP($B7,'Tab. 6'!$B$5:$D$7,3,0),0)*'Tab 5'!J$15+IFERROR(VLOOKUP($B7,'Tab. 6'!$B$12:$D$16,3,0),0)*'Tab 5'!J$28</f>
        <v>45751.950579015094</v>
      </c>
      <c r="K13" s="258">
        <f>IFERROR(VLOOKUP($B7,'Tab. 6'!$B$5:$D$7,3,0),0)*'Tab 5'!K$15+IFERROR(VLOOKUP($B7,'Tab. 6'!$B$12:$D$16,3,0),0)*'Tab 5'!K$28</f>
        <v>45751.950579015102</v>
      </c>
      <c r="L13" s="258">
        <f>IFERROR(VLOOKUP($B7,'Tab. 6'!$B$5:$D$7,3,0),0)*'Tab 5'!L$15+IFERROR(VLOOKUP($B7,'Tab. 6'!$B$12:$D$16,3,0),0)*'Tab 5'!L$28</f>
        <v>26143.971759437194</v>
      </c>
      <c r="M13" s="258">
        <f>IFERROR(VLOOKUP($B7,'Tab. 6'!$B$5:$D$7,3,0),0)*'Tab 5'!M$15+IFERROR(VLOOKUP($B7,'Tab. 6'!$B$12:$D$16,3,0),0)*'Tab 5'!M$28</f>
        <v>38522.594289811255</v>
      </c>
      <c r="N13" s="258">
        <f>IFERROR(VLOOKUP($B7,'Tab. 6'!$B$5:$D$7,3,0),0)*'Tab 5'!N$15+IFERROR(VLOOKUP($B7,'Tab. 6'!$B$12:$D$16,3,0),0)*'Tab 5'!N$28</f>
        <v>42802.88254423473</v>
      </c>
      <c r="O13" s="165">
        <f>SUM(C13:N13)</f>
        <v>499561.59045635769</v>
      </c>
      <c r="Q13" s="319">
        <f>IFERROR(VLOOKUP($B7,'Tab. 6'!$B$5:$D$7,3,0),0)*'Tab 5'!Q$15+IFERROR(VLOOKUP($B7,'Tab. 6'!$B$12:$D$16,3,0),0)*'Tab 5'!Q$28</f>
        <v>49223.314925869949</v>
      </c>
    </row>
    <row r="14" spans="2:17" ht="17" thickBot="1" x14ac:dyDescent="0.2">
      <c r="B14" s="267" t="s">
        <v>120</v>
      </c>
      <c r="C14" s="258">
        <f>+IF(D13&gt;=$C10,D13,$C10)</f>
        <v>45751.950579015094</v>
      </c>
      <c r="D14" s="258">
        <f t="shared" ref="D14:G14" si="1">+IF(E13&gt;=$C10,E13,$C10)</f>
        <v>45751.950579015102</v>
      </c>
      <c r="E14" s="258">
        <f t="shared" si="1"/>
        <v>47930.614892301528</v>
      </c>
      <c r="F14" s="258">
        <f t="shared" si="1"/>
        <v>47930.614892301535</v>
      </c>
      <c r="G14" s="258">
        <f t="shared" si="1"/>
        <v>45000</v>
      </c>
      <c r="H14" s="258">
        <f>+IF(I13&gt;=$C10,I13,$C10)</f>
        <v>47930.614892301528</v>
      </c>
      <c r="I14" s="258">
        <f>+IF(J13&gt;=$C10,J13,$C10)</f>
        <v>45751.950579015094</v>
      </c>
      <c r="J14" s="258">
        <f>+IF(K13&gt;=$C10,K13,$C10)</f>
        <v>45751.950579015102</v>
      </c>
      <c r="K14" s="258">
        <f>+IF(L13&gt;=$C10,L13,$C10)</f>
        <v>45000</v>
      </c>
      <c r="L14" s="258">
        <f>+IF(M13&gt;=$C10,M13,$C10)</f>
        <v>45000</v>
      </c>
      <c r="M14" s="258">
        <f t="shared" ref="M14" si="2">+IF(N13&gt;=$C10,N13,$C10)</f>
        <v>45000</v>
      </c>
      <c r="N14" s="258">
        <f>+IF(Q13&gt;=$C10,Q13,$C10)</f>
        <v>49223.314925869949</v>
      </c>
      <c r="O14" s="165"/>
      <c r="Q14" s="320"/>
    </row>
    <row r="15" spans="2:17" ht="17" thickBot="1" x14ac:dyDescent="0.2">
      <c r="B15" s="268" t="s">
        <v>149</v>
      </c>
      <c r="C15" s="263">
        <f>(C14-C12+C13)</f>
        <v>35900.47368948751</v>
      </c>
      <c r="D15" s="263">
        <f t="shared" ref="D15:N15" si="3">(D14-D12+D13)</f>
        <v>45751.950579015102</v>
      </c>
      <c r="E15" s="263">
        <f t="shared" si="3"/>
        <v>47930.614892301528</v>
      </c>
      <c r="F15" s="263">
        <f t="shared" si="3"/>
        <v>47930.614892301535</v>
      </c>
      <c r="G15" s="263">
        <f t="shared" si="3"/>
        <v>45000</v>
      </c>
      <c r="H15" s="263">
        <f>(H14-H12+H13)</f>
        <v>29074.586651738726</v>
      </c>
      <c r="I15" s="263">
        <f t="shared" si="3"/>
        <v>45751.950579015094</v>
      </c>
      <c r="J15" s="263">
        <f t="shared" si="3"/>
        <v>45751.950579015102</v>
      </c>
      <c r="K15" s="263">
        <f t="shared" si="3"/>
        <v>45000</v>
      </c>
      <c r="L15" s="263">
        <f t="shared" si="3"/>
        <v>26143.971759437194</v>
      </c>
      <c r="M15" s="263">
        <f t="shared" si="3"/>
        <v>38522.594289811255</v>
      </c>
      <c r="N15" s="263">
        <f t="shared" si="3"/>
        <v>47026.197470104678</v>
      </c>
      <c r="O15" s="273">
        <f>SUM(C15:N15)</f>
        <v>499784.90538222773</v>
      </c>
    </row>
    <row r="16" spans="2:17" ht="16" x14ac:dyDescent="0.15">
      <c r="B16" s="307" t="s">
        <v>128</v>
      </c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5"/>
      <c r="Q16" s="155"/>
    </row>
    <row r="17" spans="2:17" ht="16" x14ac:dyDescent="0.15">
      <c r="B17" s="309" t="s">
        <v>116</v>
      </c>
      <c r="C17" s="308">
        <f>VLOOKUP(B16,'Tab. 6'!$B$38:$C$44,2,0)</f>
        <v>60000</v>
      </c>
      <c r="D17" s="260"/>
      <c r="E17" s="260"/>
      <c r="F17" s="260"/>
      <c r="G17" s="260"/>
      <c r="H17" s="337"/>
      <c r="I17" s="337"/>
      <c r="J17" s="260"/>
      <c r="K17" s="260"/>
      <c r="L17" s="260"/>
      <c r="M17" s="260"/>
      <c r="N17" s="260"/>
      <c r="O17" s="265"/>
      <c r="Q17" s="156"/>
    </row>
    <row r="18" spans="2:17" ht="16" x14ac:dyDescent="0.15">
      <c r="B18" s="309" t="s">
        <v>146</v>
      </c>
      <c r="C18" s="308">
        <f>VLOOKUP(B16,'Tab. 6'!$B$25:$D$31,2,0)</f>
        <v>15</v>
      </c>
      <c r="D18" s="260"/>
      <c r="E18" s="260"/>
      <c r="F18" s="260"/>
      <c r="G18" s="260"/>
      <c r="H18" s="337"/>
      <c r="I18" s="260"/>
      <c r="J18" s="260"/>
      <c r="K18" s="260"/>
      <c r="L18" s="260"/>
      <c r="M18" s="260"/>
      <c r="N18" s="260"/>
      <c r="O18" s="265"/>
      <c r="Q18" s="156"/>
    </row>
    <row r="19" spans="2:17" ht="16" x14ac:dyDescent="0.15">
      <c r="B19" s="309" t="s">
        <v>147</v>
      </c>
      <c r="C19" s="308">
        <f>VLOOKUP(B16,'Tab. 6'!$B$25:$D$31,3,0)</f>
        <v>60000</v>
      </c>
      <c r="D19" s="260"/>
      <c r="E19" s="260"/>
      <c r="F19" s="260"/>
      <c r="G19" s="260"/>
      <c r="H19" s="337"/>
      <c r="I19" s="260"/>
      <c r="J19" s="260"/>
      <c r="K19" s="260"/>
      <c r="L19" s="260"/>
      <c r="M19" s="260"/>
      <c r="N19" s="260"/>
      <c r="O19" s="265"/>
      <c r="Q19" s="156"/>
    </row>
    <row r="20" spans="2:17" ht="16" x14ac:dyDescent="0.15">
      <c r="B20" s="147"/>
      <c r="C20" s="260"/>
      <c r="D20" s="260"/>
      <c r="E20" s="260"/>
      <c r="F20" s="260"/>
      <c r="G20" s="260"/>
      <c r="H20" s="337"/>
      <c r="I20" s="260"/>
      <c r="J20" s="260"/>
      <c r="K20" s="260"/>
      <c r="L20" s="260"/>
      <c r="M20" s="260"/>
      <c r="N20" s="260"/>
      <c r="O20" s="265"/>
      <c r="Q20" s="156"/>
    </row>
    <row r="21" spans="2:17" ht="16" x14ac:dyDescent="0.15">
      <c r="B21" s="147" t="s">
        <v>115</v>
      </c>
      <c r="C21" s="274">
        <f>+C17</f>
        <v>60000</v>
      </c>
      <c r="D21" s="258">
        <f>+C23</f>
        <v>60000</v>
      </c>
      <c r="E21" s="258">
        <f t="shared" ref="E21" si="4">+D23</f>
        <v>60000</v>
      </c>
      <c r="F21" s="258">
        <f t="shared" ref="F21" si="5">+E23</f>
        <v>60000</v>
      </c>
      <c r="G21" s="258">
        <f t="shared" ref="G21" si="6">+F23</f>
        <v>60000</v>
      </c>
      <c r="H21" s="258">
        <f t="shared" ref="H21" si="7">+G23</f>
        <v>60000</v>
      </c>
      <c r="I21" s="258">
        <f t="shared" ref="I21" si="8">+H23</f>
        <v>60000</v>
      </c>
      <c r="J21" s="258">
        <f t="shared" ref="J21" si="9">+I23</f>
        <v>60000</v>
      </c>
      <c r="K21" s="258">
        <f t="shared" ref="K21" si="10">+J23</f>
        <v>60000</v>
      </c>
      <c r="L21" s="258">
        <f t="shared" ref="L21" si="11">+K23</f>
        <v>60000</v>
      </c>
      <c r="M21" s="258">
        <f t="shared" ref="M21" si="12">+L23</f>
        <v>60000</v>
      </c>
      <c r="N21" s="258">
        <f t="shared" ref="N21" si="13">+M23</f>
        <v>60000</v>
      </c>
      <c r="O21" s="165"/>
      <c r="Q21" s="319"/>
    </row>
    <row r="22" spans="2:17" ht="16" x14ac:dyDescent="0.15">
      <c r="B22" s="267" t="s">
        <v>148</v>
      </c>
      <c r="C22" s="258">
        <f>IFERROR(VLOOKUP($B16,'Tab. 6'!$B$5:$D$7,3,0),0)*'Tab 5'!C$15+IFERROR(VLOOKUP($B16,'Tab. 6'!$B$12:$D$16,3,0),0)*'Tab 5'!C$28</f>
        <v>52198.030813963218</v>
      </c>
      <c r="D22" s="258">
        <f>IFERROR(VLOOKUP($B16,'Tab. 6'!$B$5:$D$7,3,0),0)*'Tab 5'!D$15+IFERROR(VLOOKUP($B16,'Tab. 6'!$B$12:$D$16,3,0),0)*'Tab 5'!D$28</f>
        <v>61002.600772020123</v>
      </c>
      <c r="E22" s="258">
        <f>IFERROR(VLOOKUP($B16,'Tab. 6'!$B$5:$D$7,3,0),0)*'Tab 5'!E$15+IFERROR(VLOOKUP($B16,'Tab. 6'!$B$12:$D$16,3,0),0)*'Tab 5'!E$28</f>
        <v>61002.600772020131</v>
      </c>
      <c r="F22" s="258">
        <f>IFERROR(VLOOKUP($B16,'Tab. 6'!$B$5:$D$7,3,0),0)*'Tab 5'!F$15+IFERROR(VLOOKUP($B16,'Tab. 6'!$B$12:$D$16,3,0),0)*'Tab 5'!F$28</f>
        <v>63907.486523068699</v>
      </c>
      <c r="G22" s="258">
        <f>IFERROR(VLOOKUP($B16,'Tab. 6'!$B$5:$D$7,3,0),0)*'Tab 5'!G$15+IFERROR(VLOOKUP($B16,'Tab. 6'!$B$12:$D$16,3,0),0)*'Tab 5'!G$28</f>
        <v>63907.486523068714</v>
      </c>
      <c r="H22" s="258">
        <f>IFERROR(VLOOKUP($B16,'Tab. 6'!$B$5:$D$7,3,0),0)*'Tab 5'!H$15+IFERROR(VLOOKUP($B16,'Tab. 6'!$B$12:$D$16,3,0),0)*'Tab 5'!H$28</f>
        <v>34858.629012582933</v>
      </c>
      <c r="I22" s="258">
        <f>IFERROR(VLOOKUP($B16,'Tab. 6'!$B$5:$D$7,3,0),0)*'Tab 5'!I$15+IFERROR(VLOOKUP($B16,'Tab. 6'!$B$12:$D$16,3,0),0)*'Tab 5'!I$28</f>
        <v>63907.486523068706</v>
      </c>
      <c r="J22" s="258">
        <f>IFERROR(VLOOKUP($B16,'Tab. 6'!$B$5:$D$7,3,0),0)*'Tab 5'!J$15+IFERROR(VLOOKUP($B16,'Tab. 6'!$B$12:$D$16,3,0),0)*'Tab 5'!J$28</f>
        <v>61002.600772020123</v>
      </c>
      <c r="K22" s="258">
        <f>IFERROR(VLOOKUP($B16,'Tab. 6'!$B$5:$D$7,3,0),0)*'Tab 5'!K$15+IFERROR(VLOOKUP($B16,'Tab. 6'!$B$12:$D$16,3,0),0)*'Tab 5'!K$28</f>
        <v>61002.600772020138</v>
      </c>
      <c r="L22" s="258">
        <f>IFERROR(VLOOKUP($B16,'Tab. 6'!$B$5:$D$7,3,0),0)*'Tab 5'!L$15+IFERROR(VLOOKUP($B16,'Tab. 6'!$B$12:$D$16,3,0),0)*'Tab 5'!L$28</f>
        <v>34858.629012582925</v>
      </c>
      <c r="M22" s="258">
        <f>IFERROR(VLOOKUP($B16,'Tab. 6'!$B$5:$D$7,3,0),0)*'Tab 5'!M$15+IFERROR(VLOOKUP($B16,'Tab. 6'!$B$12:$D$16,3,0),0)*'Tab 5'!M$28</f>
        <v>51363.459053081679</v>
      </c>
      <c r="N22" s="258">
        <f>IFERROR(VLOOKUP($B16,'Tab. 6'!$B$5:$D$7,3,0),0)*'Tab 5'!N$15+IFERROR(VLOOKUP($B16,'Tab. 6'!$B$12:$D$16,3,0),0)*'Tab 5'!N$28</f>
        <v>57070.510058979642</v>
      </c>
      <c r="O22" s="165">
        <f>SUM(C22:N22)</f>
        <v>666082.12060847692</v>
      </c>
      <c r="Q22" s="319">
        <f>IFERROR(VLOOKUP($B16,'Tab. 6'!$B$5:$D$7,3,0),0)*'Tab 5'!Q$15+IFERROR(VLOOKUP($B16,'Tab. 6'!$B$12:$D$16,3,0),0)*'Tab 5'!Q$28</f>
        <v>65631.086567826598</v>
      </c>
    </row>
    <row r="23" spans="2:17" ht="17" thickBot="1" x14ac:dyDescent="0.2">
      <c r="B23" s="267" t="s">
        <v>120</v>
      </c>
      <c r="C23" s="258">
        <f>+IF(D22/2&gt;=$C19,D22/2,$C19)</f>
        <v>60000</v>
      </c>
      <c r="D23" s="258">
        <f t="shared" ref="D23:M23" si="14">+IF(E22/2&gt;=$C19,E22/2,$C19)</f>
        <v>60000</v>
      </c>
      <c r="E23" s="258">
        <f t="shared" si="14"/>
        <v>60000</v>
      </c>
      <c r="F23" s="258">
        <f t="shared" si="14"/>
        <v>60000</v>
      </c>
      <c r="G23" s="258">
        <f t="shared" si="14"/>
        <v>60000</v>
      </c>
      <c r="H23" s="258">
        <f t="shared" si="14"/>
        <v>60000</v>
      </c>
      <c r="I23" s="258">
        <f t="shared" si="14"/>
        <v>60000</v>
      </c>
      <c r="J23" s="258">
        <f t="shared" si="14"/>
        <v>60000</v>
      </c>
      <c r="K23" s="258">
        <f t="shared" si="14"/>
        <v>60000</v>
      </c>
      <c r="L23" s="258">
        <f t="shared" si="14"/>
        <v>60000</v>
      </c>
      <c r="M23" s="258">
        <f t="shared" si="14"/>
        <v>60000</v>
      </c>
      <c r="N23" s="258">
        <f>+IF(Q22/2&gt;=$C19,Q22/2,$C19)</f>
        <v>60000</v>
      </c>
      <c r="O23" s="165"/>
      <c r="Q23" s="320"/>
    </row>
    <row r="24" spans="2:17" ht="17" thickBot="1" x14ac:dyDescent="0.2">
      <c r="B24" s="268" t="s">
        <v>149</v>
      </c>
      <c r="C24" s="263">
        <f>(C23-C21+C22)</f>
        <v>52198.030813963218</v>
      </c>
      <c r="D24" s="263">
        <f t="shared" ref="D24:N24" si="15">(D23-D21+D22)</f>
        <v>61002.600772020123</v>
      </c>
      <c r="E24" s="263">
        <f t="shared" si="15"/>
        <v>61002.600772020131</v>
      </c>
      <c r="F24" s="263">
        <f t="shared" si="15"/>
        <v>63907.486523068699</v>
      </c>
      <c r="G24" s="263">
        <f t="shared" si="15"/>
        <v>63907.486523068714</v>
      </c>
      <c r="H24" s="263">
        <f t="shared" si="15"/>
        <v>34858.629012582933</v>
      </c>
      <c r="I24" s="263">
        <f t="shared" si="15"/>
        <v>63907.486523068706</v>
      </c>
      <c r="J24" s="263">
        <f t="shared" si="15"/>
        <v>61002.600772020123</v>
      </c>
      <c r="K24" s="263">
        <f t="shared" si="15"/>
        <v>61002.600772020138</v>
      </c>
      <c r="L24" s="263">
        <f t="shared" si="15"/>
        <v>34858.629012582925</v>
      </c>
      <c r="M24" s="263">
        <f t="shared" si="15"/>
        <v>51363.459053081679</v>
      </c>
      <c r="N24" s="263">
        <f t="shared" si="15"/>
        <v>57070.510058979642</v>
      </c>
      <c r="O24" s="273">
        <f>SUM(C24:N24)</f>
        <v>666082.12060847692</v>
      </c>
    </row>
    <row r="25" spans="2:17" ht="16" x14ac:dyDescent="0.15">
      <c r="B25" s="307" t="s">
        <v>129</v>
      </c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5"/>
      <c r="Q25" s="155"/>
    </row>
    <row r="26" spans="2:17" ht="16" x14ac:dyDescent="0.15">
      <c r="B26" s="309" t="s">
        <v>116</v>
      </c>
      <c r="C26" s="308">
        <f>VLOOKUP(B25,'Tab. 6'!$B$38:$C$44,2,0)</f>
        <v>62800</v>
      </c>
      <c r="D26" s="260"/>
      <c r="E26" s="260"/>
      <c r="F26" s="260"/>
      <c r="G26" s="260"/>
      <c r="H26" s="260"/>
      <c r="I26" s="260"/>
      <c r="J26" s="260"/>
      <c r="K26" s="260"/>
      <c r="L26" s="260"/>
      <c r="M26" s="260"/>
      <c r="N26" s="260"/>
      <c r="O26" s="265"/>
      <c r="Q26" s="156"/>
    </row>
    <row r="27" spans="2:17" ht="16" x14ac:dyDescent="0.15">
      <c r="B27" s="309" t="s">
        <v>146</v>
      </c>
      <c r="C27" s="308">
        <f>VLOOKUP(B25,'Tab. 6'!$B$25:$D$31,2,0)</f>
        <v>15</v>
      </c>
      <c r="D27" s="260"/>
      <c r="E27" s="260"/>
      <c r="F27" s="260"/>
      <c r="G27" s="260"/>
      <c r="H27" s="260"/>
      <c r="I27" s="260"/>
      <c r="J27" s="260"/>
      <c r="K27" s="260"/>
      <c r="L27" s="260"/>
      <c r="M27" s="260"/>
      <c r="N27" s="260"/>
      <c r="O27" s="265"/>
      <c r="Q27" s="156"/>
    </row>
    <row r="28" spans="2:17" ht="16" x14ac:dyDescent="0.15">
      <c r="B28" s="309" t="s">
        <v>147</v>
      </c>
      <c r="C28" s="308">
        <f>VLOOKUP(B25,'Tab. 6'!$B$25:$D$31,3,0)</f>
        <v>62800</v>
      </c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5"/>
      <c r="Q28" s="156"/>
    </row>
    <row r="29" spans="2:17" ht="16" x14ac:dyDescent="0.15">
      <c r="B29" s="147"/>
      <c r="C29" s="260"/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5"/>
      <c r="Q29" s="156"/>
    </row>
    <row r="30" spans="2:17" ht="16" x14ac:dyDescent="0.15">
      <c r="B30" s="147" t="s">
        <v>115</v>
      </c>
      <c r="C30" s="274">
        <f>+C26</f>
        <v>62800</v>
      </c>
      <c r="D30" s="258">
        <f>+C32</f>
        <v>62800</v>
      </c>
      <c r="E30" s="258">
        <f t="shared" ref="E30" si="16">+D32</f>
        <v>62800</v>
      </c>
      <c r="F30" s="258">
        <f t="shared" ref="F30" si="17">+E32</f>
        <v>62800</v>
      </c>
      <c r="G30" s="258">
        <f t="shared" ref="G30" si="18">+F32</f>
        <v>62800</v>
      </c>
      <c r="H30" s="258">
        <f t="shared" ref="H30" si="19">+G32</f>
        <v>62800</v>
      </c>
      <c r="I30" s="258">
        <f t="shared" ref="I30" si="20">+H32</f>
        <v>62800</v>
      </c>
      <c r="J30" s="258">
        <f t="shared" ref="J30" si="21">+I32</f>
        <v>62800</v>
      </c>
      <c r="K30" s="258">
        <f t="shared" ref="K30" si="22">+J32</f>
        <v>62800</v>
      </c>
      <c r="L30" s="258">
        <f t="shared" ref="L30" si="23">+K32</f>
        <v>62800</v>
      </c>
      <c r="M30" s="258">
        <f t="shared" ref="M30" si="24">+L32</f>
        <v>62800</v>
      </c>
      <c r="N30" s="258">
        <f t="shared" ref="N30" si="25">+M32</f>
        <v>62800</v>
      </c>
      <c r="O30" s="165"/>
      <c r="Q30" s="319"/>
    </row>
    <row r="31" spans="2:17" ht="16" x14ac:dyDescent="0.15">
      <c r="B31" s="267" t="s">
        <v>148</v>
      </c>
      <c r="C31" s="258">
        <f>IFERROR(VLOOKUP($B25,'Tab. 6'!$B$5:$D$7,3,0),0)*'Tab 5'!C$15+IFERROR(VLOOKUP($B25,'Tab. 6'!$B$12:$D$16,3,0),0)*'Tab 5'!C$28</f>
        <v>55084.729428936451</v>
      </c>
      <c r="D31" s="258">
        <f>IFERROR(VLOOKUP($B25,'Tab. 6'!$B$5:$D$7,3,0),0)*'Tab 5'!D$15+IFERROR(VLOOKUP($B25,'Tab. 6'!$B$12:$D$16,3,0),0)*'Tab 5'!D$28</f>
        <v>63995.535783171807</v>
      </c>
      <c r="E31" s="258">
        <f>IFERROR(VLOOKUP($B25,'Tab. 6'!$B$5:$D$7,3,0),0)*'Tab 5'!E$15+IFERROR(VLOOKUP($B25,'Tab. 6'!$B$12:$D$16,3,0),0)*'Tab 5'!E$28</f>
        <v>64138.05649798856</v>
      </c>
      <c r="F31" s="258">
        <f>IFERROR(VLOOKUP($B25,'Tab. 6'!$B$5:$D$7,3,0),0)*'Tab 5'!F$15+IFERROR(VLOOKUP($B25,'Tab. 6'!$B$12:$D$16,3,0),0)*'Tab 5'!F$28</f>
        <v>67042.942249037122</v>
      </c>
      <c r="G31" s="258">
        <f>IFERROR(VLOOKUP($B25,'Tab. 6'!$B$5:$D$7,3,0),0)*'Tab 5'!G$15+IFERROR(VLOOKUP($B25,'Tab. 6'!$B$12:$D$16,3,0),0)*'Tab 5'!G$28</f>
        <v>65617.735100869671</v>
      </c>
      <c r="H31" s="258">
        <f>IFERROR(VLOOKUP($B25,'Tab. 6'!$B$5:$D$7,3,0),0)*'Tab 5'!H$15+IFERROR(VLOOKUP($B25,'Tab. 6'!$B$12:$D$16,3,0),0)*'Tab 5'!H$28</f>
        <v>37994.084738551363</v>
      </c>
      <c r="I31" s="258">
        <f>IFERROR(VLOOKUP($B25,'Tab. 6'!$B$5:$D$7,3,0),0)*'Tab 5'!I$15+IFERROR(VLOOKUP($B25,'Tab. 6'!$B$12:$D$16,3,0),0)*'Tab 5'!I$28</f>
        <v>66900.421534220382</v>
      </c>
      <c r="J31" s="258">
        <f>IFERROR(VLOOKUP($B25,'Tab. 6'!$B$5:$D$7,3,0),0)*'Tab 5'!J$15+IFERROR(VLOOKUP($B25,'Tab. 6'!$B$12:$D$16,3,0),0)*'Tab 5'!J$28</f>
        <v>63995.535783171807</v>
      </c>
      <c r="K31" s="258">
        <f>IFERROR(VLOOKUP($B25,'Tab. 6'!$B$5:$D$7,3,0),0)*'Tab 5'!K$15+IFERROR(VLOOKUP($B25,'Tab. 6'!$B$12:$D$16,3,0),0)*'Tab 5'!K$28</f>
        <v>62712.849349821096</v>
      </c>
      <c r="L31" s="258">
        <f>IFERROR(VLOOKUP($B25,'Tab. 6'!$B$5:$D$7,3,0),0)*'Tab 5'!L$15+IFERROR(VLOOKUP($B25,'Tab. 6'!$B$12:$D$16,3,0),0)*'Tab 5'!L$28</f>
        <v>37571.709677043931</v>
      </c>
      <c r="M31" s="258">
        <f>IFERROR(VLOOKUP($B25,'Tab. 6'!$B$5:$D$7,3,0),0)*'Tab 5'!M$15+IFERROR(VLOOKUP($B25,'Tab. 6'!$B$12:$D$16,3,0),0)*'Tab 5'!M$28</f>
        <v>54377.993124705012</v>
      </c>
      <c r="N31" s="258">
        <f>IFERROR(VLOOKUP($B25,'Tab. 6'!$B$5:$D$7,3,0),0)*'Tab 5'!N$15+IFERROR(VLOOKUP($B25,'Tab. 6'!$B$12:$D$16,3,0),0)*'Tab 5'!N$28</f>
        <v>60537.224241346477</v>
      </c>
      <c r="O31" s="165">
        <f>SUM(C31:N31)</f>
        <v>699968.81750886375</v>
      </c>
      <c r="Q31" s="319">
        <f>IFERROR(VLOOKUP($B25,'Tab. 6'!$B$5:$D$7,3,0),0)*'Tab 5'!Q$15+IFERROR(VLOOKUP($B25,'Tab. 6'!$B$12:$D$16,3,0),0)*'Tab 5'!Q$28</f>
        <v>68796.347343031099</v>
      </c>
    </row>
    <row r="32" spans="2:17" ht="17" thickBot="1" x14ac:dyDescent="0.2">
      <c r="B32" s="267" t="s">
        <v>120</v>
      </c>
      <c r="C32" s="258">
        <f>+IF(D31/2&gt;=$C28,D31/2,$C28)</f>
        <v>62800</v>
      </c>
      <c r="D32" s="258">
        <f t="shared" ref="D32:M32" si="26">+IF(E31/2&gt;=$C28,E31/2,$C28)</f>
        <v>62800</v>
      </c>
      <c r="E32" s="258">
        <f t="shared" si="26"/>
        <v>62800</v>
      </c>
      <c r="F32" s="258">
        <f t="shared" si="26"/>
        <v>62800</v>
      </c>
      <c r="G32" s="258">
        <f t="shared" si="26"/>
        <v>62800</v>
      </c>
      <c r="H32" s="258">
        <f t="shared" si="26"/>
        <v>62800</v>
      </c>
      <c r="I32" s="258">
        <f t="shared" si="26"/>
        <v>62800</v>
      </c>
      <c r="J32" s="258">
        <f t="shared" si="26"/>
        <v>62800</v>
      </c>
      <c r="K32" s="258">
        <f t="shared" si="26"/>
        <v>62800</v>
      </c>
      <c r="L32" s="258">
        <f t="shared" si="26"/>
        <v>62800</v>
      </c>
      <c r="M32" s="258">
        <f t="shared" si="26"/>
        <v>62800</v>
      </c>
      <c r="N32" s="258">
        <f>+IF(Q31/2&gt;=$C28,Q31/2,$C28)</f>
        <v>62800</v>
      </c>
      <c r="O32" s="165"/>
      <c r="Q32" s="320"/>
    </row>
    <row r="33" spans="2:17" ht="17" thickBot="1" x14ac:dyDescent="0.2">
      <c r="B33" s="268" t="s">
        <v>149</v>
      </c>
      <c r="C33" s="263">
        <f>(C32-C30+C31)</f>
        <v>55084.729428936451</v>
      </c>
      <c r="D33" s="263">
        <f t="shared" ref="D33:N33" si="27">(D32-D30+D31)</f>
        <v>63995.535783171807</v>
      </c>
      <c r="E33" s="263">
        <f t="shared" si="27"/>
        <v>64138.05649798856</v>
      </c>
      <c r="F33" s="263">
        <f t="shared" si="27"/>
        <v>67042.942249037122</v>
      </c>
      <c r="G33" s="263">
        <f t="shared" si="27"/>
        <v>65617.735100869671</v>
      </c>
      <c r="H33" s="263">
        <f t="shared" si="27"/>
        <v>37994.084738551363</v>
      </c>
      <c r="I33" s="263">
        <f t="shared" si="27"/>
        <v>66900.421534220382</v>
      </c>
      <c r="J33" s="263">
        <f t="shared" si="27"/>
        <v>63995.535783171807</v>
      </c>
      <c r="K33" s="263">
        <f t="shared" si="27"/>
        <v>62712.849349821096</v>
      </c>
      <c r="L33" s="263">
        <f t="shared" si="27"/>
        <v>37571.709677043931</v>
      </c>
      <c r="M33" s="263">
        <f t="shared" si="27"/>
        <v>54377.993124705012</v>
      </c>
      <c r="N33" s="263">
        <f t="shared" si="27"/>
        <v>60537.224241346477</v>
      </c>
      <c r="O33" s="273">
        <f>SUM(C33:N33)</f>
        <v>699968.81750886375</v>
      </c>
    </row>
    <row r="34" spans="2:17" ht="16" x14ac:dyDescent="0.15">
      <c r="B34" s="307" t="s">
        <v>74</v>
      </c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5"/>
      <c r="Q34" s="155"/>
    </row>
    <row r="35" spans="2:17" ht="16" x14ac:dyDescent="0.15">
      <c r="B35" s="309" t="s">
        <v>116</v>
      </c>
      <c r="C35" s="308">
        <f>VLOOKUP(B34,'Tab. 6'!$B$38:$C$44,2,0)</f>
        <v>3500</v>
      </c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5"/>
      <c r="Q35" s="156"/>
    </row>
    <row r="36" spans="2:17" ht="16" x14ac:dyDescent="0.15">
      <c r="B36" s="309" t="s">
        <v>146</v>
      </c>
      <c r="C36" s="308">
        <f>VLOOKUP(B34,'Tab. 6'!$B$25:$D$31,2,0)</f>
        <v>30</v>
      </c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5"/>
      <c r="Q36" s="156"/>
    </row>
    <row r="37" spans="2:17" ht="16" x14ac:dyDescent="0.15">
      <c r="B37" s="309" t="s">
        <v>147</v>
      </c>
      <c r="C37" s="308">
        <f>VLOOKUP(B34,'Tab. 6'!$B$25:$D$31,3,0)</f>
        <v>3500</v>
      </c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5"/>
      <c r="Q37" s="156"/>
    </row>
    <row r="38" spans="2:17" ht="16" x14ac:dyDescent="0.15">
      <c r="B38" s="147"/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5"/>
      <c r="Q38" s="156"/>
    </row>
    <row r="39" spans="2:17" ht="16" x14ac:dyDescent="0.15">
      <c r="B39" s="147" t="s">
        <v>115</v>
      </c>
      <c r="C39" s="274">
        <f>+C35</f>
        <v>3500</v>
      </c>
      <c r="D39" s="258">
        <f>+C41</f>
        <v>3500</v>
      </c>
      <c r="E39" s="258">
        <f t="shared" ref="E39" si="28">+D41</f>
        <v>3500</v>
      </c>
      <c r="F39" s="258">
        <f t="shared" ref="F39" si="29">+E41</f>
        <v>3500</v>
      </c>
      <c r="G39" s="258">
        <f t="shared" ref="G39" si="30">+F41</f>
        <v>3500</v>
      </c>
      <c r="H39" s="258">
        <f t="shared" ref="H39" si="31">+G41</f>
        <v>3500</v>
      </c>
      <c r="I39" s="258">
        <f t="shared" ref="I39" si="32">+H41</f>
        <v>3500</v>
      </c>
      <c r="J39" s="258">
        <f t="shared" ref="J39" si="33">+I41</f>
        <v>3500</v>
      </c>
      <c r="K39" s="258">
        <f t="shared" ref="K39" si="34">+J41</f>
        <v>3500</v>
      </c>
      <c r="L39" s="258">
        <f t="shared" ref="L39" si="35">+K41</f>
        <v>3500</v>
      </c>
      <c r="M39" s="258">
        <f t="shared" ref="M39" si="36">+L41</f>
        <v>3500</v>
      </c>
      <c r="N39" s="258">
        <f t="shared" ref="N39" si="37">+M41</f>
        <v>3500</v>
      </c>
      <c r="O39" s="165"/>
      <c r="Q39" s="319"/>
    </row>
    <row r="40" spans="2:17" ht="16" x14ac:dyDescent="0.15">
      <c r="B40" s="267" t="s">
        <v>148</v>
      </c>
      <c r="C40" s="258">
        <f>IFERROR(VLOOKUP($B34,'Tab. 6'!$B$5:$D$7,3,0),0)*'Tab 5'!C$15+IFERROR(VLOOKUP($B34,'Tab. 6'!$B$12:$D$16,3,0),0)*'Tab 5'!C$28</f>
        <v>1804.186634358271</v>
      </c>
      <c r="D40" s="258">
        <f>IFERROR(VLOOKUP($B34,'Tab. 6'!$B$5:$D$7,3,0),0)*'Tab 5'!D$15+IFERROR(VLOOKUP($B34,'Tab. 6'!$B$12:$D$16,3,0),0)*'Tab 5'!D$28</f>
        <v>1870.5843819698021</v>
      </c>
      <c r="E40" s="258">
        <f>IFERROR(VLOOKUP($B34,'Tab. 6'!$B$5:$D$7,3,0),0)*'Tab 5'!E$15+IFERROR(VLOOKUP($B34,'Tab. 6'!$B$12:$D$16,3,0),0)*'Tab 5'!E$28</f>
        <v>1959.6598287302672</v>
      </c>
      <c r="F40" s="258">
        <f>IFERROR(VLOOKUP($B34,'Tab. 6'!$B$5:$D$7,3,0),0)*'Tab 5'!F$15+IFERROR(VLOOKUP($B34,'Tab. 6'!$B$12:$D$16,3,0),0)*'Tab 5'!F$28</f>
        <v>1959.6598287302677</v>
      </c>
      <c r="G40" s="258">
        <f>IFERROR(VLOOKUP($B34,'Tab. 6'!$B$5:$D$7,3,0),0)*'Tab 5'!G$15+IFERROR(VLOOKUP($B34,'Tab. 6'!$B$12:$D$16,3,0),0)*'Tab 5'!G$28</f>
        <v>1068.9053611256004</v>
      </c>
      <c r="H40" s="258">
        <f>IFERROR(VLOOKUP($B34,'Tab. 6'!$B$5:$D$7,3,0),0)*'Tab 5'!H$15+IFERROR(VLOOKUP($B34,'Tab. 6'!$B$12:$D$16,3,0),0)*'Tab 5'!H$28</f>
        <v>1959.6598287302677</v>
      </c>
      <c r="I40" s="258">
        <f>IFERROR(VLOOKUP($B34,'Tab. 6'!$B$5:$D$7,3,0),0)*'Tab 5'!I$15+IFERROR(VLOOKUP($B34,'Tab. 6'!$B$12:$D$16,3,0),0)*'Tab 5'!I$28</f>
        <v>1870.5843819698011</v>
      </c>
      <c r="J40" s="258">
        <f>IFERROR(VLOOKUP($B34,'Tab. 6'!$B$5:$D$7,3,0),0)*'Tab 5'!J$15+IFERROR(VLOOKUP($B34,'Tab. 6'!$B$12:$D$16,3,0),0)*'Tab 5'!J$28</f>
        <v>1870.5843819698014</v>
      </c>
      <c r="K40" s="258">
        <f>IFERROR(VLOOKUP($B34,'Tab. 6'!$B$5:$D$7,3,0),0)*'Tab 5'!K$15+IFERROR(VLOOKUP($B34,'Tab. 6'!$B$12:$D$16,3,0),0)*'Tab 5'!K$28</f>
        <v>1068.9053611256004</v>
      </c>
      <c r="L40" s="258">
        <f>IFERROR(VLOOKUP($B34,'Tab. 6'!$B$5:$D$7,3,0),0)*'Tab 5'!L$15+IFERROR(VLOOKUP($B34,'Tab. 6'!$B$12:$D$16,3,0),0)*'Tab 5'!L$28</f>
        <v>1695.6754152881267</v>
      </c>
      <c r="M40" s="258">
        <f>IFERROR(VLOOKUP($B34,'Tab. 6'!$B$5:$D$7,3,0),0)*'Tab 5'!M$15+IFERROR(VLOOKUP($B34,'Tab. 6'!$B$12:$D$16,3,0),0)*'Tab 5'!M$28</f>
        <v>1884.0837947645841</v>
      </c>
      <c r="N40" s="258">
        <f>IFERROR(VLOOKUP($B34,'Tab. 6'!$B$5:$D$7,3,0),0)*'Tab 5'!N$15+IFERROR(VLOOKUP($B34,'Tab. 6'!$B$12:$D$16,3,0),0)*'Tab 5'!N$28</f>
        <v>2166.6963639792721</v>
      </c>
      <c r="O40" s="165">
        <f>SUM(C40:N40)</f>
        <v>21179.185562741666</v>
      </c>
      <c r="Q40" s="319">
        <f>IFERROR(VLOOKUP($B34,'Tab. 6'!$B$5:$D$7,3,0),0)*'Tab 5'!Q$15+IFERROR(VLOOKUP($B34,'Tab. 6'!$B$12:$D$16,3,0),0)*'Tab 5'!Q$28</f>
        <v>1978.2879845028142</v>
      </c>
    </row>
    <row r="41" spans="2:17" ht="17" thickBot="1" x14ac:dyDescent="0.2">
      <c r="B41" s="267" t="s">
        <v>120</v>
      </c>
      <c r="C41" s="258">
        <f>+IF(D40&gt;=$C37,D40,$C37)</f>
        <v>3500</v>
      </c>
      <c r="D41" s="258">
        <f t="shared" ref="D41:G41" si="38">+IF(E40&gt;=$C37,E40,$C37)</f>
        <v>3500</v>
      </c>
      <c r="E41" s="258">
        <f t="shared" si="38"/>
        <v>3500</v>
      </c>
      <c r="F41" s="258">
        <f t="shared" si="38"/>
        <v>3500</v>
      </c>
      <c r="G41" s="258">
        <f t="shared" si="38"/>
        <v>3500</v>
      </c>
      <c r="H41" s="258">
        <f>+IF(I40&gt;=$C37,I40,$C37)</f>
        <v>3500</v>
      </c>
      <c r="I41" s="258">
        <f>+IF(J40&gt;=$C37,J40,$C37)</f>
        <v>3500</v>
      </c>
      <c r="J41" s="258">
        <f>+IF(K40&gt;=$C37,K40,$C37)</f>
        <v>3500</v>
      </c>
      <c r="K41" s="258">
        <f t="shared" ref="K41" si="39">+IF(L40&gt;=$C37,L40,$C37)</f>
        <v>3500</v>
      </c>
      <c r="L41" s="258">
        <f>+IF(M40&gt;=$C37,M40,$C37)</f>
        <v>3500</v>
      </c>
      <c r="M41" s="258">
        <f t="shared" ref="M41" si="40">+IF(N40&gt;=$C37,N40,$C37)</f>
        <v>3500</v>
      </c>
      <c r="N41" s="258">
        <f>+IF(Q40&gt;=$C37,Q40,$C37)</f>
        <v>3500</v>
      </c>
      <c r="O41" s="165"/>
      <c r="Q41" s="320"/>
    </row>
    <row r="42" spans="2:17" ht="17" thickBot="1" x14ac:dyDescent="0.2">
      <c r="B42" s="268" t="s">
        <v>149</v>
      </c>
      <c r="C42" s="263">
        <f>(C41-C39+C40)</f>
        <v>1804.186634358271</v>
      </c>
      <c r="D42" s="263">
        <f t="shared" ref="D42:N42" si="41">(D41-D39+D40)</f>
        <v>1870.5843819698021</v>
      </c>
      <c r="E42" s="263">
        <f t="shared" si="41"/>
        <v>1959.6598287302672</v>
      </c>
      <c r="F42" s="263">
        <f t="shared" si="41"/>
        <v>1959.6598287302677</v>
      </c>
      <c r="G42" s="263">
        <f t="shared" si="41"/>
        <v>1068.9053611256004</v>
      </c>
      <c r="H42" s="263">
        <f t="shared" si="41"/>
        <v>1959.6598287302677</v>
      </c>
      <c r="I42" s="263">
        <f t="shared" si="41"/>
        <v>1870.5843819698011</v>
      </c>
      <c r="J42" s="263">
        <f t="shared" si="41"/>
        <v>1870.5843819698014</v>
      </c>
      <c r="K42" s="263">
        <f t="shared" si="41"/>
        <v>1068.9053611256004</v>
      </c>
      <c r="L42" s="263">
        <f t="shared" si="41"/>
        <v>1695.6754152881267</v>
      </c>
      <c r="M42" s="263">
        <f t="shared" si="41"/>
        <v>1884.0837947645841</v>
      </c>
      <c r="N42" s="263">
        <f t="shared" si="41"/>
        <v>2166.6963639792721</v>
      </c>
      <c r="O42" s="273">
        <f>SUM(C42:N42)</f>
        <v>21179.185562741666</v>
      </c>
    </row>
    <row r="43" spans="2:17" ht="16" x14ac:dyDescent="0.15">
      <c r="B43" s="307" t="s">
        <v>135</v>
      </c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5"/>
      <c r="Q43" s="155"/>
    </row>
    <row r="44" spans="2:17" ht="16" x14ac:dyDescent="0.15">
      <c r="B44" s="309" t="s">
        <v>116</v>
      </c>
      <c r="C44" s="308">
        <f>VLOOKUP(B43,'Tab. 6'!$B$38:$C$44,2,0)</f>
        <v>7000</v>
      </c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5"/>
      <c r="Q44" s="156"/>
    </row>
    <row r="45" spans="2:17" ht="16" x14ac:dyDescent="0.15">
      <c r="B45" s="309" t="s">
        <v>146</v>
      </c>
      <c r="C45" s="308">
        <f>VLOOKUP(B43,'Tab. 6'!$B$25:$D$31,2,0)</f>
        <v>30</v>
      </c>
      <c r="D45" s="260"/>
      <c r="E45" s="260"/>
      <c r="F45" s="260"/>
      <c r="G45" s="260"/>
      <c r="H45" s="260"/>
      <c r="I45" s="260"/>
      <c r="J45" s="260"/>
      <c r="K45" s="260"/>
      <c r="L45" s="260"/>
      <c r="M45" s="260"/>
      <c r="N45" s="260"/>
      <c r="O45" s="265"/>
      <c r="Q45" s="156"/>
    </row>
    <row r="46" spans="2:17" ht="16" x14ac:dyDescent="0.15">
      <c r="B46" s="309" t="s">
        <v>147</v>
      </c>
      <c r="C46" s="308">
        <f>VLOOKUP(B43,'Tab. 6'!$B$25:$D$31,3,0)</f>
        <v>7000.0019999999995</v>
      </c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  <c r="O46" s="265"/>
      <c r="Q46" s="156"/>
    </row>
    <row r="47" spans="2:17" ht="16" x14ac:dyDescent="0.15">
      <c r="B47" s="147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5"/>
      <c r="Q47" s="156"/>
    </row>
    <row r="48" spans="2:17" ht="16" x14ac:dyDescent="0.15">
      <c r="B48" s="147" t="s">
        <v>115</v>
      </c>
      <c r="C48" s="274">
        <f>+C44</f>
        <v>7000</v>
      </c>
      <c r="D48" s="258">
        <f>+C50</f>
        <v>7482.3375278792082</v>
      </c>
      <c r="E48" s="258">
        <f t="shared" ref="E48" si="42">+D50</f>
        <v>7838.6393149210689</v>
      </c>
      <c r="F48" s="258">
        <f t="shared" ref="F48" si="43">+E50</f>
        <v>7838.6393149210708</v>
      </c>
      <c r="G48" s="258">
        <f t="shared" ref="G48" si="44">+F50</f>
        <v>7000.0019999999995</v>
      </c>
      <c r="H48" s="258">
        <f t="shared" ref="H48" si="45">+G50</f>
        <v>7838.6393149210708</v>
      </c>
      <c r="I48" s="258">
        <f t="shared" ref="I48" si="46">+H50</f>
        <v>7482.3375278792046</v>
      </c>
      <c r="J48" s="258">
        <f t="shared" ref="J48" si="47">+I50</f>
        <v>7482.3375278792055</v>
      </c>
      <c r="K48" s="258">
        <f t="shared" ref="K48" si="48">+J50</f>
        <v>7000.0019999999995</v>
      </c>
      <c r="L48" s="258">
        <f t="shared" ref="L48" si="49">+K50</f>
        <v>7000.0019999999995</v>
      </c>
      <c r="M48" s="258">
        <f t="shared" ref="M48" si="50">+L50</f>
        <v>7536.3351790583365</v>
      </c>
      <c r="N48" s="258">
        <f t="shared" ref="N48" si="51">+M50</f>
        <v>8666.7854559170883</v>
      </c>
      <c r="O48" s="165"/>
      <c r="Q48" s="319"/>
    </row>
    <row r="49" spans="2:17" ht="16" x14ac:dyDescent="0.15">
      <c r="B49" s="267" t="s">
        <v>148</v>
      </c>
      <c r="C49" s="258">
        <f>IFERROR(VLOOKUP($B43,'Tab. 6'!$B$5:$D$7,3,0),0)*'Tab 5'!C$15+IFERROR(VLOOKUP($B43,'Tab. 6'!$B$12:$D$16,3,0),0)*'Tab 5'!C$28</f>
        <v>7216.7465374330841</v>
      </c>
      <c r="D49" s="258">
        <f>IFERROR(VLOOKUP($B43,'Tab. 6'!$B$5:$D$7,3,0),0)*'Tab 5'!D$15+IFERROR(VLOOKUP($B43,'Tab. 6'!$B$12:$D$16,3,0),0)*'Tab 5'!D$28</f>
        <v>7482.3375278792082</v>
      </c>
      <c r="E49" s="258">
        <f>IFERROR(VLOOKUP($B43,'Tab. 6'!$B$5:$D$7,3,0),0)*'Tab 5'!E$15+IFERROR(VLOOKUP($B43,'Tab. 6'!$B$12:$D$16,3,0),0)*'Tab 5'!E$28</f>
        <v>7838.6393149210689</v>
      </c>
      <c r="F49" s="258">
        <f>IFERROR(VLOOKUP($B43,'Tab. 6'!$B$5:$D$7,3,0),0)*'Tab 5'!F$15+IFERROR(VLOOKUP($B43,'Tab. 6'!$B$12:$D$16,3,0),0)*'Tab 5'!F$28</f>
        <v>7838.6393149210708</v>
      </c>
      <c r="G49" s="258">
        <f>IFERROR(VLOOKUP($B43,'Tab. 6'!$B$5:$D$7,3,0),0)*'Tab 5'!G$15+IFERROR(VLOOKUP($B43,'Tab. 6'!$B$12:$D$16,3,0),0)*'Tab 5'!G$28</f>
        <v>4275.6214445024016</v>
      </c>
      <c r="H49" s="258">
        <f>IFERROR(VLOOKUP($B43,'Tab. 6'!$B$5:$D$7,3,0),0)*'Tab 5'!H$15+IFERROR(VLOOKUP($B43,'Tab. 6'!$B$12:$D$16,3,0),0)*'Tab 5'!H$28</f>
        <v>7838.6393149210708</v>
      </c>
      <c r="I49" s="258">
        <f>IFERROR(VLOOKUP($B43,'Tab. 6'!$B$5:$D$7,3,0),0)*'Tab 5'!I$15+IFERROR(VLOOKUP($B43,'Tab. 6'!$B$12:$D$16,3,0),0)*'Tab 5'!I$28</f>
        <v>7482.3375278792046</v>
      </c>
      <c r="J49" s="258">
        <f>IFERROR(VLOOKUP($B43,'Tab. 6'!$B$5:$D$7,3,0),0)*'Tab 5'!J$15+IFERROR(VLOOKUP($B43,'Tab. 6'!$B$12:$D$16,3,0),0)*'Tab 5'!J$28</f>
        <v>7482.3375278792055</v>
      </c>
      <c r="K49" s="258">
        <f>IFERROR(VLOOKUP($B43,'Tab. 6'!$B$5:$D$7,3,0),0)*'Tab 5'!K$15+IFERROR(VLOOKUP($B43,'Tab. 6'!$B$12:$D$16,3,0),0)*'Tab 5'!K$28</f>
        <v>4275.6214445024016</v>
      </c>
      <c r="L49" s="258">
        <f>IFERROR(VLOOKUP($B43,'Tab. 6'!$B$5:$D$7,3,0),0)*'Tab 5'!L$15+IFERROR(VLOOKUP($B43,'Tab. 6'!$B$12:$D$16,3,0),0)*'Tab 5'!L$28</f>
        <v>6782.7016611525069</v>
      </c>
      <c r="M49" s="258">
        <f>IFERROR(VLOOKUP($B43,'Tab. 6'!$B$5:$D$7,3,0),0)*'Tab 5'!M$15+IFERROR(VLOOKUP($B43,'Tab. 6'!$B$12:$D$16,3,0),0)*'Tab 5'!M$28</f>
        <v>7536.3351790583365</v>
      </c>
      <c r="N49" s="258">
        <f>IFERROR(VLOOKUP($B43,'Tab. 6'!$B$5:$D$7,3,0),0)*'Tab 5'!N$15+IFERROR(VLOOKUP($B43,'Tab. 6'!$B$12:$D$16,3,0),0)*'Tab 5'!N$28</f>
        <v>8666.7854559170883</v>
      </c>
      <c r="O49" s="165">
        <f>SUM(C49:N49)</f>
        <v>84716.742250966665</v>
      </c>
      <c r="Q49" s="319">
        <f>IFERROR(VLOOKUP($B43,'Tab. 6'!$B$5:$D$7,3,0),0)*'Tab 5'!Q$15+IFERROR(VLOOKUP($B43,'Tab. 6'!$B$12:$D$16,3,0),0)*'Tab 5'!Q$28</f>
        <v>7913.1519380112568</v>
      </c>
    </row>
    <row r="50" spans="2:17" ht="17" thickBot="1" x14ac:dyDescent="0.2">
      <c r="B50" s="267" t="s">
        <v>120</v>
      </c>
      <c r="C50" s="258">
        <f>+IF(D49&gt;=$C46,D49,$C46)</f>
        <v>7482.3375278792082</v>
      </c>
      <c r="D50" s="258">
        <f t="shared" ref="D50:G50" si="52">+IF(E49&gt;=$C46,E49,$C46)</f>
        <v>7838.6393149210689</v>
      </c>
      <c r="E50" s="258">
        <f t="shared" si="52"/>
        <v>7838.6393149210708</v>
      </c>
      <c r="F50" s="258">
        <f t="shared" si="52"/>
        <v>7000.0019999999995</v>
      </c>
      <c r="G50" s="258">
        <f t="shared" si="52"/>
        <v>7838.6393149210708</v>
      </c>
      <c r="H50" s="258">
        <f>+IF(I49&gt;=$C46,I49,$C46)</f>
        <v>7482.3375278792046</v>
      </c>
      <c r="I50" s="258">
        <f>+IF(J49&gt;=$C46,J49,$C46)</f>
        <v>7482.3375278792055</v>
      </c>
      <c r="J50" s="258">
        <f>+IF(K49&gt;=$C46,K49,$C46)</f>
        <v>7000.0019999999995</v>
      </c>
      <c r="K50" s="258">
        <f t="shared" ref="K50" si="53">+IF(L49&gt;=$C46,L49,$C46)</f>
        <v>7000.0019999999995</v>
      </c>
      <c r="L50" s="258">
        <f>+IF(M49&gt;=$C46,M49,$C46)</f>
        <v>7536.3351790583365</v>
      </c>
      <c r="M50" s="258">
        <f t="shared" ref="M50" si="54">+IF(N49&gt;=$C46,N49,$C46)</f>
        <v>8666.7854559170883</v>
      </c>
      <c r="N50" s="258">
        <f>+IF(Q49&gt;=$C46,Q49,$C46)</f>
        <v>7913.1519380112568</v>
      </c>
      <c r="O50" s="165"/>
      <c r="Q50" s="320"/>
    </row>
    <row r="51" spans="2:17" ht="17" thickBot="1" x14ac:dyDescent="0.2">
      <c r="B51" s="268" t="s">
        <v>149</v>
      </c>
      <c r="C51" s="263">
        <f>(C50-C48+C49)</f>
        <v>7699.0840653122923</v>
      </c>
      <c r="D51" s="263">
        <f t="shared" ref="D51:N51" si="55">(D50-D48+D49)</f>
        <v>7838.6393149210689</v>
      </c>
      <c r="E51" s="263">
        <f t="shared" si="55"/>
        <v>7838.6393149210708</v>
      </c>
      <c r="F51" s="263">
        <f t="shared" si="55"/>
        <v>7000.0019999999995</v>
      </c>
      <c r="G51" s="263">
        <f t="shared" si="55"/>
        <v>5114.2587594234728</v>
      </c>
      <c r="H51" s="263">
        <f t="shared" si="55"/>
        <v>7482.3375278792046</v>
      </c>
      <c r="I51" s="263">
        <f t="shared" si="55"/>
        <v>7482.3375278792055</v>
      </c>
      <c r="J51" s="263">
        <f t="shared" si="55"/>
        <v>7000.0019999999995</v>
      </c>
      <c r="K51" s="263">
        <f t="shared" si="55"/>
        <v>4275.6214445024016</v>
      </c>
      <c r="L51" s="263">
        <f t="shared" si="55"/>
        <v>7319.0348402108439</v>
      </c>
      <c r="M51" s="263">
        <f t="shared" si="55"/>
        <v>8666.7854559170883</v>
      </c>
      <c r="N51" s="263">
        <f t="shared" si="55"/>
        <v>7913.1519380112568</v>
      </c>
      <c r="O51" s="273">
        <f>SUM(C51:N51)</f>
        <v>85629.894188977923</v>
      </c>
    </row>
    <row r="52" spans="2:17" ht="16" x14ac:dyDescent="0.15">
      <c r="B52" s="307" t="s">
        <v>136</v>
      </c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5"/>
      <c r="Q52" s="155"/>
    </row>
    <row r="53" spans="2:17" ht="16" x14ac:dyDescent="0.15">
      <c r="B53" s="309" t="s">
        <v>116</v>
      </c>
      <c r="C53" s="308">
        <f>VLOOKUP(B52,'Tab. 6'!$B$38:$C$44,2,0)</f>
        <v>21000</v>
      </c>
      <c r="D53" s="260"/>
      <c r="E53" s="260"/>
      <c r="F53" s="260"/>
      <c r="G53" s="260"/>
      <c r="H53" s="260"/>
      <c r="I53" s="260"/>
      <c r="J53" s="260"/>
      <c r="K53" s="260"/>
      <c r="L53" s="260"/>
      <c r="M53" s="260"/>
      <c r="N53" s="260"/>
      <c r="O53" s="265"/>
      <c r="Q53" s="156"/>
    </row>
    <row r="54" spans="2:17" ht="16" x14ac:dyDescent="0.15">
      <c r="B54" s="309" t="s">
        <v>146</v>
      </c>
      <c r="C54" s="308">
        <f>VLOOKUP(B52,'Tab. 6'!$B$25:$D$31,2,0)</f>
        <v>30</v>
      </c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260"/>
      <c r="O54" s="265"/>
      <c r="Q54" s="156"/>
    </row>
    <row r="55" spans="2:17" ht="16" x14ac:dyDescent="0.15">
      <c r="B55" s="309" t="s">
        <v>147</v>
      </c>
      <c r="C55" s="308">
        <f>VLOOKUP(B52,'Tab. 6'!$B$25:$D$31,3,0)</f>
        <v>21000</v>
      </c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5"/>
      <c r="Q55" s="156"/>
    </row>
    <row r="56" spans="2:17" ht="16" x14ac:dyDescent="0.15">
      <c r="B56" s="147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5"/>
      <c r="Q56" s="156"/>
    </row>
    <row r="57" spans="2:17" ht="16" x14ac:dyDescent="0.15">
      <c r="B57" s="147" t="s">
        <v>115</v>
      </c>
      <c r="C57" s="274">
        <f>+C53</f>
        <v>21000</v>
      </c>
      <c r="D57" s="258">
        <f>+C59</f>
        <v>21000</v>
      </c>
      <c r="E57" s="258">
        <f t="shared" ref="E57" si="56">+D59</f>
        <v>21000</v>
      </c>
      <c r="F57" s="258">
        <f t="shared" ref="F57" si="57">+E59</f>
        <v>21000</v>
      </c>
      <c r="G57" s="258">
        <f t="shared" ref="G57" si="58">+F59</f>
        <v>21000</v>
      </c>
      <c r="H57" s="258">
        <f t="shared" ref="H57" si="59">+G59</f>
        <v>21000</v>
      </c>
      <c r="I57" s="258">
        <f t="shared" ref="I57" si="60">+H59</f>
        <v>21000</v>
      </c>
      <c r="J57" s="258">
        <f t="shared" ref="J57" si="61">+I59</f>
        <v>21000</v>
      </c>
      <c r="K57" s="258">
        <f t="shared" ref="K57" si="62">+J59</f>
        <v>21000</v>
      </c>
      <c r="L57" s="258">
        <f t="shared" ref="L57" si="63">+K59</f>
        <v>21000</v>
      </c>
      <c r="M57" s="258">
        <f t="shared" ref="M57" si="64">+L59</f>
        <v>21000</v>
      </c>
      <c r="N57" s="258">
        <f t="shared" ref="N57" si="65">+M59</f>
        <v>21000</v>
      </c>
      <c r="O57" s="165"/>
      <c r="Q57" s="319"/>
    </row>
    <row r="58" spans="2:17" ht="16" x14ac:dyDescent="0.15">
      <c r="B58" s="267" t="s">
        <v>148</v>
      </c>
      <c r="C58" s="258">
        <f>IFERROR(VLOOKUP($B52,'Tab. 6'!$B$5:$D$7,3,0),0)*'Tab 5'!C$15+IFERROR(VLOOKUP($B52,'Tab. 6'!$B$12:$D$16,3,0),0)*'Tab 5'!C$28</f>
        <v>10825.119806149625</v>
      </c>
      <c r="D58" s="258">
        <f>IFERROR(VLOOKUP($B52,'Tab. 6'!$B$5:$D$7,3,0),0)*'Tab 5'!D$15+IFERROR(VLOOKUP($B52,'Tab. 6'!$B$12:$D$16,3,0),0)*'Tab 5'!D$28</f>
        <v>11223.506291818812</v>
      </c>
      <c r="E58" s="258">
        <f>IFERROR(VLOOKUP($B52,'Tab. 6'!$B$5:$D$7,3,0),0)*'Tab 5'!E$15+IFERROR(VLOOKUP($B52,'Tab. 6'!$B$12:$D$16,3,0),0)*'Tab 5'!E$28</f>
        <v>11757.958972381603</v>
      </c>
      <c r="F58" s="258">
        <f>IFERROR(VLOOKUP($B52,'Tab. 6'!$B$5:$D$7,3,0),0)*'Tab 5'!F$15+IFERROR(VLOOKUP($B52,'Tab. 6'!$B$12:$D$16,3,0),0)*'Tab 5'!F$28</f>
        <v>11757.958972381606</v>
      </c>
      <c r="G58" s="258">
        <f>IFERROR(VLOOKUP($B52,'Tab. 6'!$B$5:$D$7,3,0),0)*'Tab 5'!G$15+IFERROR(VLOOKUP($B52,'Tab. 6'!$B$12:$D$16,3,0),0)*'Tab 5'!G$28</f>
        <v>6413.4321667536024</v>
      </c>
      <c r="H58" s="258">
        <f>IFERROR(VLOOKUP($B52,'Tab. 6'!$B$5:$D$7,3,0),0)*'Tab 5'!H$15+IFERROR(VLOOKUP($B52,'Tab. 6'!$B$12:$D$16,3,0),0)*'Tab 5'!H$28</f>
        <v>11757.958972381606</v>
      </c>
      <c r="I58" s="258">
        <f>IFERROR(VLOOKUP($B52,'Tab. 6'!$B$5:$D$7,3,0),0)*'Tab 5'!I$15+IFERROR(VLOOKUP($B52,'Tab. 6'!$B$12:$D$16,3,0),0)*'Tab 5'!I$28</f>
        <v>11223.506291818807</v>
      </c>
      <c r="J58" s="258">
        <f>IFERROR(VLOOKUP($B52,'Tab. 6'!$B$5:$D$7,3,0),0)*'Tab 5'!J$15+IFERROR(VLOOKUP($B52,'Tab. 6'!$B$12:$D$16,3,0),0)*'Tab 5'!J$28</f>
        <v>11223.506291818809</v>
      </c>
      <c r="K58" s="258">
        <f>IFERROR(VLOOKUP($B52,'Tab. 6'!$B$5:$D$7,3,0),0)*'Tab 5'!K$15+IFERROR(VLOOKUP($B52,'Tab. 6'!$B$12:$D$16,3,0),0)*'Tab 5'!K$28</f>
        <v>6413.4321667536024</v>
      </c>
      <c r="L58" s="258">
        <f>IFERROR(VLOOKUP($B52,'Tab. 6'!$B$5:$D$7,3,0),0)*'Tab 5'!L$15+IFERROR(VLOOKUP($B52,'Tab. 6'!$B$12:$D$16,3,0),0)*'Tab 5'!L$28</f>
        <v>10174.05249172876</v>
      </c>
      <c r="M58" s="258">
        <f>IFERROR(VLOOKUP($B52,'Tab. 6'!$B$5:$D$7,3,0),0)*'Tab 5'!M$15+IFERROR(VLOOKUP($B52,'Tab. 6'!$B$12:$D$16,3,0),0)*'Tab 5'!M$28</f>
        <v>11304.502768587505</v>
      </c>
      <c r="N58" s="258">
        <f>IFERROR(VLOOKUP($B52,'Tab. 6'!$B$5:$D$7,3,0),0)*'Tab 5'!N$15+IFERROR(VLOOKUP($B52,'Tab. 6'!$B$12:$D$16,3,0),0)*'Tab 5'!N$28</f>
        <v>13000.178183875632</v>
      </c>
      <c r="O58" s="165">
        <f>SUM(C58:N58)</f>
        <v>127075.11337644995</v>
      </c>
      <c r="Q58" s="319">
        <f>IFERROR(VLOOKUP($B52,'Tab. 6'!$B$5:$D$7,3,0),0)*'Tab 5'!Q$15+IFERROR(VLOOKUP($B52,'Tab. 6'!$B$12:$D$16,3,0),0)*'Tab 5'!Q$28</f>
        <v>11869.727907016884</v>
      </c>
    </row>
    <row r="59" spans="2:17" ht="17" thickBot="1" x14ac:dyDescent="0.2">
      <c r="B59" s="267" t="s">
        <v>120</v>
      </c>
      <c r="C59" s="258">
        <f>+IF(D58&gt;=$C55,D58,$C55)</f>
        <v>21000</v>
      </c>
      <c r="D59" s="258">
        <f t="shared" ref="D59:G59" si="66">+IF(E58&gt;=$C55,E58,$C55)</f>
        <v>21000</v>
      </c>
      <c r="E59" s="258">
        <f t="shared" si="66"/>
        <v>21000</v>
      </c>
      <c r="F59" s="258">
        <f t="shared" si="66"/>
        <v>21000</v>
      </c>
      <c r="G59" s="258">
        <f t="shared" si="66"/>
        <v>21000</v>
      </c>
      <c r="H59" s="258">
        <f>+IF(I58&gt;=$C55,I58,$C55)</f>
        <v>21000</v>
      </c>
      <c r="I59" s="258">
        <f>+IF(J58&gt;=$C55,J58,$C55)</f>
        <v>21000</v>
      </c>
      <c r="J59" s="258">
        <f>+IF(K58&gt;=$C55,K58,$C55)</f>
        <v>21000</v>
      </c>
      <c r="K59" s="258">
        <f t="shared" ref="K59" si="67">+IF(L58&gt;=$C55,L58,$C55)</f>
        <v>21000</v>
      </c>
      <c r="L59" s="258">
        <f>+IF(M58&gt;=$C55,M58,$C55)</f>
        <v>21000</v>
      </c>
      <c r="M59" s="258">
        <f t="shared" ref="M59" si="68">+IF(N58&gt;=$C55,N58,$C55)</f>
        <v>21000</v>
      </c>
      <c r="N59" s="258">
        <f>+IF(Q58&gt;=$C55,Q58,$C55)</f>
        <v>21000</v>
      </c>
      <c r="O59" s="165"/>
      <c r="Q59" s="320"/>
    </row>
    <row r="60" spans="2:17" ht="17" thickBot="1" x14ac:dyDescent="0.2">
      <c r="B60" s="268" t="s">
        <v>149</v>
      </c>
      <c r="C60" s="263">
        <f>(C59-C57+C58)</f>
        <v>10825.119806149625</v>
      </c>
      <c r="D60" s="263">
        <f t="shared" ref="D60:N60" si="69">(D59-D57+D58)</f>
        <v>11223.506291818812</v>
      </c>
      <c r="E60" s="263">
        <f t="shared" si="69"/>
        <v>11757.958972381603</v>
      </c>
      <c r="F60" s="263">
        <f t="shared" si="69"/>
        <v>11757.958972381606</v>
      </c>
      <c r="G60" s="263">
        <f t="shared" si="69"/>
        <v>6413.4321667536024</v>
      </c>
      <c r="H60" s="263">
        <f t="shared" si="69"/>
        <v>11757.958972381606</v>
      </c>
      <c r="I60" s="263">
        <f t="shared" si="69"/>
        <v>11223.506291818807</v>
      </c>
      <c r="J60" s="263">
        <f t="shared" si="69"/>
        <v>11223.506291818809</v>
      </c>
      <c r="K60" s="263">
        <f t="shared" si="69"/>
        <v>6413.4321667536024</v>
      </c>
      <c r="L60" s="263">
        <f t="shared" si="69"/>
        <v>10174.05249172876</v>
      </c>
      <c r="M60" s="263">
        <f t="shared" si="69"/>
        <v>11304.502768587505</v>
      </c>
      <c r="N60" s="263">
        <f t="shared" si="69"/>
        <v>13000.178183875632</v>
      </c>
      <c r="O60" s="273">
        <f>SUM(C60:N60)</f>
        <v>127075.11337644995</v>
      </c>
    </row>
    <row r="61" spans="2:17" ht="16" x14ac:dyDescent="0.15">
      <c r="B61" s="307" t="s">
        <v>137</v>
      </c>
      <c r="C61" s="260"/>
      <c r="D61" s="260"/>
      <c r="E61" s="260"/>
      <c r="F61" s="260"/>
      <c r="G61" s="260"/>
      <c r="H61" s="260"/>
      <c r="I61" s="260"/>
      <c r="J61" s="260"/>
      <c r="K61" s="260"/>
      <c r="L61" s="260"/>
      <c r="M61" s="260"/>
      <c r="N61" s="260"/>
      <c r="O61" s="265"/>
      <c r="Q61" s="155"/>
    </row>
    <row r="62" spans="2:17" ht="16" x14ac:dyDescent="0.15">
      <c r="B62" s="309" t="s">
        <v>116</v>
      </c>
      <c r="C62" s="308">
        <f>VLOOKUP(B61,'Tab. 6'!$B$38:$C$44,2,0)</f>
        <v>3500</v>
      </c>
      <c r="D62" s="260"/>
      <c r="E62" s="260"/>
      <c r="F62" s="260"/>
      <c r="G62" s="260"/>
      <c r="H62" s="260"/>
      <c r="I62" s="260"/>
      <c r="J62" s="260"/>
      <c r="K62" s="260"/>
      <c r="L62" s="260"/>
      <c r="M62" s="260"/>
      <c r="N62" s="260"/>
      <c r="O62" s="265"/>
      <c r="Q62" s="156"/>
    </row>
    <row r="63" spans="2:17" ht="16" x14ac:dyDescent="0.15">
      <c r="B63" s="309" t="s">
        <v>146</v>
      </c>
      <c r="C63" s="308">
        <f>VLOOKUP(B61,'Tab. 6'!$B$25:$D$31,2,0)</f>
        <v>30</v>
      </c>
      <c r="D63" s="260"/>
      <c r="E63" s="260"/>
      <c r="F63" s="260"/>
      <c r="G63" s="260"/>
      <c r="H63" s="260"/>
      <c r="I63" s="260"/>
      <c r="J63" s="260"/>
      <c r="K63" s="260"/>
      <c r="L63" s="260"/>
      <c r="M63" s="260"/>
      <c r="N63" s="260"/>
      <c r="O63" s="265"/>
      <c r="Q63" s="156"/>
    </row>
    <row r="64" spans="2:17" ht="16" x14ac:dyDescent="0.15">
      <c r="B64" s="309" t="s">
        <v>147</v>
      </c>
      <c r="C64" s="308">
        <f>VLOOKUP(B61,'Tab. 6'!$B$25:$D$31,3,0)</f>
        <v>3500</v>
      </c>
      <c r="D64" s="260"/>
      <c r="E64" s="260"/>
      <c r="F64" s="260"/>
      <c r="G64" s="260"/>
      <c r="H64" s="260"/>
      <c r="I64" s="260"/>
      <c r="J64" s="260"/>
      <c r="K64" s="260"/>
      <c r="L64" s="260"/>
      <c r="M64" s="260"/>
      <c r="N64" s="260"/>
      <c r="O64" s="265"/>
      <c r="Q64" s="156"/>
    </row>
    <row r="65" spans="2:17" ht="16" x14ac:dyDescent="0.15">
      <c r="B65" s="147"/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265"/>
      <c r="Q65" s="156"/>
    </row>
    <row r="66" spans="2:17" ht="16" x14ac:dyDescent="0.15">
      <c r="B66" s="147" t="s">
        <v>115</v>
      </c>
      <c r="C66" s="274">
        <f>+C62</f>
        <v>3500</v>
      </c>
      <c r="D66" s="258">
        <f>+C68</f>
        <v>3741.1687639396041</v>
      </c>
      <c r="E66" s="258">
        <f t="shared" ref="E66" si="70">+D68</f>
        <v>3919.3196574605345</v>
      </c>
      <c r="F66" s="258">
        <f t="shared" ref="F66" si="71">+E68</f>
        <v>3919.3196574605354</v>
      </c>
      <c r="G66" s="258">
        <f t="shared" ref="G66" si="72">+F68</f>
        <v>3500</v>
      </c>
      <c r="H66" s="258">
        <f t="shared" ref="H66" si="73">+G68</f>
        <v>3919.3196574605354</v>
      </c>
      <c r="I66" s="258">
        <f t="shared" ref="I66" si="74">+H68</f>
        <v>3741.1687639396023</v>
      </c>
      <c r="J66" s="258">
        <f t="shared" ref="J66" si="75">+I68</f>
        <v>3741.1687639396027</v>
      </c>
      <c r="K66" s="258">
        <f t="shared" ref="K66" si="76">+J68</f>
        <v>3500</v>
      </c>
      <c r="L66" s="258">
        <f t="shared" ref="L66" si="77">+K68</f>
        <v>3500</v>
      </c>
      <c r="M66" s="258">
        <f t="shared" ref="M66" si="78">+L68</f>
        <v>3768.1675895291683</v>
      </c>
      <c r="N66" s="258">
        <f t="shared" ref="N66" si="79">+M68</f>
        <v>4333.3927279585441</v>
      </c>
      <c r="O66" s="165"/>
      <c r="Q66" s="319"/>
    </row>
    <row r="67" spans="2:17" ht="16" x14ac:dyDescent="0.15">
      <c r="B67" s="267" t="s">
        <v>148</v>
      </c>
      <c r="C67" s="258">
        <f>IFERROR(VLOOKUP($B61,'Tab. 6'!$B$5:$D$7,3,0),0)*'Tab 5'!C$15+IFERROR(VLOOKUP($B61,'Tab. 6'!$B$12:$D$16,3,0),0)*'Tab 5'!C$28</f>
        <v>3608.373268716542</v>
      </c>
      <c r="D67" s="258">
        <f>IFERROR(VLOOKUP($B61,'Tab. 6'!$B$5:$D$7,3,0),0)*'Tab 5'!D$15+IFERROR(VLOOKUP($B61,'Tab. 6'!$B$12:$D$16,3,0),0)*'Tab 5'!D$28</f>
        <v>3741.1687639396041</v>
      </c>
      <c r="E67" s="258">
        <f>IFERROR(VLOOKUP($B61,'Tab. 6'!$B$5:$D$7,3,0),0)*'Tab 5'!E$15+IFERROR(VLOOKUP($B61,'Tab. 6'!$B$12:$D$16,3,0),0)*'Tab 5'!E$28</f>
        <v>3919.3196574605345</v>
      </c>
      <c r="F67" s="258">
        <f>IFERROR(VLOOKUP($B61,'Tab. 6'!$B$5:$D$7,3,0),0)*'Tab 5'!F$15+IFERROR(VLOOKUP($B61,'Tab. 6'!$B$12:$D$16,3,0),0)*'Tab 5'!F$28</f>
        <v>3919.3196574605354</v>
      </c>
      <c r="G67" s="258">
        <f>IFERROR(VLOOKUP($B61,'Tab. 6'!$B$5:$D$7,3,0),0)*'Tab 5'!G$15+IFERROR(VLOOKUP($B61,'Tab. 6'!$B$12:$D$16,3,0),0)*'Tab 5'!G$28</f>
        <v>2137.8107222512008</v>
      </c>
      <c r="H67" s="258">
        <f>IFERROR(VLOOKUP($B61,'Tab. 6'!$B$5:$D$7,3,0),0)*'Tab 5'!H$15+IFERROR(VLOOKUP($B61,'Tab. 6'!$B$12:$D$16,3,0),0)*'Tab 5'!H$28</f>
        <v>3919.3196574605354</v>
      </c>
      <c r="I67" s="258">
        <f>IFERROR(VLOOKUP($B61,'Tab. 6'!$B$5:$D$7,3,0),0)*'Tab 5'!I$15+IFERROR(VLOOKUP($B61,'Tab. 6'!$B$12:$D$16,3,0),0)*'Tab 5'!I$28</f>
        <v>3741.1687639396023</v>
      </c>
      <c r="J67" s="258">
        <f>IFERROR(VLOOKUP($B61,'Tab. 6'!$B$5:$D$7,3,0),0)*'Tab 5'!J$15+IFERROR(VLOOKUP($B61,'Tab. 6'!$B$12:$D$16,3,0),0)*'Tab 5'!J$28</f>
        <v>3741.1687639396027</v>
      </c>
      <c r="K67" s="258">
        <f>IFERROR(VLOOKUP($B61,'Tab. 6'!$B$5:$D$7,3,0),0)*'Tab 5'!K$15+IFERROR(VLOOKUP($B61,'Tab. 6'!$B$12:$D$16,3,0),0)*'Tab 5'!K$28</f>
        <v>2137.8107222512008</v>
      </c>
      <c r="L67" s="258">
        <f>IFERROR(VLOOKUP($B61,'Tab. 6'!$B$5:$D$7,3,0),0)*'Tab 5'!L$15+IFERROR(VLOOKUP($B61,'Tab. 6'!$B$12:$D$16,3,0),0)*'Tab 5'!L$28</f>
        <v>3391.3508305762534</v>
      </c>
      <c r="M67" s="258">
        <f>IFERROR(VLOOKUP($B61,'Tab. 6'!$B$5:$D$7,3,0),0)*'Tab 5'!M$15+IFERROR(VLOOKUP($B61,'Tab. 6'!$B$12:$D$16,3,0),0)*'Tab 5'!M$28</f>
        <v>3768.1675895291683</v>
      </c>
      <c r="N67" s="258">
        <f>IFERROR(VLOOKUP($B61,'Tab. 6'!$B$5:$D$7,3,0),0)*'Tab 5'!N$15+IFERROR(VLOOKUP($B61,'Tab. 6'!$B$12:$D$16,3,0),0)*'Tab 5'!N$28</f>
        <v>4333.3927279585441</v>
      </c>
      <c r="O67" s="165">
        <f>SUM(C67:N67)</f>
        <v>42358.371125483332</v>
      </c>
      <c r="Q67" s="319">
        <f>IFERROR(VLOOKUP($B61,'Tab. 6'!$B$5:$D$7,3,0),0)*'Tab 5'!Q$15+IFERROR(VLOOKUP($B61,'Tab. 6'!$B$12:$D$16,3,0),0)*'Tab 5'!Q$28</f>
        <v>3956.5759690056284</v>
      </c>
    </row>
    <row r="68" spans="2:17" ht="17" thickBot="1" x14ac:dyDescent="0.2">
      <c r="B68" s="267" t="s">
        <v>120</v>
      </c>
      <c r="C68" s="258">
        <f>+IF(D67&gt;=$C64,D67,$C64)</f>
        <v>3741.1687639396041</v>
      </c>
      <c r="D68" s="258">
        <f t="shared" ref="D68:G68" si="80">+IF(E67&gt;=$C64,E67,$C64)</f>
        <v>3919.3196574605345</v>
      </c>
      <c r="E68" s="258">
        <f t="shared" si="80"/>
        <v>3919.3196574605354</v>
      </c>
      <c r="F68" s="258">
        <f t="shared" si="80"/>
        <v>3500</v>
      </c>
      <c r="G68" s="258">
        <f t="shared" si="80"/>
        <v>3919.3196574605354</v>
      </c>
      <c r="H68" s="258">
        <f>+IF(I67&gt;=$C64,I67,$C64)</f>
        <v>3741.1687639396023</v>
      </c>
      <c r="I68" s="258">
        <f>+IF(J67&gt;=$C64,J67,$C64)</f>
        <v>3741.1687639396027</v>
      </c>
      <c r="J68" s="258">
        <f>+IF(K67&gt;=$C64,K67,$C64)</f>
        <v>3500</v>
      </c>
      <c r="K68" s="258">
        <f t="shared" ref="K68" si="81">+IF(L67&gt;=$C64,L67,$C64)</f>
        <v>3500</v>
      </c>
      <c r="L68" s="258">
        <f>+IF(M67&gt;=$C64,M67,$C64)</f>
        <v>3768.1675895291683</v>
      </c>
      <c r="M68" s="258">
        <f t="shared" ref="M68" si="82">+IF(N67&gt;=$C64,N67,$C64)</f>
        <v>4333.3927279585441</v>
      </c>
      <c r="N68" s="258">
        <f>+IF(Q67&gt;=$C64,Q67,$C64)</f>
        <v>3956.5759690056284</v>
      </c>
      <c r="O68" s="165"/>
      <c r="Q68" s="320"/>
    </row>
    <row r="69" spans="2:17" ht="17" thickBot="1" x14ac:dyDescent="0.2">
      <c r="B69" s="268" t="s">
        <v>149</v>
      </c>
      <c r="C69" s="263">
        <f>(C68-C66+C67)</f>
        <v>3849.5420326561461</v>
      </c>
      <c r="D69" s="263">
        <f t="shared" ref="D69:N69" si="83">(D68-D66+D67)</f>
        <v>3919.3196574605345</v>
      </c>
      <c r="E69" s="263">
        <f t="shared" si="83"/>
        <v>3919.3196574605354</v>
      </c>
      <c r="F69" s="263">
        <f t="shared" si="83"/>
        <v>3500</v>
      </c>
      <c r="G69" s="263">
        <f t="shared" si="83"/>
        <v>2557.1303797117362</v>
      </c>
      <c r="H69" s="263">
        <f t="shared" si="83"/>
        <v>3741.1687639396023</v>
      </c>
      <c r="I69" s="263">
        <f t="shared" si="83"/>
        <v>3741.1687639396027</v>
      </c>
      <c r="J69" s="263">
        <f t="shared" si="83"/>
        <v>3500</v>
      </c>
      <c r="K69" s="263">
        <f t="shared" si="83"/>
        <v>2137.8107222512008</v>
      </c>
      <c r="L69" s="263">
        <f t="shared" si="83"/>
        <v>3659.5184201054217</v>
      </c>
      <c r="M69" s="263">
        <f t="shared" si="83"/>
        <v>4333.3927279585441</v>
      </c>
      <c r="N69" s="263">
        <f t="shared" si="83"/>
        <v>3956.5759690056284</v>
      </c>
      <c r="O69" s="273">
        <f>SUM(C69:N69)</f>
        <v>42814.947094488962</v>
      </c>
    </row>
  </sheetData>
  <mergeCells count="1">
    <mergeCell ref="C5:O5"/>
  </mergeCells>
  <pageMargins left="0.25" right="0.25" top="0.75" bottom="0.75" header="0.3" footer="0.3"/>
  <pageSetup paperSize="9" scale="43" orientation="landscape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B28B6-48AB-594D-B53F-B884DFE95C4A}">
  <sheetPr>
    <pageSetUpPr fitToPage="1"/>
  </sheetPr>
  <dimension ref="B2:O61"/>
  <sheetViews>
    <sheetView showGridLines="0" topLeftCell="A44" zoomScale="194" zoomScaleNormal="170" workbookViewId="0">
      <selection activeCell="D61" sqref="D61"/>
    </sheetView>
  </sheetViews>
  <sheetFormatPr baseColWidth="10" defaultRowHeight="13" x14ac:dyDescent="0.15"/>
  <cols>
    <col min="2" max="2" width="29" bestFit="1" customWidth="1"/>
    <col min="3" max="4" width="12.33203125" bestFit="1" customWidth="1"/>
    <col min="5" max="14" width="11.1640625" bestFit="1" customWidth="1"/>
    <col min="15" max="15" width="12.83203125" bestFit="1" customWidth="1"/>
    <col min="16" max="16" width="2.1640625" customWidth="1"/>
  </cols>
  <sheetData>
    <row r="2" spans="2:15" ht="16" x14ac:dyDescent="0.15">
      <c r="B2" s="77" t="s">
        <v>157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2:15" x14ac:dyDescent="0.15"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2:15" ht="14" thickBot="1" x14ac:dyDescent="0.2"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2:15" ht="16" x14ac:dyDescent="0.15">
      <c r="B5" s="256"/>
      <c r="C5" s="410" t="s">
        <v>80</v>
      </c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9"/>
    </row>
    <row r="6" spans="2:15" ht="16" x14ac:dyDescent="0.15">
      <c r="B6" s="266"/>
      <c r="C6" s="264" t="s">
        <v>95</v>
      </c>
      <c r="D6" s="264" t="s">
        <v>96</v>
      </c>
      <c r="E6" s="264" t="s">
        <v>97</v>
      </c>
      <c r="F6" s="264" t="s">
        <v>98</v>
      </c>
      <c r="G6" s="264" t="s">
        <v>99</v>
      </c>
      <c r="H6" s="264" t="s">
        <v>100</v>
      </c>
      <c r="I6" s="264" t="s">
        <v>101</v>
      </c>
      <c r="J6" s="264" t="s">
        <v>102</v>
      </c>
      <c r="K6" s="264" t="s">
        <v>103</v>
      </c>
      <c r="L6" s="264" t="s">
        <v>104</v>
      </c>
      <c r="M6" s="264" t="s">
        <v>105</v>
      </c>
      <c r="N6" s="264" t="s">
        <v>106</v>
      </c>
      <c r="O6" s="269" t="s">
        <v>63</v>
      </c>
    </row>
    <row r="7" spans="2:15" ht="16" x14ac:dyDescent="0.15">
      <c r="B7" s="307" t="s">
        <v>127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5"/>
    </row>
    <row r="8" spans="2:15" ht="16" x14ac:dyDescent="0.15">
      <c r="B8" s="309" t="s">
        <v>154</v>
      </c>
      <c r="C8" s="332">
        <f>VLOOKUP(B7,'Tab. 6'!$B$5:$F$16,4,0)</f>
        <v>5</v>
      </c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5"/>
    </row>
    <row r="9" spans="2:15" ht="16" x14ac:dyDescent="0.15">
      <c r="B9" s="147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5"/>
    </row>
    <row r="10" spans="2:15" ht="16" x14ac:dyDescent="0.15">
      <c r="B10" s="147" t="s">
        <v>115</v>
      </c>
      <c r="C10" s="333">
        <f>C8*'Tab. 7'!C12</f>
        <v>245000</v>
      </c>
      <c r="D10" s="334">
        <f>+C13</f>
        <v>228759.75289507545</v>
      </c>
      <c r="E10" s="334">
        <f t="shared" ref="E10:N10" si="0">+D13</f>
        <v>228759.75289507548</v>
      </c>
      <c r="F10" s="334">
        <f t="shared" si="0"/>
        <v>239653.07446150761</v>
      </c>
      <c r="G10" s="334">
        <f t="shared" si="0"/>
        <v>239653.07446150764</v>
      </c>
      <c r="H10" s="334">
        <f>+G13</f>
        <v>224999.99999999997</v>
      </c>
      <c r="I10" s="334">
        <f t="shared" si="0"/>
        <v>239653.07446150761</v>
      </c>
      <c r="J10" s="334">
        <f t="shared" si="0"/>
        <v>228759.75289507545</v>
      </c>
      <c r="K10" s="334">
        <f t="shared" si="0"/>
        <v>228759.75289507548</v>
      </c>
      <c r="L10" s="334">
        <f t="shared" si="0"/>
        <v>224999.99999999997</v>
      </c>
      <c r="M10" s="334">
        <f t="shared" si="0"/>
        <v>224999.99999999997</v>
      </c>
      <c r="N10" s="334">
        <f t="shared" si="0"/>
        <v>224999.99999999997</v>
      </c>
      <c r="O10" s="165"/>
    </row>
    <row r="11" spans="2:15" ht="16" x14ac:dyDescent="0.15">
      <c r="B11" s="267" t="s">
        <v>155</v>
      </c>
      <c r="C11" s="333">
        <f>$C8*'Tab. 7'!C13</f>
        <v>195742.61555236208</v>
      </c>
      <c r="D11" s="333">
        <f>$C8*'Tab. 7'!D13</f>
        <v>228759.75289507548</v>
      </c>
      <c r="E11" s="333">
        <f>$C8*'Tab. 7'!E13</f>
        <v>228759.75289507551</v>
      </c>
      <c r="F11" s="333">
        <f>$C8*'Tab. 7'!F13</f>
        <v>239653.07446150764</v>
      </c>
      <c r="G11" s="333">
        <f>$C8*'Tab. 7'!G13</f>
        <v>239653.07446150767</v>
      </c>
      <c r="H11" s="333">
        <f>$C8*'Tab. 7'!H13</f>
        <v>130719.858797186</v>
      </c>
      <c r="I11" s="333">
        <f>$C8*'Tab. 7'!I13</f>
        <v>239653.07446150764</v>
      </c>
      <c r="J11" s="333">
        <f>$C8*'Tab. 7'!J13</f>
        <v>228759.75289507548</v>
      </c>
      <c r="K11" s="333">
        <f>$C8*'Tab. 7'!K13</f>
        <v>228759.75289507551</v>
      </c>
      <c r="L11" s="333">
        <f>$C8*'Tab. 7'!L13</f>
        <v>130719.85879718597</v>
      </c>
      <c r="M11" s="333">
        <f>$C8*'Tab. 7'!M13</f>
        <v>192612.97144905629</v>
      </c>
      <c r="N11" s="333">
        <f>$C8*'Tab. 7'!N13</f>
        <v>214014.41272117366</v>
      </c>
      <c r="O11" s="169">
        <f>SUM(C11:N11)</f>
        <v>2497807.9522817894</v>
      </c>
    </row>
    <row r="12" spans="2:15" ht="17" thickBot="1" x14ac:dyDescent="0.2">
      <c r="B12" s="267" t="s">
        <v>156</v>
      </c>
      <c r="C12" s="334">
        <f>$C8*'Tab. 7'!C15</f>
        <v>179502.36844743753</v>
      </c>
      <c r="D12" s="334">
        <f>$C8*'Tab. 7'!D15</f>
        <v>228759.75289507551</v>
      </c>
      <c r="E12" s="334">
        <f>$C8*'Tab. 7'!E15</f>
        <v>239653.07446150764</v>
      </c>
      <c r="F12" s="334">
        <f>$C8*'Tab. 7'!F15</f>
        <v>239653.07446150767</v>
      </c>
      <c r="G12" s="334">
        <f>$C8*'Tab. 7'!G15</f>
        <v>225000</v>
      </c>
      <c r="H12" s="334">
        <f>$C8*'Tab. 7'!H15</f>
        <v>145372.93325869364</v>
      </c>
      <c r="I12" s="334">
        <f>$C8*'Tab. 7'!I15</f>
        <v>228759.75289507548</v>
      </c>
      <c r="J12" s="334">
        <f>$C8*'Tab. 7'!J15</f>
        <v>228759.75289507551</v>
      </c>
      <c r="K12" s="334">
        <f>$C8*'Tab. 7'!K15</f>
        <v>225000</v>
      </c>
      <c r="L12" s="334">
        <f>$C8*'Tab. 7'!L15</f>
        <v>130719.85879718597</v>
      </c>
      <c r="M12" s="334">
        <f>$C8*'Tab. 7'!M15</f>
        <v>192612.97144905629</v>
      </c>
      <c r="N12" s="334">
        <f>$C8*'Tab. 7'!N15</f>
        <v>235130.98735052338</v>
      </c>
      <c r="O12" s="169">
        <f>SUM(C12:N12)</f>
        <v>2498924.526911139</v>
      </c>
    </row>
    <row r="13" spans="2:15" ht="17" thickBot="1" x14ac:dyDescent="0.2">
      <c r="B13" s="268" t="s">
        <v>120</v>
      </c>
      <c r="C13" s="335">
        <f>C10-C11+C12</f>
        <v>228759.75289507545</v>
      </c>
      <c r="D13" s="335">
        <f t="shared" ref="D13:F13" si="1">D10-D11+D12</f>
        <v>228759.75289507548</v>
      </c>
      <c r="E13" s="335">
        <f t="shared" si="1"/>
        <v>239653.07446150761</v>
      </c>
      <c r="F13" s="335">
        <f t="shared" si="1"/>
        <v>239653.07446150764</v>
      </c>
      <c r="G13" s="335">
        <f t="shared" ref="G13" si="2">G10-G11+G12</f>
        <v>224999.99999999997</v>
      </c>
      <c r="H13" s="335">
        <f t="shared" ref="H13:I13" si="3">H10-H11+H12</f>
        <v>239653.07446150761</v>
      </c>
      <c r="I13" s="335">
        <f t="shared" si="3"/>
        <v>228759.75289507545</v>
      </c>
      <c r="J13" s="335">
        <f t="shared" ref="J13" si="4">J10-J11+J12</f>
        <v>228759.75289507548</v>
      </c>
      <c r="K13" s="335">
        <f t="shared" ref="K13:L13" si="5">K10-K11+K12</f>
        <v>224999.99999999997</v>
      </c>
      <c r="L13" s="335">
        <f t="shared" si="5"/>
        <v>224999.99999999997</v>
      </c>
      <c r="M13" s="335">
        <f t="shared" ref="M13" si="6">M10-M11+M12</f>
        <v>224999.99999999997</v>
      </c>
      <c r="N13" s="335">
        <f>N10-N11+N12</f>
        <v>246116.57462934969</v>
      </c>
      <c r="O13" s="273"/>
    </row>
    <row r="14" spans="2:15" ht="16" x14ac:dyDescent="0.15">
      <c r="B14" s="307" t="s">
        <v>128</v>
      </c>
      <c r="C14" s="336"/>
      <c r="D14" s="336"/>
      <c r="E14" s="336"/>
      <c r="F14" s="336"/>
      <c r="G14" s="336"/>
      <c r="H14" s="336"/>
      <c r="I14" s="336"/>
      <c r="J14" s="336"/>
      <c r="K14" s="336"/>
      <c r="L14" s="336"/>
      <c r="M14" s="336"/>
      <c r="N14" s="336"/>
      <c r="O14" s="265"/>
    </row>
    <row r="15" spans="2:15" ht="16" x14ac:dyDescent="0.15">
      <c r="B15" s="309" t="s">
        <v>154</v>
      </c>
      <c r="C15" s="332">
        <f>VLOOKUP(B14,'Tab. 6'!$B$5:$F$16,4,0)</f>
        <v>74.999650000000003</v>
      </c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5"/>
    </row>
    <row r="16" spans="2:15" ht="16" x14ac:dyDescent="0.15">
      <c r="B16" s="147"/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5"/>
    </row>
    <row r="17" spans="2:15" ht="16" x14ac:dyDescent="0.15">
      <c r="B17" s="147" t="s">
        <v>115</v>
      </c>
      <c r="C17" s="333">
        <f>C15*'Tab. 7'!C21</f>
        <v>4499979</v>
      </c>
      <c r="D17" s="334">
        <f>+C20</f>
        <v>4499979</v>
      </c>
      <c r="E17" s="334">
        <f t="shared" ref="E17:G17" si="7">+D20</f>
        <v>4499979</v>
      </c>
      <c r="F17" s="334">
        <f t="shared" si="7"/>
        <v>4499979</v>
      </c>
      <c r="G17" s="334">
        <f t="shared" si="7"/>
        <v>4499979</v>
      </c>
      <c r="H17" s="334">
        <f>+G20</f>
        <v>4499979</v>
      </c>
      <c r="I17" s="334">
        <f t="shared" ref="I17:N17" si="8">+H20</f>
        <v>4499979</v>
      </c>
      <c r="J17" s="334">
        <f t="shared" si="8"/>
        <v>4499979</v>
      </c>
      <c r="K17" s="334">
        <f t="shared" si="8"/>
        <v>4499979</v>
      </c>
      <c r="L17" s="334">
        <f t="shared" si="8"/>
        <v>4499979</v>
      </c>
      <c r="M17" s="334">
        <f t="shared" si="8"/>
        <v>4499979</v>
      </c>
      <c r="N17" s="334">
        <f t="shared" si="8"/>
        <v>4499979</v>
      </c>
      <c r="O17" s="165"/>
    </row>
    <row r="18" spans="2:15" ht="16" x14ac:dyDescent="0.15">
      <c r="B18" s="267" t="s">
        <v>155</v>
      </c>
      <c r="C18" s="333">
        <f>$C15*'Tab. 7'!C22</f>
        <v>3914834.0417364566</v>
      </c>
      <c r="D18" s="333">
        <f>$C15*'Tab. 7'!D22</f>
        <v>4575173.7069912395</v>
      </c>
      <c r="E18" s="333">
        <f>$C15*'Tab. 7'!E22</f>
        <v>4575173.7069912395</v>
      </c>
      <c r="F18" s="333">
        <f>$C15*'Tab. 7'!F22</f>
        <v>4793039.1216098694</v>
      </c>
      <c r="G18" s="333">
        <f>$C15*'Tab. 7'!G22</f>
        <v>4793039.1216098703</v>
      </c>
      <c r="H18" s="333">
        <f>$C15*'Tab. 7'!H22</f>
        <v>2614384.9754235656</v>
      </c>
      <c r="I18" s="333">
        <f>$C15*'Tab. 7'!I22</f>
        <v>4793039.1216098703</v>
      </c>
      <c r="J18" s="333">
        <f>$C15*'Tab. 7'!J22</f>
        <v>4575173.7069912395</v>
      </c>
      <c r="K18" s="333">
        <f>$C15*'Tab. 7'!K22</f>
        <v>4575173.7069912404</v>
      </c>
      <c r="L18" s="333">
        <f>$C15*'Tab. 7'!L22</f>
        <v>2614384.9754235651</v>
      </c>
      <c r="M18" s="333">
        <f>$C15*'Tab. 7'!M22</f>
        <v>3852241.4517704574</v>
      </c>
      <c r="N18" s="333">
        <f>$C15*'Tab. 7'!N22</f>
        <v>4280268.2797449529</v>
      </c>
      <c r="O18" s="169">
        <f>SUM(C18:N18)</f>
        <v>49955925.916893564</v>
      </c>
    </row>
    <row r="19" spans="2:15" ht="17" thickBot="1" x14ac:dyDescent="0.2">
      <c r="B19" s="267" t="s">
        <v>156</v>
      </c>
      <c r="C19" s="334">
        <f>$C15*'Tab. 7'!C24</f>
        <v>3914834.0417364566</v>
      </c>
      <c r="D19" s="334">
        <f>$C15*'Tab. 7'!D24</f>
        <v>4575173.7069912395</v>
      </c>
      <c r="E19" s="334">
        <f>$C15*'Tab. 7'!E24</f>
        <v>4575173.7069912395</v>
      </c>
      <c r="F19" s="334">
        <f>$C15*'Tab. 7'!F24</f>
        <v>4793039.1216098694</v>
      </c>
      <c r="G19" s="334">
        <f>$C15*'Tab. 7'!G24</f>
        <v>4793039.1216098703</v>
      </c>
      <c r="H19" s="334">
        <f>$C15*'Tab. 7'!H24</f>
        <v>2614384.9754235656</v>
      </c>
      <c r="I19" s="334">
        <f>$C15*'Tab. 7'!I24</f>
        <v>4793039.1216098703</v>
      </c>
      <c r="J19" s="334">
        <f>$C15*'Tab. 7'!J24</f>
        <v>4575173.7069912395</v>
      </c>
      <c r="K19" s="334">
        <f>$C15*'Tab. 7'!K24</f>
        <v>4575173.7069912404</v>
      </c>
      <c r="L19" s="334">
        <f>$C15*'Tab. 7'!L24</f>
        <v>2614384.9754235651</v>
      </c>
      <c r="M19" s="334">
        <f>$C15*'Tab. 7'!M24</f>
        <v>3852241.4517704574</v>
      </c>
      <c r="N19" s="334">
        <f>$C15*'Tab. 7'!N24</f>
        <v>4280268.2797449529</v>
      </c>
      <c r="O19" s="169">
        <f>SUM(C19:N19)</f>
        <v>49955925.916893564</v>
      </c>
    </row>
    <row r="20" spans="2:15" ht="17" thickBot="1" x14ac:dyDescent="0.2">
      <c r="B20" s="268" t="s">
        <v>120</v>
      </c>
      <c r="C20" s="335">
        <f>C17-C18+C19</f>
        <v>4499979</v>
      </c>
      <c r="D20" s="335">
        <f t="shared" ref="D20" si="9">D17-D18+D19</f>
        <v>4499979</v>
      </c>
      <c r="E20" s="335">
        <f t="shared" ref="E20" si="10">E17-E18+E19</f>
        <v>4499979</v>
      </c>
      <c r="F20" s="335">
        <f t="shared" ref="F20" si="11">F17-F18+F19</f>
        <v>4499979</v>
      </c>
      <c r="G20" s="335">
        <f t="shared" ref="G20" si="12">G17-G18+G19</f>
        <v>4499979</v>
      </c>
      <c r="H20" s="335">
        <f t="shared" ref="H20" si="13">H17-H18+H19</f>
        <v>4499979</v>
      </c>
      <c r="I20" s="335">
        <f t="shared" ref="I20" si="14">I17-I18+I19</f>
        <v>4499979</v>
      </c>
      <c r="J20" s="335">
        <f t="shared" ref="J20" si="15">J17-J18+J19</f>
        <v>4499979</v>
      </c>
      <c r="K20" s="335">
        <f t="shared" ref="K20" si="16">K17-K18+K19</f>
        <v>4499979</v>
      </c>
      <c r="L20" s="335">
        <f t="shared" ref="L20" si="17">L17-L18+L19</f>
        <v>4499979</v>
      </c>
      <c r="M20" s="335">
        <f t="shared" ref="M20" si="18">M17-M18+M19</f>
        <v>4499979</v>
      </c>
      <c r="N20" s="335">
        <f>N17-N18+N19</f>
        <v>4499979</v>
      </c>
      <c r="O20" s="273"/>
    </row>
    <row r="21" spans="2:15" ht="16" x14ac:dyDescent="0.15">
      <c r="B21" s="307" t="s">
        <v>129</v>
      </c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5"/>
    </row>
    <row r="22" spans="2:15" ht="16" x14ac:dyDescent="0.15">
      <c r="B22" s="309" t="s">
        <v>154</v>
      </c>
      <c r="C22" s="332">
        <f>VLOOKUP(B21,'Tab. 6'!$B$5:$F$16,4,0)</f>
        <v>30</v>
      </c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5"/>
    </row>
    <row r="23" spans="2:15" ht="16" x14ac:dyDescent="0.15">
      <c r="B23" s="147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5"/>
    </row>
    <row r="24" spans="2:15" ht="16" x14ac:dyDescent="0.15">
      <c r="B24" s="147" t="s">
        <v>115</v>
      </c>
      <c r="C24" s="333">
        <f>C22*'Tab. 7'!C30</f>
        <v>1884000</v>
      </c>
      <c r="D24" s="334">
        <f>+C27</f>
        <v>1884000</v>
      </c>
      <c r="E24" s="334">
        <f t="shared" ref="E24:G24" si="19">+D27</f>
        <v>1884000</v>
      </c>
      <c r="F24" s="334">
        <f t="shared" si="19"/>
        <v>1884000</v>
      </c>
      <c r="G24" s="334">
        <f t="shared" si="19"/>
        <v>1884000</v>
      </c>
      <c r="H24" s="334">
        <f>+G27</f>
        <v>1884000</v>
      </c>
      <c r="I24" s="334">
        <f t="shared" ref="I24:N24" si="20">+H27</f>
        <v>1884000</v>
      </c>
      <c r="J24" s="334">
        <f t="shared" si="20"/>
        <v>1884000</v>
      </c>
      <c r="K24" s="334">
        <f t="shared" si="20"/>
        <v>1884000</v>
      </c>
      <c r="L24" s="334">
        <f t="shared" si="20"/>
        <v>1884000</v>
      </c>
      <c r="M24" s="334">
        <f t="shared" si="20"/>
        <v>1884000</v>
      </c>
      <c r="N24" s="334">
        <f t="shared" si="20"/>
        <v>1884000</v>
      </c>
      <c r="O24" s="165"/>
    </row>
    <row r="25" spans="2:15" ht="16" x14ac:dyDescent="0.15">
      <c r="B25" s="267" t="s">
        <v>155</v>
      </c>
      <c r="C25" s="333">
        <f>$C22*'Tab. 7'!C31</f>
        <v>1652541.8828680934</v>
      </c>
      <c r="D25" s="333">
        <f>$C22*'Tab. 7'!D31</f>
        <v>1919866.0734951543</v>
      </c>
      <c r="E25" s="333">
        <f>$C22*'Tab. 7'!E31</f>
        <v>1924141.6949396569</v>
      </c>
      <c r="F25" s="333">
        <f>$C22*'Tab. 7'!F31</f>
        <v>2011288.2674711137</v>
      </c>
      <c r="G25" s="333">
        <f>$C22*'Tab. 7'!G31</f>
        <v>1968532.0530260901</v>
      </c>
      <c r="H25" s="333">
        <f>$C22*'Tab. 7'!H31</f>
        <v>1139822.5421565408</v>
      </c>
      <c r="I25" s="333">
        <f>$C22*'Tab. 7'!I31</f>
        <v>2007012.6460266116</v>
      </c>
      <c r="J25" s="333">
        <f>$C22*'Tab. 7'!J31</f>
        <v>1919866.0734951543</v>
      </c>
      <c r="K25" s="333">
        <f>$C22*'Tab. 7'!K31</f>
        <v>1881385.4804946329</v>
      </c>
      <c r="L25" s="333">
        <f>$C22*'Tab. 7'!L31</f>
        <v>1127151.2903113179</v>
      </c>
      <c r="M25" s="333">
        <f>$C22*'Tab. 7'!M31</f>
        <v>1631339.7937411503</v>
      </c>
      <c r="N25" s="333">
        <f>$C22*'Tab. 7'!N31</f>
        <v>1816116.7272403943</v>
      </c>
      <c r="O25" s="169">
        <f>SUM(C25:N25)</f>
        <v>20999064.52526591</v>
      </c>
    </row>
    <row r="26" spans="2:15" ht="17" thickBot="1" x14ac:dyDescent="0.2">
      <c r="B26" s="267" t="s">
        <v>156</v>
      </c>
      <c r="C26" s="334">
        <f>$C22*'Tab. 7'!C33</f>
        <v>1652541.8828680934</v>
      </c>
      <c r="D26" s="334">
        <f>$C22*'Tab. 7'!D33</f>
        <v>1919866.0734951543</v>
      </c>
      <c r="E26" s="334">
        <f>$C22*'Tab. 7'!E33</f>
        <v>1924141.6949396569</v>
      </c>
      <c r="F26" s="334">
        <f>$C22*'Tab. 7'!F33</f>
        <v>2011288.2674711137</v>
      </c>
      <c r="G26" s="334">
        <f>$C22*'Tab. 7'!G33</f>
        <v>1968532.0530260901</v>
      </c>
      <c r="H26" s="334">
        <f>$C22*'Tab. 7'!H33</f>
        <v>1139822.5421565408</v>
      </c>
      <c r="I26" s="334">
        <f>$C22*'Tab. 7'!I33</f>
        <v>2007012.6460266116</v>
      </c>
      <c r="J26" s="334">
        <f>$C22*'Tab. 7'!J33</f>
        <v>1919866.0734951543</v>
      </c>
      <c r="K26" s="334">
        <f>$C22*'Tab. 7'!K33</f>
        <v>1881385.4804946329</v>
      </c>
      <c r="L26" s="334">
        <f>$C22*'Tab. 7'!L33</f>
        <v>1127151.2903113179</v>
      </c>
      <c r="M26" s="334">
        <f>$C22*'Tab. 7'!M33</f>
        <v>1631339.7937411503</v>
      </c>
      <c r="N26" s="334">
        <f>$C22*'Tab. 7'!N33</f>
        <v>1816116.7272403943</v>
      </c>
      <c r="O26" s="169">
        <f>SUM(C26:N26)</f>
        <v>20999064.52526591</v>
      </c>
    </row>
    <row r="27" spans="2:15" ht="17" thickBot="1" x14ac:dyDescent="0.2">
      <c r="B27" s="268" t="s">
        <v>120</v>
      </c>
      <c r="C27" s="335">
        <f>C24-C25+C26</f>
        <v>1884000</v>
      </c>
      <c r="D27" s="335">
        <f t="shared" ref="D27" si="21">D24-D25+D26</f>
        <v>1884000</v>
      </c>
      <c r="E27" s="335">
        <f t="shared" ref="E27" si="22">E24-E25+E26</f>
        <v>1884000</v>
      </c>
      <c r="F27" s="335">
        <f t="shared" ref="F27" si="23">F24-F25+F26</f>
        <v>1884000</v>
      </c>
      <c r="G27" s="335">
        <f t="shared" ref="G27" si="24">G24-G25+G26</f>
        <v>1884000</v>
      </c>
      <c r="H27" s="335">
        <f t="shared" ref="H27" si="25">H24-H25+H26</f>
        <v>1884000</v>
      </c>
      <c r="I27" s="335">
        <f t="shared" ref="I27" si="26">I24-I25+I26</f>
        <v>1884000</v>
      </c>
      <c r="J27" s="335">
        <f t="shared" ref="J27" si="27">J24-J25+J26</f>
        <v>1884000</v>
      </c>
      <c r="K27" s="335">
        <f t="shared" ref="K27" si="28">K24-K25+K26</f>
        <v>1884000</v>
      </c>
      <c r="L27" s="335">
        <f t="shared" ref="L27" si="29">L24-L25+L26</f>
        <v>1884000</v>
      </c>
      <c r="M27" s="335">
        <f t="shared" ref="M27" si="30">M24-M25+M26</f>
        <v>1884000</v>
      </c>
      <c r="N27" s="335">
        <f>N24-N25+N26</f>
        <v>1884000</v>
      </c>
      <c r="O27" s="273"/>
    </row>
    <row r="28" spans="2:15" ht="16" x14ac:dyDescent="0.15">
      <c r="B28" s="307" t="s">
        <v>74</v>
      </c>
      <c r="C28" s="260"/>
      <c r="D28" s="260"/>
      <c r="E28" s="260"/>
      <c r="F28" s="260"/>
      <c r="G28" s="260"/>
      <c r="H28" s="260"/>
      <c r="I28" s="260"/>
      <c r="J28" s="260"/>
      <c r="K28" s="260"/>
      <c r="L28" s="260"/>
      <c r="M28" s="260"/>
      <c r="N28" s="260"/>
      <c r="O28" s="265"/>
    </row>
    <row r="29" spans="2:15" ht="16" x14ac:dyDescent="0.15">
      <c r="B29" s="309" t="s">
        <v>154</v>
      </c>
      <c r="C29" s="332">
        <f>VLOOKUP(B28,'Tab. 6'!$B$5:$F$16,4,0)</f>
        <v>50</v>
      </c>
      <c r="D29" s="260"/>
      <c r="E29" s="260"/>
      <c r="F29" s="260"/>
      <c r="G29" s="260"/>
      <c r="H29" s="260"/>
      <c r="I29" s="260"/>
      <c r="J29" s="260"/>
      <c r="K29" s="260"/>
      <c r="L29" s="260"/>
      <c r="M29" s="260"/>
      <c r="N29" s="260"/>
      <c r="O29" s="265"/>
    </row>
    <row r="30" spans="2:15" ht="16" x14ac:dyDescent="0.15">
      <c r="B30" s="147"/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5"/>
    </row>
    <row r="31" spans="2:15" ht="16" x14ac:dyDescent="0.15">
      <c r="B31" s="147" t="s">
        <v>115</v>
      </c>
      <c r="C31" s="333">
        <f>C29*'Tab. 7'!C39</f>
        <v>175000</v>
      </c>
      <c r="D31" s="334">
        <f>+C34</f>
        <v>175000</v>
      </c>
      <c r="E31" s="334">
        <f t="shared" ref="E31:G31" si="31">+D34</f>
        <v>175000</v>
      </c>
      <c r="F31" s="334">
        <f t="shared" si="31"/>
        <v>175000</v>
      </c>
      <c r="G31" s="334">
        <f t="shared" si="31"/>
        <v>175000</v>
      </c>
      <c r="H31" s="334">
        <f>+G34</f>
        <v>175000</v>
      </c>
      <c r="I31" s="334">
        <f t="shared" ref="I31:N31" si="32">+H34</f>
        <v>175000</v>
      </c>
      <c r="J31" s="334">
        <f t="shared" si="32"/>
        <v>175000</v>
      </c>
      <c r="K31" s="334">
        <f t="shared" si="32"/>
        <v>175000</v>
      </c>
      <c r="L31" s="334">
        <f t="shared" si="32"/>
        <v>175000</v>
      </c>
      <c r="M31" s="334">
        <f t="shared" si="32"/>
        <v>175000</v>
      </c>
      <c r="N31" s="334">
        <f t="shared" si="32"/>
        <v>175000</v>
      </c>
      <c r="O31" s="165"/>
    </row>
    <row r="32" spans="2:15" ht="16" x14ac:dyDescent="0.15">
      <c r="B32" s="267" t="s">
        <v>155</v>
      </c>
      <c r="C32" s="333">
        <f>$C29*'Tab. 7'!C40</f>
        <v>90209.331717913548</v>
      </c>
      <c r="D32" s="333">
        <f>$C29*'Tab. 7'!D40</f>
        <v>93529.21909849011</v>
      </c>
      <c r="E32" s="333">
        <f>$C29*'Tab. 7'!E40</f>
        <v>97982.991436513359</v>
      </c>
      <c r="F32" s="333">
        <f>$C29*'Tab. 7'!F40</f>
        <v>97982.991436513388</v>
      </c>
      <c r="G32" s="333">
        <f>$C29*'Tab. 7'!G40</f>
        <v>53445.268056280023</v>
      </c>
      <c r="H32" s="333">
        <f>$C29*'Tab. 7'!H40</f>
        <v>97982.991436513388</v>
      </c>
      <c r="I32" s="333">
        <f>$C29*'Tab. 7'!I40</f>
        <v>93529.219098490052</v>
      </c>
      <c r="J32" s="333">
        <f>$C29*'Tab. 7'!J40</f>
        <v>93529.219098490066</v>
      </c>
      <c r="K32" s="333">
        <f>$C29*'Tab. 7'!K40</f>
        <v>53445.268056280023</v>
      </c>
      <c r="L32" s="333">
        <f>$C29*'Tab. 7'!L40</f>
        <v>84783.770764406334</v>
      </c>
      <c r="M32" s="333">
        <f>$C29*'Tab. 7'!M40</f>
        <v>94204.189738229208</v>
      </c>
      <c r="N32" s="333">
        <f>$C29*'Tab. 7'!N40</f>
        <v>108334.81819896361</v>
      </c>
      <c r="O32" s="169">
        <f>SUM(C32:N32)</f>
        <v>1058959.2781370829</v>
      </c>
    </row>
    <row r="33" spans="2:15" ht="17" thickBot="1" x14ac:dyDescent="0.2">
      <c r="B33" s="267" t="s">
        <v>156</v>
      </c>
      <c r="C33" s="334">
        <f>$C29*'Tab. 7'!C42</f>
        <v>90209.331717913548</v>
      </c>
      <c r="D33" s="334">
        <f>$C29*'Tab. 7'!D42</f>
        <v>93529.21909849011</v>
      </c>
      <c r="E33" s="334">
        <f>$C29*'Tab. 7'!E42</f>
        <v>97982.991436513359</v>
      </c>
      <c r="F33" s="334">
        <f>$C29*'Tab. 7'!F42</f>
        <v>97982.991436513388</v>
      </c>
      <c r="G33" s="334">
        <f>$C29*'Tab. 7'!G42</f>
        <v>53445.268056280023</v>
      </c>
      <c r="H33" s="334">
        <f>$C29*'Tab. 7'!H42</f>
        <v>97982.991436513388</v>
      </c>
      <c r="I33" s="334">
        <f>$C29*'Tab. 7'!I42</f>
        <v>93529.219098490052</v>
      </c>
      <c r="J33" s="334">
        <f>$C29*'Tab. 7'!J42</f>
        <v>93529.219098490066</v>
      </c>
      <c r="K33" s="334">
        <f>$C29*'Tab. 7'!K42</f>
        <v>53445.268056280023</v>
      </c>
      <c r="L33" s="334">
        <f>$C29*'Tab. 7'!L42</f>
        <v>84783.770764406334</v>
      </c>
      <c r="M33" s="334">
        <f>$C29*'Tab. 7'!M42</f>
        <v>94204.189738229208</v>
      </c>
      <c r="N33" s="334">
        <f>$C29*'Tab. 7'!N42</f>
        <v>108334.81819896361</v>
      </c>
      <c r="O33" s="169">
        <f>SUM(C33:N33)</f>
        <v>1058959.2781370829</v>
      </c>
    </row>
    <row r="34" spans="2:15" ht="17" thickBot="1" x14ac:dyDescent="0.2">
      <c r="B34" s="268" t="s">
        <v>120</v>
      </c>
      <c r="C34" s="335">
        <f>C31-C32+C33</f>
        <v>175000</v>
      </c>
      <c r="D34" s="335">
        <f t="shared" ref="D34" si="33">D31-D32+D33</f>
        <v>175000</v>
      </c>
      <c r="E34" s="335">
        <f t="shared" ref="E34" si="34">E31-E32+E33</f>
        <v>175000</v>
      </c>
      <c r="F34" s="335">
        <f t="shared" ref="F34" si="35">F31-F32+F33</f>
        <v>175000</v>
      </c>
      <c r="G34" s="335">
        <f t="shared" ref="G34" si="36">G31-G32+G33</f>
        <v>175000</v>
      </c>
      <c r="H34" s="335">
        <f t="shared" ref="H34" si="37">H31-H32+H33</f>
        <v>175000</v>
      </c>
      <c r="I34" s="335">
        <f t="shared" ref="I34" si="38">I31-I32+I33</f>
        <v>175000</v>
      </c>
      <c r="J34" s="335">
        <f t="shared" ref="J34" si="39">J31-J32+J33</f>
        <v>175000</v>
      </c>
      <c r="K34" s="335">
        <f t="shared" ref="K34" si="40">K31-K32+K33</f>
        <v>175000</v>
      </c>
      <c r="L34" s="335">
        <f t="shared" ref="L34" si="41">L31-L32+L33</f>
        <v>175000</v>
      </c>
      <c r="M34" s="335">
        <f t="shared" ref="M34" si="42">M31-M32+M33</f>
        <v>175000</v>
      </c>
      <c r="N34" s="335">
        <f>N31-N32+N33</f>
        <v>175000</v>
      </c>
      <c r="O34" s="273"/>
    </row>
    <row r="35" spans="2:15" ht="16" x14ac:dyDescent="0.15">
      <c r="B35" s="307" t="s">
        <v>135</v>
      </c>
      <c r="C35" s="260"/>
      <c r="D35" s="260"/>
      <c r="E35" s="260"/>
      <c r="F35" s="260"/>
      <c r="G35" s="260"/>
      <c r="H35" s="260"/>
      <c r="I35" s="260"/>
      <c r="J35" s="260"/>
      <c r="K35" s="260"/>
      <c r="L35" s="260"/>
      <c r="M35" s="260"/>
      <c r="N35" s="260"/>
      <c r="O35" s="265"/>
    </row>
    <row r="36" spans="2:15" ht="16" x14ac:dyDescent="0.15">
      <c r="B36" s="309" t="s">
        <v>154</v>
      </c>
      <c r="C36" s="332">
        <f>VLOOKUP(B35,'Tab. 6'!$B$5:$F$16,4,0)</f>
        <v>15</v>
      </c>
      <c r="D36" s="260"/>
      <c r="E36" s="260"/>
      <c r="F36" s="260"/>
      <c r="G36" s="260"/>
      <c r="H36" s="260"/>
      <c r="I36" s="260"/>
      <c r="J36" s="260"/>
      <c r="K36" s="260"/>
      <c r="L36" s="260"/>
      <c r="M36" s="260"/>
      <c r="N36" s="260"/>
      <c r="O36" s="265"/>
    </row>
    <row r="37" spans="2:15" ht="16" x14ac:dyDescent="0.15">
      <c r="B37" s="147"/>
      <c r="C37" s="260"/>
      <c r="D37" s="260"/>
      <c r="E37" s="260"/>
      <c r="F37" s="260"/>
      <c r="G37" s="260"/>
      <c r="H37" s="260"/>
      <c r="I37" s="260"/>
      <c r="J37" s="260"/>
      <c r="K37" s="260"/>
      <c r="L37" s="260"/>
      <c r="M37" s="260"/>
      <c r="N37" s="260"/>
      <c r="O37" s="265"/>
    </row>
    <row r="38" spans="2:15" ht="16" x14ac:dyDescent="0.15">
      <c r="B38" s="147" t="s">
        <v>115</v>
      </c>
      <c r="C38" s="333">
        <f>C36*'Tab. 7'!C48</f>
        <v>105000</v>
      </c>
      <c r="D38" s="334">
        <f>+C41</f>
        <v>112235.06291818812</v>
      </c>
      <c r="E38" s="334">
        <f t="shared" ref="E38:G38" si="43">+D41</f>
        <v>117579.58972381604</v>
      </c>
      <c r="F38" s="334">
        <f t="shared" si="43"/>
        <v>117579.58972381605</v>
      </c>
      <c r="G38" s="334">
        <f t="shared" si="43"/>
        <v>105000.03</v>
      </c>
      <c r="H38" s="334">
        <f>+G41</f>
        <v>117579.58972381605</v>
      </c>
      <c r="I38" s="334">
        <f t="shared" ref="I38:N38" si="44">+H41</f>
        <v>112235.06291818806</v>
      </c>
      <c r="J38" s="334">
        <f t="shared" si="44"/>
        <v>112235.06291818808</v>
      </c>
      <c r="K38" s="334">
        <f t="shared" si="44"/>
        <v>105000.03</v>
      </c>
      <c r="L38" s="334">
        <f t="shared" si="44"/>
        <v>105000.03</v>
      </c>
      <c r="M38" s="334">
        <f t="shared" si="44"/>
        <v>113045.02768587504</v>
      </c>
      <c r="N38" s="334">
        <f t="shared" si="44"/>
        <v>130001.78183875632</v>
      </c>
      <c r="O38" s="165"/>
    </row>
    <row r="39" spans="2:15" ht="16" x14ac:dyDescent="0.15">
      <c r="B39" s="267" t="s">
        <v>155</v>
      </c>
      <c r="C39" s="333">
        <f>$C36*'Tab. 7'!C49</f>
        <v>108251.19806149627</v>
      </c>
      <c r="D39" s="333">
        <f>$C36*'Tab. 7'!D49</f>
        <v>112235.06291818812</v>
      </c>
      <c r="E39" s="333">
        <f>$C36*'Tab. 7'!E49</f>
        <v>117579.58972381604</v>
      </c>
      <c r="F39" s="333">
        <f>$C36*'Tab. 7'!F49</f>
        <v>117579.58972381605</v>
      </c>
      <c r="G39" s="333">
        <f>$C36*'Tab. 7'!G49</f>
        <v>64134.321667536024</v>
      </c>
      <c r="H39" s="333">
        <f>$C36*'Tab. 7'!H49</f>
        <v>117579.58972381605</v>
      </c>
      <c r="I39" s="333">
        <f>$C36*'Tab. 7'!I49</f>
        <v>112235.06291818806</v>
      </c>
      <c r="J39" s="333">
        <f>$C36*'Tab. 7'!J49</f>
        <v>112235.06291818808</v>
      </c>
      <c r="K39" s="333">
        <f>$C36*'Tab. 7'!K49</f>
        <v>64134.321667536024</v>
      </c>
      <c r="L39" s="333">
        <f>$C36*'Tab. 7'!L49</f>
        <v>101740.52491728761</v>
      </c>
      <c r="M39" s="333">
        <f>$C36*'Tab. 7'!M49</f>
        <v>113045.02768587504</v>
      </c>
      <c r="N39" s="333">
        <f>$C36*'Tab. 7'!N49</f>
        <v>130001.78183875632</v>
      </c>
      <c r="O39" s="169">
        <f>SUM(C39:N39)</f>
        <v>1270751.1337644996</v>
      </c>
    </row>
    <row r="40" spans="2:15" ht="17" thickBot="1" x14ac:dyDescent="0.2">
      <c r="B40" s="267" t="s">
        <v>156</v>
      </c>
      <c r="C40" s="334">
        <f>$C36*'Tab. 7'!C51</f>
        <v>115486.26097968439</v>
      </c>
      <c r="D40" s="334">
        <f>$C36*'Tab. 7'!D51</f>
        <v>117579.58972381604</v>
      </c>
      <c r="E40" s="334">
        <f>$C36*'Tab. 7'!E51</f>
        <v>117579.58972381605</v>
      </c>
      <c r="F40" s="334">
        <f>$C36*'Tab. 7'!F51</f>
        <v>105000.03</v>
      </c>
      <c r="G40" s="334">
        <f>$C36*'Tab. 7'!G51</f>
        <v>76713.881391352086</v>
      </c>
      <c r="H40" s="334">
        <f>$C36*'Tab. 7'!H51</f>
        <v>112235.06291818806</v>
      </c>
      <c r="I40" s="334">
        <f>$C36*'Tab. 7'!I51</f>
        <v>112235.06291818808</v>
      </c>
      <c r="J40" s="334">
        <f>$C36*'Tab. 7'!J51</f>
        <v>105000.03</v>
      </c>
      <c r="K40" s="334">
        <f>$C36*'Tab. 7'!K51</f>
        <v>64134.321667536024</v>
      </c>
      <c r="L40" s="334">
        <f>$C36*'Tab. 7'!L51</f>
        <v>109785.52260316265</v>
      </c>
      <c r="M40" s="334">
        <f>$C36*'Tab. 7'!M51</f>
        <v>130001.78183875632</v>
      </c>
      <c r="N40" s="334">
        <f>$C36*'Tab. 7'!N51</f>
        <v>118697.27907016885</v>
      </c>
      <c r="O40" s="169">
        <f>SUM(C40:N40)</f>
        <v>1284448.4128346685</v>
      </c>
    </row>
    <row r="41" spans="2:15" ht="17" thickBot="1" x14ac:dyDescent="0.2">
      <c r="B41" s="268" t="s">
        <v>120</v>
      </c>
      <c r="C41" s="335">
        <f>C38-C39+C40</f>
        <v>112235.06291818812</v>
      </c>
      <c r="D41" s="335">
        <f t="shared" ref="D41" si="45">D38-D39+D40</f>
        <v>117579.58972381604</v>
      </c>
      <c r="E41" s="335">
        <f t="shared" ref="E41" si="46">E38-E39+E40</f>
        <v>117579.58972381605</v>
      </c>
      <c r="F41" s="335">
        <f t="shared" ref="F41" si="47">F38-F39+F40</f>
        <v>105000.03</v>
      </c>
      <c r="G41" s="335">
        <f t="shared" ref="G41" si="48">G38-G39+G40</f>
        <v>117579.58972381605</v>
      </c>
      <c r="H41" s="335">
        <f t="shared" ref="H41" si="49">H38-H39+H40</f>
        <v>112235.06291818806</v>
      </c>
      <c r="I41" s="335">
        <f t="shared" ref="I41" si="50">I38-I39+I40</f>
        <v>112235.06291818808</v>
      </c>
      <c r="J41" s="335">
        <f t="shared" ref="J41" si="51">J38-J39+J40</f>
        <v>105000.03</v>
      </c>
      <c r="K41" s="335">
        <f t="shared" ref="K41" si="52">K38-K39+K40</f>
        <v>105000.03</v>
      </c>
      <c r="L41" s="335">
        <f t="shared" ref="L41" si="53">L38-L39+L40</f>
        <v>113045.02768587504</v>
      </c>
      <c r="M41" s="335">
        <f t="shared" ref="M41" si="54">M38-M39+M40</f>
        <v>130001.78183875632</v>
      </c>
      <c r="N41" s="335">
        <f>N38-N39+N40</f>
        <v>118697.27907016885</v>
      </c>
      <c r="O41" s="273"/>
    </row>
    <row r="42" spans="2:15" ht="16" x14ac:dyDescent="0.15">
      <c r="B42" s="307" t="s">
        <v>136</v>
      </c>
      <c r="C42" s="260"/>
      <c r="D42" s="260"/>
      <c r="E42" s="260"/>
      <c r="F42" s="260"/>
      <c r="G42" s="260"/>
      <c r="H42" s="260"/>
      <c r="I42" s="260"/>
      <c r="J42" s="260"/>
      <c r="K42" s="260"/>
      <c r="L42" s="260"/>
      <c r="M42" s="260"/>
      <c r="N42" s="260"/>
      <c r="O42" s="265"/>
    </row>
    <row r="43" spans="2:15" ht="16" x14ac:dyDescent="0.15">
      <c r="B43" s="309" t="s">
        <v>154</v>
      </c>
      <c r="C43" s="332">
        <f>VLOOKUP(B42,'Tab. 6'!$B$5:$F$16,4,0)</f>
        <v>20</v>
      </c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65"/>
    </row>
    <row r="44" spans="2:15" ht="16" x14ac:dyDescent="0.15">
      <c r="B44" s="147"/>
      <c r="C44" s="260"/>
      <c r="D44" s="260"/>
      <c r="E44" s="260"/>
      <c r="F44" s="260"/>
      <c r="G44" s="260"/>
      <c r="H44" s="260"/>
      <c r="I44" s="260"/>
      <c r="J44" s="260"/>
      <c r="K44" s="260"/>
      <c r="L44" s="260"/>
      <c r="M44" s="260"/>
      <c r="N44" s="260"/>
      <c r="O44" s="265"/>
    </row>
    <row r="45" spans="2:15" ht="16" x14ac:dyDescent="0.15">
      <c r="B45" s="147" t="s">
        <v>115</v>
      </c>
      <c r="C45" s="333">
        <f>C43*'Tab. 7'!C57</f>
        <v>420000</v>
      </c>
      <c r="D45" s="334">
        <f>+C48</f>
        <v>420000</v>
      </c>
      <c r="E45" s="334">
        <f t="shared" ref="E45:G45" si="55">+D48</f>
        <v>420000</v>
      </c>
      <c r="F45" s="334">
        <f t="shared" si="55"/>
        <v>420000</v>
      </c>
      <c r="G45" s="334">
        <f t="shared" si="55"/>
        <v>420000</v>
      </c>
      <c r="H45" s="334">
        <f>+G48</f>
        <v>420000</v>
      </c>
      <c r="I45" s="334">
        <f t="shared" ref="I45:N45" si="56">+H48</f>
        <v>420000</v>
      </c>
      <c r="J45" s="334">
        <f t="shared" si="56"/>
        <v>420000</v>
      </c>
      <c r="K45" s="334">
        <f t="shared" si="56"/>
        <v>420000</v>
      </c>
      <c r="L45" s="334">
        <f t="shared" si="56"/>
        <v>420000</v>
      </c>
      <c r="M45" s="334">
        <f t="shared" si="56"/>
        <v>420000</v>
      </c>
      <c r="N45" s="334">
        <f t="shared" si="56"/>
        <v>420000</v>
      </c>
      <c r="O45" s="165"/>
    </row>
    <row r="46" spans="2:15" ht="16" x14ac:dyDescent="0.15">
      <c r="B46" s="267" t="s">
        <v>155</v>
      </c>
      <c r="C46" s="333">
        <f>$C43*'Tab. 7'!C58</f>
        <v>216502.3961229925</v>
      </c>
      <c r="D46" s="333">
        <f>$C43*'Tab. 7'!D58</f>
        <v>224470.12583637625</v>
      </c>
      <c r="E46" s="333">
        <f>$C43*'Tab. 7'!E58</f>
        <v>235159.17944763205</v>
      </c>
      <c r="F46" s="333">
        <f>$C43*'Tab. 7'!F58</f>
        <v>235159.17944763211</v>
      </c>
      <c r="G46" s="333">
        <f>$C43*'Tab. 7'!G58</f>
        <v>128268.64333507205</v>
      </c>
      <c r="H46" s="333">
        <f>$C43*'Tab. 7'!H58</f>
        <v>235159.17944763211</v>
      </c>
      <c r="I46" s="333">
        <f>$C43*'Tab. 7'!I58</f>
        <v>224470.12583637613</v>
      </c>
      <c r="J46" s="333">
        <f>$C43*'Tab. 7'!J58</f>
        <v>224470.12583637616</v>
      </c>
      <c r="K46" s="333">
        <f>$C43*'Tab. 7'!K58</f>
        <v>128268.64333507205</v>
      </c>
      <c r="L46" s="333">
        <f>$C43*'Tab. 7'!L58</f>
        <v>203481.04983457521</v>
      </c>
      <c r="M46" s="333">
        <f>$C43*'Tab. 7'!M58</f>
        <v>226090.05537175009</v>
      </c>
      <c r="N46" s="333">
        <f>$C43*'Tab. 7'!N58</f>
        <v>260003.56367751263</v>
      </c>
      <c r="O46" s="169">
        <f>SUM(C46:N46)</f>
        <v>2541502.2675289991</v>
      </c>
    </row>
    <row r="47" spans="2:15" ht="17" thickBot="1" x14ac:dyDescent="0.2">
      <c r="B47" s="267" t="s">
        <v>156</v>
      </c>
      <c r="C47" s="334">
        <f>$C43*'Tab. 7'!C60</f>
        <v>216502.3961229925</v>
      </c>
      <c r="D47" s="334">
        <f>$C43*'Tab. 7'!D60</f>
        <v>224470.12583637625</v>
      </c>
      <c r="E47" s="334">
        <f>$C43*'Tab. 7'!E60</f>
        <v>235159.17944763205</v>
      </c>
      <c r="F47" s="334">
        <f>$C43*'Tab. 7'!F60</f>
        <v>235159.17944763211</v>
      </c>
      <c r="G47" s="334">
        <f>$C43*'Tab. 7'!G60</f>
        <v>128268.64333507205</v>
      </c>
      <c r="H47" s="334">
        <f>$C43*'Tab. 7'!H60</f>
        <v>235159.17944763211</v>
      </c>
      <c r="I47" s="334">
        <f>$C43*'Tab. 7'!I60</f>
        <v>224470.12583637613</v>
      </c>
      <c r="J47" s="334">
        <f>$C43*'Tab. 7'!J60</f>
        <v>224470.12583637616</v>
      </c>
      <c r="K47" s="334">
        <f>$C43*'Tab. 7'!K60</f>
        <v>128268.64333507205</v>
      </c>
      <c r="L47" s="334">
        <f>$C43*'Tab. 7'!L60</f>
        <v>203481.04983457521</v>
      </c>
      <c r="M47" s="334">
        <f>$C43*'Tab. 7'!M60</f>
        <v>226090.05537175009</v>
      </c>
      <c r="N47" s="334">
        <f>$C43*'Tab. 7'!N60</f>
        <v>260003.56367751263</v>
      </c>
      <c r="O47" s="169">
        <f>SUM(C47:N47)</f>
        <v>2541502.2675289991</v>
      </c>
    </row>
    <row r="48" spans="2:15" ht="17" thickBot="1" x14ac:dyDescent="0.2">
      <c r="B48" s="268" t="s">
        <v>120</v>
      </c>
      <c r="C48" s="335">
        <f>C45-C46+C47</f>
        <v>420000</v>
      </c>
      <c r="D48" s="335">
        <f t="shared" ref="D48" si="57">D45-D46+D47</f>
        <v>420000</v>
      </c>
      <c r="E48" s="335">
        <f t="shared" ref="E48" si="58">E45-E46+E47</f>
        <v>420000</v>
      </c>
      <c r="F48" s="335">
        <f t="shared" ref="F48" si="59">F45-F46+F47</f>
        <v>420000</v>
      </c>
      <c r="G48" s="335">
        <f t="shared" ref="G48" si="60">G45-G46+G47</f>
        <v>420000</v>
      </c>
      <c r="H48" s="335">
        <f t="shared" ref="H48" si="61">H45-H46+H47</f>
        <v>420000</v>
      </c>
      <c r="I48" s="335">
        <f t="shared" ref="I48" si="62">I45-I46+I47</f>
        <v>420000</v>
      </c>
      <c r="J48" s="335">
        <f t="shared" ref="J48" si="63">J45-J46+J47</f>
        <v>420000</v>
      </c>
      <c r="K48" s="335">
        <f t="shared" ref="K48" si="64">K45-K46+K47</f>
        <v>420000</v>
      </c>
      <c r="L48" s="335">
        <f t="shared" ref="L48" si="65">L45-L46+L47</f>
        <v>420000</v>
      </c>
      <c r="M48" s="335">
        <f t="shared" ref="M48" si="66">M45-M46+M47</f>
        <v>420000</v>
      </c>
      <c r="N48" s="335">
        <f>N45-N46+N47</f>
        <v>420000</v>
      </c>
      <c r="O48" s="273"/>
    </row>
    <row r="49" spans="2:15" ht="16" x14ac:dyDescent="0.15">
      <c r="B49" s="307" t="s">
        <v>137</v>
      </c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65"/>
    </row>
    <row r="50" spans="2:15" ht="16" x14ac:dyDescent="0.15">
      <c r="B50" s="309" t="s">
        <v>154</v>
      </c>
      <c r="C50" s="332">
        <f>VLOOKUP(B49,'Tab. 6'!$B$5:$F$16,4,0)</f>
        <v>50</v>
      </c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  <c r="O50" s="265"/>
    </row>
    <row r="51" spans="2:15" ht="16" x14ac:dyDescent="0.15">
      <c r="B51" s="147"/>
      <c r="C51" s="260"/>
      <c r="D51" s="260"/>
      <c r="E51" s="260"/>
      <c r="F51" s="260"/>
      <c r="G51" s="260"/>
      <c r="H51" s="260"/>
      <c r="I51" s="260"/>
      <c r="J51" s="260"/>
      <c r="K51" s="260"/>
      <c r="L51" s="260"/>
      <c r="M51" s="260"/>
      <c r="N51" s="260"/>
      <c r="O51" s="265"/>
    </row>
    <row r="52" spans="2:15" ht="16" x14ac:dyDescent="0.15">
      <c r="B52" s="147" t="s">
        <v>115</v>
      </c>
      <c r="C52" s="333">
        <f>C50*'Tab. 7'!C66</f>
        <v>175000</v>
      </c>
      <c r="D52" s="334">
        <f>+C55</f>
        <v>187058.43819698022</v>
      </c>
      <c r="E52" s="334">
        <f t="shared" ref="E52:G52" si="67">+D55</f>
        <v>195965.98287302672</v>
      </c>
      <c r="F52" s="334">
        <f t="shared" si="67"/>
        <v>195965.98287302678</v>
      </c>
      <c r="G52" s="334">
        <f t="shared" si="67"/>
        <v>175000</v>
      </c>
      <c r="H52" s="334">
        <f>+G55</f>
        <v>195965.98287302675</v>
      </c>
      <c r="I52" s="334">
        <f t="shared" ref="I52:N52" si="68">+H55</f>
        <v>187058.43819698007</v>
      </c>
      <c r="J52" s="334">
        <f t="shared" si="68"/>
        <v>187058.4381969801</v>
      </c>
      <c r="K52" s="334">
        <f t="shared" si="68"/>
        <v>174999.99999999997</v>
      </c>
      <c r="L52" s="334">
        <f t="shared" si="68"/>
        <v>174999.99999999997</v>
      </c>
      <c r="M52" s="334">
        <f t="shared" si="68"/>
        <v>188408.37947645839</v>
      </c>
      <c r="N52" s="334">
        <f t="shared" si="68"/>
        <v>216669.63639792718</v>
      </c>
      <c r="O52" s="165"/>
    </row>
    <row r="53" spans="2:15" ht="16" x14ac:dyDescent="0.15">
      <c r="B53" s="267" t="s">
        <v>155</v>
      </c>
      <c r="C53" s="333">
        <f>$C50*'Tab. 7'!C67</f>
        <v>180418.6634358271</v>
      </c>
      <c r="D53" s="333">
        <f>$C50*'Tab. 7'!D67</f>
        <v>187058.43819698022</v>
      </c>
      <c r="E53" s="333">
        <f>$C50*'Tab. 7'!E67</f>
        <v>195965.98287302672</v>
      </c>
      <c r="F53" s="333">
        <f>$C50*'Tab. 7'!F67</f>
        <v>195965.98287302678</v>
      </c>
      <c r="G53" s="333">
        <f>$C50*'Tab. 7'!G67</f>
        <v>106890.53611256005</v>
      </c>
      <c r="H53" s="333">
        <f>$C50*'Tab. 7'!H67</f>
        <v>195965.98287302678</v>
      </c>
      <c r="I53" s="333">
        <f>$C50*'Tab. 7'!I67</f>
        <v>187058.4381969801</v>
      </c>
      <c r="J53" s="333">
        <f>$C50*'Tab. 7'!J67</f>
        <v>187058.43819698013</v>
      </c>
      <c r="K53" s="333">
        <f>$C50*'Tab. 7'!K67</f>
        <v>106890.53611256005</v>
      </c>
      <c r="L53" s="333">
        <f>$C50*'Tab. 7'!L67</f>
        <v>169567.54152881267</v>
      </c>
      <c r="M53" s="333">
        <f>$C50*'Tab. 7'!M67</f>
        <v>188408.37947645842</v>
      </c>
      <c r="N53" s="333">
        <f>$C50*'Tab. 7'!N67</f>
        <v>216669.63639792721</v>
      </c>
      <c r="O53" s="169">
        <f>SUM(C53:N53)</f>
        <v>2117918.5562741659</v>
      </c>
    </row>
    <row r="54" spans="2:15" ht="17" thickBot="1" x14ac:dyDescent="0.2">
      <c r="B54" s="267" t="s">
        <v>156</v>
      </c>
      <c r="C54" s="334">
        <f>$C50*'Tab. 7'!C69</f>
        <v>192477.10163280732</v>
      </c>
      <c r="D54" s="334">
        <f>$C50*'Tab. 7'!D69</f>
        <v>195965.98287302672</v>
      </c>
      <c r="E54" s="334">
        <f>$C50*'Tab. 7'!E69</f>
        <v>195965.98287302678</v>
      </c>
      <c r="F54" s="334">
        <f>$C50*'Tab. 7'!F69</f>
        <v>175000</v>
      </c>
      <c r="G54" s="334">
        <f>$C50*'Tab. 7'!G69</f>
        <v>127856.51898558681</v>
      </c>
      <c r="H54" s="334">
        <f>$C50*'Tab. 7'!H69</f>
        <v>187058.4381969801</v>
      </c>
      <c r="I54" s="334">
        <f>$C50*'Tab. 7'!I69</f>
        <v>187058.43819698013</v>
      </c>
      <c r="J54" s="334">
        <f>$C50*'Tab. 7'!J69</f>
        <v>175000</v>
      </c>
      <c r="K54" s="334">
        <f>$C50*'Tab. 7'!K69</f>
        <v>106890.53611256005</v>
      </c>
      <c r="L54" s="334">
        <f>$C50*'Tab. 7'!L69</f>
        <v>182975.92100527108</v>
      </c>
      <c r="M54" s="334">
        <f>$C50*'Tab. 7'!M69</f>
        <v>216669.63639792721</v>
      </c>
      <c r="N54" s="334">
        <f>$C50*'Tab. 7'!N69</f>
        <v>197828.79845028141</v>
      </c>
      <c r="O54" s="169">
        <f>SUM(C54:N54)</f>
        <v>2140747.3547244477</v>
      </c>
    </row>
    <row r="55" spans="2:15" ht="17" thickBot="1" x14ac:dyDescent="0.2">
      <c r="B55" s="268" t="s">
        <v>120</v>
      </c>
      <c r="C55" s="335">
        <f>C52-C53+C54</f>
        <v>187058.43819698022</v>
      </c>
      <c r="D55" s="335">
        <f t="shared" ref="D55" si="69">D52-D53+D54</f>
        <v>195965.98287302672</v>
      </c>
      <c r="E55" s="335">
        <f t="shared" ref="E55" si="70">E52-E53+E54</f>
        <v>195965.98287302678</v>
      </c>
      <c r="F55" s="335">
        <f t="shared" ref="F55" si="71">F52-F53+F54</f>
        <v>175000</v>
      </c>
      <c r="G55" s="335">
        <f t="shared" ref="G55" si="72">G52-G53+G54</f>
        <v>195965.98287302675</v>
      </c>
      <c r="H55" s="335">
        <f t="shared" ref="H55" si="73">H52-H53+H54</f>
        <v>187058.43819698007</v>
      </c>
      <c r="I55" s="335">
        <f t="shared" ref="I55" si="74">I52-I53+I54</f>
        <v>187058.4381969801</v>
      </c>
      <c r="J55" s="335">
        <f t="shared" ref="J55" si="75">J52-J53+J54</f>
        <v>174999.99999999997</v>
      </c>
      <c r="K55" s="335">
        <f t="shared" ref="K55" si="76">K52-K53+K54</f>
        <v>174999.99999999997</v>
      </c>
      <c r="L55" s="335">
        <f t="shared" ref="L55" si="77">L52-L53+L54</f>
        <v>188408.37947645839</v>
      </c>
      <c r="M55" s="335">
        <f t="shared" ref="M55" si="78">M52-M53+M54</f>
        <v>216669.63639792718</v>
      </c>
      <c r="N55" s="335">
        <f>N52-N53+N54</f>
        <v>197828.79845028138</v>
      </c>
      <c r="O55" s="273"/>
    </row>
    <row r="56" spans="2:15" ht="16" x14ac:dyDescent="0.15">
      <c r="B56" s="338" t="s">
        <v>3</v>
      </c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265"/>
    </row>
    <row r="57" spans="2:15" ht="16" x14ac:dyDescent="0.15">
      <c r="B57" s="340"/>
      <c r="C57" s="339"/>
      <c r="D57" s="339"/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265"/>
    </row>
    <row r="58" spans="2:15" ht="16" x14ac:dyDescent="0.15">
      <c r="B58" s="340" t="s">
        <v>115</v>
      </c>
      <c r="C58" s="341">
        <f>+C10+C17+C24+C31+C38+C45+C52</f>
        <v>7503979</v>
      </c>
      <c r="D58" s="341">
        <f>+C61</f>
        <v>7507032.2540102443</v>
      </c>
      <c r="E58" s="341">
        <f t="shared" ref="E58:G58" si="79">+D61</f>
        <v>7521284.3254919183</v>
      </c>
      <c r="F58" s="341">
        <f t="shared" si="79"/>
        <v>7532177.647058351</v>
      </c>
      <c r="G58" s="341">
        <f t="shared" si="79"/>
        <v>7498632.1044615079</v>
      </c>
      <c r="H58" s="341">
        <f>+G61</f>
        <v>7517524.5725968434</v>
      </c>
      <c r="I58" s="341">
        <f t="shared" ref="I58:N58" si="80">+H61</f>
        <v>7517925.5755766761</v>
      </c>
      <c r="J58" s="341">
        <f t="shared" si="80"/>
        <v>7507032.2540102443</v>
      </c>
      <c r="K58" s="341">
        <f t="shared" si="80"/>
        <v>7487738.7828950761</v>
      </c>
      <c r="L58" s="341">
        <f t="shared" si="80"/>
        <v>7483979.0300000003</v>
      </c>
      <c r="M58" s="341">
        <f t="shared" si="80"/>
        <v>7505432.4071623338</v>
      </c>
      <c r="N58" s="341">
        <f t="shared" si="80"/>
        <v>7550650.4182366831</v>
      </c>
      <c r="O58" s="165"/>
    </row>
    <row r="59" spans="2:15" ht="16" x14ac:dyDescent="0.15">
      <c r="B59" s="342" t="s">
        <v>155</v>
      </c>
      <c r="C59" s="341">
        <f>+C11+C18+C25+C32+C39+C46+C53</f>
        <v>6358500.1294951411</v>
      </c>
      <c r="D59" s="341">
        <f t="shared" ref="D59:N59" si="81">+D11+D18+D25+D32+D39+D46+D53</f>
        <v>7341092.3794315038</v>
      </c>
      <c r="E59" s="341">
        <f t="shared" si="81"/>
        <v>7374762.8983069602</v>
      </c>
      <c r="F59" s="341">
        <f t="shared" si="81"/>
        <v>7690668.20702348</v>
      </c>
      <c r="G59" s="341">
        <f t="shared" si="81"/>
        <v>7353963.0182689168</v>
      </c>
      <c r="H59" s="341">
        <f t="shared" si="81"/>
        <v>4531615.1198582817</v>
      </c>
      <c r="I59" s="341">
        <f t="shared" si="81"/>
        <v>7656997.6881480236</v>
      </c>
      <c r="J59" s="341">
        <f t="shared" si="81"/>
        <v>7341092.3794315038</v>
      </c>
      <c r="K59" s="341">
        <f t="shared" si="81"/>
        <v>7038057.709552398</v>
      </c>
      <c r="L59" s="341">
        <f t="shared" si="81"/>
        <v>4431829.0115771508</v>
      </c>
      <c r="M59" s="341">
        <f t="shared" si="81"/>
        <v>6297941.8692329768</v>
      </c>
      <c r="N59" s="341">
        <f t="shared" si="81"/>
        <v>7025409.2198196817</v>
      </c>
      <c r="O59" s="169">
        <f>SUM(C59:N59)</f>
        <v>80441929.630146012</v>
      </c>
    </row>
    <row r="60" spans="2:15" ht="17" thickBot="1" x14ac:dyDescent="0.2">
      <c r="B60" s="342" t="s">
        <v>156</v>
      </c>
      <c r="C60" s="341">
        <f>+C12+C19+C26+C33+C40+C47+C54</f>
        <v>6361553.3835053854</v>
      </c>
      <c r="D60" s="341">
        <f t="shared" ref="D60:N60" si="82">+D12+D19+D26+D33+D40+D47+D54</f>
        <v>7355344.4509131778</v>
      </c>
      <c r="E60" s="341">
        <f t="shared" si="82"/>
        <v>7385656.219873393</v>
      </c>
      <c r="F60" s="341">
        <f t="shared" si="82"/>
        <v>7657122.6644266369</v>
      </c>
      <c r="G60" s="341">
        <f t="shared" si="82"/>
        <v>7372855.4864042522</v>
      </c>
      <c r="H60" s="341">
        <f t="shared" si="82"/>
        <v>4532016.1228381144</v>
      </c>
      <c r="I60" s="341">
        <f t="shared" si="82"/>
        <v>7646104.3665815918</v>
      </c>
      <c r="J60" s="341">
        <f t="shared" si="82"/>
        <v>7321798.9083163356</v>
      </c>
      <c r="K60" s="341">
        <f t="shared" si="82"/>
        <v>7034297.9566573221</v>
      </c>
      <c r="L60" s="341">
        <f t="shared" si="82"/>
        <v>4453282.3887394844</v>
      </c>
      <c r="M60" s="341">
        <f t="shared" si="82"/>
        <v>6343159.8803073261</v>
      </c>
      <c r="N60" s="341">
        <f t="shared" si="82"/>
        <v>7016380.4537327988</v>
      </c>
      <c r="O60" s="169">
        <f>SUM(C60:N60)</f>
        <v>80479572.282295823</v>
      </c>
    </row>
    <row r="61" spans="2:15" ht="17" thickBot="1" x14ac:dyDescent="0.2">
      <c r="B61" s="343" t="s">
        <v>120</v>
      </c>
      <c r="C61" s="344">
        <f>C58-C59+C60</f>
        <v>7507032.2540102443</v>
      </c>
      <c r="D61" s="344">
        <f t="shared" ref="D61" si="83">D58-D59+D60</f>
        <v>7521284.3254919183</v>
      </c>
      <c r="E61" s="344">
        <f t="shared" ref="E61" si="84">E58-E59+E60</f>
        <v>7532177.647058351</v>
      </c>
      <c r="F61" s="344">
        <f t="shared" ref="F61" si="85">F58-F59+F60</f>
        <v>7498632.1044615079</v>
      </c>
      <c r="G61" s="344">
        <f t="shared" ref="G61" si="86">G58-G59+G60</f>
        <v>7517524.5725968434</v>
      </c>
      <c r="H61" s="344">
        <f t="shared" ref="H61" si="87">H58-H59+H60</f>
        <v>7517925.5755766761</v>
      </c>
      <c r="I61" s="344">
        <f t="shared" ref="I61" si="88">I58-I59+I60</f>
        <v>7507032.2540102443</v>
      </c>
      <c r="J61" s="344">
        <f t="shared" ref="J61" si="89">J58-J59+J60</f>
        <v>7487738.7828950761</v>
      </c>
      <c r="K61" s="344">
        <f t="shared" ref="K61" si="90">K58-K59+K60</f>
        <v>7483979.0300000003</v>
      </c>
      <c r="L61" s="344">
        <f t="shared" ref="L61" si="91">L58-L59+L60</f>
        <v>7505432.4071623338</v>
      </c>
      <c r="M61" s="344">
        <f t="shared" ref="M61" si="92">M58-M59+M60</f>
        <v>7550650.4182366831</v>
      </c>
      <c r="N61" s="344">
        <f>N58-N59+N60</f>
        <v>7541621.6521498002</v>
      </c>
      <c r="O61" s="273"/>
    </row>
  </sheetData>
  <mergeCells count="1">
    <mergeCell ref="C5:O5"/>
  </mergeCells>
  <pageMargins left="0.25" right="0.25" top="0.75" bottom="0.75" header="0.3" footer="0.3"/>
  <pageSetup paperSize="9" scale="49" orientation="landscape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19D4-AEED-BA40-9C3F-EB26679C5CCF}">
  <sheetPr>
    <pageSetUpPr fitToPage="1"/>
  </sheetPr>
  <dimension ref="B2:DG48"/>
  <sheetViews>
    <sheetView showGridLines="0" topLeftCell="Q35" zoomScale="150" zoomScaleNormal="140" workbookViewId="0">
      <selection activeCell="W25" sqref="W25:W26"/>
    </sheetView>
  </sheetViews>
  <sheetFormatPr baseColWidth="10" defaultColWidth="9.1640625" defaultRowHeight="16" x14ac:dyDescent="0.2"/>
  <cols>
    <col min="1" max="1" width="1.5" style="1" customWidth="1"/>
    <col min="2" max="2" width="20" style="1" customWidth="1"/>
    <col min="3" max="3" width="11.5" style="1" bestFit="1" customWidth="1"/>
    <col min="4" max="4" width="9.5" style="1" bestFit="1" customWidth="1"/>
    <col min="5" max="5" width="14.1640625" style="1" bestFit="1" customWidth="1"/>
    <col min="6" max="6" width="11.5" style="1" bestFit="1" customWidth="1"/>
    <col min="7" max="7" width="9.5" style="1" bestFit="1" customWidth="1"/>
    <col min="8" max="8" width="14.1640625" style="1" bestFit="1" customWidth="1"/>
    <col min="9" max="9" width="11.6640625" style="1" bestFit="1" customWidth="1"/>
    <col min="10" max="10" width="9.6640625" style="1" bestFit="1" customWidth="1"/>
    <col min="11" max="11" width="14.33203125" style="1" bestFit="1" customWidth="1"/>
    <col min="12" max="12" width="11.6640625" style="1" bestFit="1" customWidth="1"/>
    <col min="13" max="13" width="9.6640625" style="1" bestFit="1" customWidth="1"/>
    <col min="14" max="14" width="14.33203125" style="1" bestFit="1" customWidth="1"/>
    <col min="15" max="15" width="11.6640625" style="1" bestFit="1" customWidth="1"/>
    <col min="16" max="16" width="9.6640625" style="1" bestFit="1" customWidth="1"/>
    <col min="17" max="17" width="14.33203125" style="1" bestFit="1" customWidth="1"/>
    <col min="18" max="18" width="11.6640625" style="1" bestFit="1" customWidth="1"/>
    <col min="19" max="19" width="9.6640625" style="1" bestFit="1" customWidth="1"/>
    <col min="20" max="20" width="14.33203125" style="1" bestFit="1" customWidth="1"/>
    <col min="21" max="21" width="12.5" style="1" bestFit="1" customWidth="1"/>
    <col min="22" max="22" width="9.33203125" style="1" bestFit="1" customWidth="1"/>
    <col min="23" max="23" width="14.1640625" style="1" bestFit="1" customWidth="1"/>
    <col min="24" max="24" width="2.33203125" style="11" customWidth="1"/>
    <col min="25" max="25" width="15.1640625" style="1" bestFit="1" customWidth="1"/>
    <col min="26" max="26" width="9.1640625" style="1" bestFit="1" customWidth="1"/>
    <col min="27" max="27" width="16.6640625" style="1" bestFit="1" customWidth="1"/>
    <col min="28" max="28" width="8.6640625" style="1" bestFit="1" customWidth="1"/>
    <col min="29" max="29" width="10.33203125" style="1" bestFit="1" customWidth="1"/>
    <col min="30" max="30" width="8.6640625" style="1" bestFit="1" customWidth="1"/>
    <col min="31" max="31" width="10.33203125" style="1" bestFit="1" customWidth="1"/>
    <col min="32" max="33" width="8.6640625" style="1" bestFit="1" customWidth="1"/>
    <col min="34" max="34" width="12.83203125" style="1" bestFit="1" customWidth="1"/>
    <col min="35" max="35" width="9.1640625" style="1"/>
    <col min="36" max="36" width="14" style="1" bestFit="1" customWidth="1"/>
    <col min="37" max="16384" width="9.1640625" style="1"/>
  </cols>
  <sheetData>
    <row r="2" spans="2:24" x14ac:dyDescent="0.2">
      <c r="B2" s="77" t="s">
        <v>161</v>
      </c>
    </row>
    <row r="3" spans="2:24" x14ac:dyDescent="0.2">
      <c r="B3" s="10"/>
      <c r="E3" s="47"/>
    </row>
    <row r="4" spans="2:24" ht="17" thickBot="1" x14ac:dyDescent="0.25"/>
    <row r="5" spans="2:24" x14ac:dyDescent="0.2">
      <c r="B5" s="12"/>
      <c r="C5" s="392" t="s">
        <v>80</v>
      </c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4"/>
      <c r="X5" s="13"/>
    </row>
    <row r="6" spans="2:24" x14ac:dyDescent="0.2">
      <c r="B6" s="14"/>
      <c r="C6" s="395" t="s">
        <v>24</v>
      </c>
      <c r="D6" s="396"/>
      <c r="E6" s="396"/>
      <c r="F6" s="396" t="s">
        <v>25</v>
      </c>
      <c r="G6" s="396"/>
      <c r="H6" s="396"/>
      <c r="I6" s="396" t="s">
        <v>26</v>
      </c>
      <c r="J6" s="396"/>
      <c r="K6" s="396"/>
      <c r="L6" s="396" t="s">
        <v>27</v>
      </c>
      <c r="M6" s="396"/>
      <c r="N6" s="396"/>
      <c r="O6" s="396" t="s">
        <v>28</v>
      </c>
      <c r="P6" s="396"/>
      <c r="Q6" s="396"/>
      <c r="R6" s="396" t="s">
        <v>29</v>
      </c>
      <c r="S6" s="396"/>
      <c r="T6" s="380"/>
      <c r="U6" s="397" t="s">
        <v>2</v>
      </c>
      <c r="V6" s="398"/>
      <c r="W6" s="399"/>
      <c r="X6" s="15"/>
    </row>
    <row r="7" spans="2:24" x14ac:dyDescent="0.2">
      <c r="B7" s="16"/>
      <c r="C7" s="17" t="s">
        <v>0</v>
      </c>
      <c r="D7" s="18" t="s">
        <v>158</v>
      </c>
      <c r="E7" s="19" t="s">
        <v>1</v>
      </c>
      <c r="F7" s="253" t="s">
        <v>0</v>
      </c>
      <c r="G7" s="253" t="s">
        <v>158</v>
      </c>
      <c r="H7" s="254" t="s">
        <v>1</v>
      </c>
      <c r="I7" s="252" t="s">
        <v>0</v>
      </c>
      <c r="J7" s="253" t="s">
        <v>158</v>
      </c>
      <c r="K7" s="254" t="s">
        <v>1</v>
      </c>
      <c r="L7" s="252" t="s">
        <v>0</v>
      </c>
      <c r="M7" s="253" t="s">
        <v>158</v>
      </c>
      <c r="N7" s="254" t="s">
        <v>1</v>
      </c>
      <c r="O7" s="252" t="s">
        <v>0</v>
      </c>
      <c r="P7" s="253" t="s">
        <v>158</v>
      </c>
      <c r="Q7" s="254" t="s">
        <v>1</v>
      </c>
      <c r="R7" s="252" t="s">
        <v>0</v>
      </c>
      <c r="S7" s="253" t="s">
        <v>158</v>
      </c>
      <c r="T7" s="23" t="s">
        <v>1</v>
      </c>
      <c r="U7" s="24" t="s">
        <v>0</v>
      </c>
      <c r="V7" s="24" t="s">
        <v>158</v>
      </c>
      <c r="W7" s="25" t="s">
        <v>1</v>
      </c>
      <c r="X7" s="15"/>
    </row>
    <row r="8" spans="2:24" x14ac:dyDescent="0.2">
      <c r="B8" s="26"/>
      <c r="C8" s="16"/>
      <c r="D8" s="27"/>
      <c r="E8" s="28"/>
      <c r="F8" s="27"/>
      <c r="G8" s="27"/>
      <c r="H8" s="28"/>
      <c r="I8" s="29"/>
      <c r="J8" s="27"/>
      <c r="K8" s="28"/>
      <c r="L8" s="29"/>
      <c r="M8" s="27"/>
      <c r="N8" s="28"/>
      <c r="O8" s="29"/>
      <c r="P8" s="27"/>
      <c r="Q8" s="28"/>
      <c r="R8" s="27"/>
      <c r="S8" s="27"/>
      <c r="T8" s="27"/>
      <c r="U8" s="30"/>
      <c r="V8" s="31"/>
      <c r="W8" s="32"/>
      <c r="X8" s="33"/>
    </row>
    <row r="9" spans="2:24" x14ac:dyDescent="0.2">
      <c r="B9" s="16" t="s">
        <v>83</v>
      </c>
      <c r="C9" s="34">
        <f>'Tab 3'!C9</f>
        <v>18863.320540150991</v>
      </c>
      <c r="D9" s="62">
        <f>'Tab. 6'!$F$8</f>
        <v>108.74965</v>
      </c>
      <c r="E9" s="65">
        <f>C9*D9</f>
        <v>2051379.5065792312</v>
      </c>
      <c r="F9" s="35">
        <f>'Tab 3'!F9</f>
        <v>20959.245044612213</v>
      </c>
      <c r="G9" s="62">
        <f>'Tab. 6'!$F$8</f>
        <v>108.74965</v>
      </c>
      <c r="H9" s="65">
        <f>F9*G9</f>
        <v>2279310.5628658128</v>
      </c>
      <c r="I9" s="35">
        <f>'Tab 3'!I9</f>
        <v>24103.131801304044</v>
      </c>
      <c r="J9" s="62">
        <f>'Tab. 6'!$F$8</f>
        <v>108.74965</v>
      </c>
      <c r="K9" s="65">
        <f>I9*J9</f>
        <v>2621207.1472956846</v>
      </c>
      <c r="L9" s="35">
        <f>'Tab 3'!L9</f>
        <v>22007.207296842822</v>
      </c>
      <c r="M9" s="62">
        <f>'Tab. 6'!$F$8</f>
        <v>108.74965</v>
      </c>
      <c r="N9" s="65">
        <f>L9*M9</f>
        <v>2393276.0910091032</v>
      </c>
      <c r="O9" s="35">
        <f>'Tab 3'!O9</f>
        <v>22007.207296842822</v>
      </c>
      <c r="P9" s="62">
        <f>'Tab. 6'!$F$8</f>
        <v>108.74965</v>
      </c>
      <c r="Q9" s="65">
        <f>O9*P9</f>
        <v>2393276.0910091032</v>
      </c>
      <c r="R9" s="35">
        <f>'Tab 3'!R9</f>
        <v>23055.169549073435</v>
      </c>
      <c r="S9" s="62">
        <f>'Tab. 6'!$F$8</f>
        <v>108.74965</v>
      </c>
      <c r="T9" s="65">
        <f>R9*S9</f>
        <v>2507241.6191523941</v>
      </c>
      <c r="U9" s="37">
        <f>C9+F9+I9+L9+O9+R9</f>
        <v>130995.28152882634</v>
      </c>
      <c r="V9" s="67">
        <f>IFERROR(W9/U9,0)</f>
        <v>108.74965</v>
      </c>
      <c r="W9" s="70">
        <f>E9+H9+K9+N9+Q9+T9</f>
        <v>14245691.01791133</v>
      </c>
      <c r="X9" s="38"/>
    </row>
    <row r="10" spans="2:24" x14ac:dyDescent="0.2">
      <c r="B10" s="16" t="s">
        <v>84</v>
      </c>
      <c r="C10" s="34">
        <f>'Tab 3'!C10</f>
        <v>33131.005957446803</v>
      </c>
      <c r="D10" s="62">
        <f>'Tab. 6'!$F$8</f>
        <v>108.74965</v>
      </c>
      <c r="E10" s="65">
        <f>C10*D10</f>
        <v>3602985.302020255</v>
      </c>
      <c r="F10" s="35">
        <f>'Tab 3'!F10</f>
        <v>36812.228841607561</v>
      </c>
      <c r="G10" s="62">
        <f>'Tab. 6'!$F$8</f>
        <v>108.74965</v>
      </c>
      <c r="H10" s="65">
        <f>F10*G10</f>
        <v>4003317.0022447277</v>
      </c>
      <c r="I10" s="35">
        <f>'Tab 3'!I10</f>
        <v>42334.063167848697</v>
      </c>
      <c r="J10" s="62">
        <f>'Tab. 6'!$F$8</f>
        <v>108.74965</v>
      </c>
      <c r="K10" s="65">
        <f>I10*J10</f>
        <v>4603814.5525814369</v>
      </c>
      <c r="L10" s="35">
        <f>'Tab 3'!L10</f>
        <v>38652.84028368794</v>
      </c>
      <c r="M10" s="62">
        <f>'Tab. 6'!$F$8</f>
        <v>108.74965</v>
      </c>
      <c r="N10" s="65">
        <f>L10*M10</f>
        <v>4203482.8523569638</v>
      </c>
      <c r="O10" s="35">
        <f>'Tab 3'!O10</f>
        <v>38652.84028368794</v>
      </c>
      <c r="P10" s="62">
        <f>'Tab. 6'!$F$8</f>
        <v>108.74965</v>
      </c>
      <c r="Q10" s="65">
        <f>O10*P10</f>
        <v>4203482.8523569638</v>
      </c>
      <c r="R10" s="35">
        <f>'Tab 3'!R10</f>
        <v>40493.451725768318</v>
      </c>
      <c r="S10" s="62">
        <f>'Tab. 6'!$F$8</f>
        <v>108.74965</v>
      </c>
      <c r="T10" s="65">
        <f>R10*S10</f>
        <v>4403648.7024692008</v>
      </c>
      <c r="U10" s="37">
        <f>C10+F10+I10+L10+O10+R10</f>
        <v>230076.43026004726</v>
      </c>
      <c r="V10" s="67">
        <f t="shared" ref="V10:V12" si="0">IFERROR(W10/U10,0)</f>
        <v>108.74965</v>
      </c>
      <c r="W10" s="70">
        <f>E10+H10+K10+N10+Q10+T10</f>
        <v>25020731.264029548</v>
      </c>
      <c r="X10" s="38"/>
    </row>
    <row r="11" spans="2:24" x14ac:dyDescent="0.2">
      <c r="B11" s="39" t="s">
        <v>85</v>
      </c>
      <c r="C11" s="34">
        <f>'Tab 3'!C11</f>
        <v>293.61702127659601</v>
      </c>
      <c r="D11" s="62">
        <f>'Tab. 6'!$F$8</f>
        <v>108.74965</v>
      </c>
      <c r="E11" s="65">
        <f>C11*D11</f>
        <v>31930.748297872371</v>
      </c>
      <c r="F11" s="35">
        <f>'Tab 3'!F11</f>
        <v>326.2411347517733</v>
      </c>
      <c r="G11" s="62">
        <f>'Tab. 6'!$F$8</f>
        <v>108.74965</v>
      </c>
      <c r="H11" s="65">
        <f>F11*G11</f>
        <v>35478.609219858183</v>
      </c>
      <c r="I11" s="35">
        <f>'Tab 3'!I11</f>
        <v>375.1773049645393</v>
      </c>
      <c r="J11" s="62">
        <f>'Tab. 6'!$F$8</f>
        <v>108.74965</v>
      </c>
      <c r="K11" s="65">
        <f>I11*J11</f>
        <v>40800.400602836911</v>
      </c>
      <c r="L11" s="35">
        <f>'Tab 3'!L11</f>
        <v>342.55319148936201</v>
      </c>
      <c r="M11" s="62">
        <f>'Tab. 6'!$F$8</f>
        <v>108.74965</v>
      </c>
      <c r="N11" s="65">
        <f>L11*M11</f>
        <v>37252.5396808511</v>
      </c>
      <c r="O11" s="35">
        <f>'Tab 3'!O11</f>
        <v>342.55319148936201</v>
      </c>
      <c r="P11" s="62">
        <f>'Tab. 6'!$F$8</f>
        <v>108.74965</v>
      </c>
      <c r="Q11" s="65">
        <f>O11*P11</f>
        <v>37252.5396808511</v>
      </c>
      <c r="R11" s="35">
        <f>'Tab 3'!R11</f>
        <v>358.86524822695065</v>
      </c>
      <c r="S11" s="62">
        <f>'Tab. 6'!$F$8</f>
        <v>108.74965</v>
      </c>
      <c r="T11" s="65">
        <f>R11*S11</f>
        <v>39026.470141844002</v>
      </c>
      <c r="U11" s="37">
        <f>C11+F11+I11+L11+O11+R11</f>
        <v>2039.0070921985832</v>
      </c>
      <c r="V11" s="67">
        <f t="shared" si="0"/>
        <v>108.74965000000002</v>
      </c>
      <c r="W11" s="70">
        <f>E11+H11+K11+N11+Q11+T11</f>
        <v>221741.30762411369</v>
      </c>
      <c r="X11" s="38"/>
    </row>
    <row r="12" spans="2:24" s="10" customFormat="1" ht="17" thickBot="1" x14ac:dyDescent="0.25">
      <c r="B12" s="40" t="s">
        <v>73</v>
      </c>
      <c r="C12" s="41">
        <f>SUM(C9:C11)</f>
        <v>52287.943518874388</v>
      </c>
      <c r="D12" s="63">
        <f>E12/C12</f>
        <v>108.74965</v>
      </c>
      <c r="E12" s="66">
        <f>SUM(E9:E11)</f>
        <v>5686295.556897358</v>
      </c>
      <c r="F12" s="42">
        <f>SUM(F9:F11)</f>
        <v>58097.71502097154</v>
      </c>
      <c r="G12" s="63">
        <f>H12/F12</f>
        <v>108.74965000000002</v>
      </c>
      <c r="H12" s="66">
        <f>SUM(H9:H11)</f>
        <v>6318106.1743303984</v>
      </c>
      <c r="I12" s="42">
        <f>SUM(I9:I11)</f>
        <v>66812.372274117282</v>
      </c>
      <c r="J12" s="63">
        <f>K12/I12</f>
        <v>108.74965</v>
      </c>
      <c r="K12" s="66">
        <f>SUM(K9:K11)</f>
        <v>7265822.1004799586</v>
      </c>
      <c r="L12" s="42">
        <f>SUM(L9:L11)</f>
        <v>61002.600772020131</v>
      </c>
      <c r="M12" s="63">
        <f>N12/L12</f>
        <v>108.74964999999999</v>
      </c>
      <c r="N12" s="66">
        <f>SUM(N9:N11)</f>
        <v>6634011.4830469182</v>
      </c>
      <c r="O12" s="42">
        <f>SUM(O9:O11)</f>
        <v>61002.600772020131</v>
      </c>
      <c r="P12" s="63">
        <f>Q12/O12</f>
        <v>108.74964999999999</v>
      </c>
      <c r="Q12" s="66">
        <f>SUM(Q9:Q11)</f>
        <v>6634011.4830469182</v>
      </c>
      <c r="R12" s="42">
        <f>SUM(R9:R11)</f>
        <v>63907.486523068706</v>
      </c>
      <c r="S12" s="63">
        <f>T12/R12</f>
        <v>108.74965</v>
      </c>
      <c r="T12" s="66">
        <f>SUM(T9:T11)</f>
        <v>6949916.7917634388</v>
      </c>
      <c r="U12" s="41">
        <f>SUM(U9:U11)</f>
        <v>363110.71888107219</v>
      </c>
      <c r="V12" s="68">
        <f t="shared" si="0"/>
        <v>108.74965</v>
      </c>
      <c r="W12" s="71">
        <f>SUM(W9:W11)</f>
        <v>39488163.589564994</v>
      </c>
      <c r="X12" s="44"/>
    </row>
    <row r="13" spans="2:24" x14ac:dyDescent="0.2">
      <c r="B13" s="16"/>
      <c r="C13" s="16"/>
      <c r="D13" s="62"/>
      <c r="E13" s="65"/>
      <c r="F13" s="27"/>
      <c r="G13" s="62"/>
      <c r="H13" s="65"/>
      <c r="I13" s="27"/>
      <c r="J13" s="62"/>
      <c r="K13" s="65"/>
      <c r="L13" s="27"/>
      <c r="M13" s="62"/>
      <c r="N13" s="65"/>
      <c r="O13" s="27"/>
      <c r="P13" s="62"/>
      <c r="Q13" s="65"/>
      <c r="R13" s="27"/>
      <c r="S13" s="62"/>
      <c r="T13" s="65"/>
      <c r="U13" s="30"/>
      <c r="V13" s="69"/>
      <c r="W13" s="70"/>
      <c r="X13" s="33"/>
    </row>
    <row r="14" spans="2:24" x14ac:dyDescent="0.2">
      <c r="B14" s="26"/>
      <c r="C14" s="16"/>
      <c r="D14" s="62"/>
      <c r="E14" s="65"/>
      <c r="F14" s="27"/>
      <c r="G14" s="62"/>
      <c r="H14" s="65"/>
      <c r="I14" s="27"/>
      <c r="J14" s="62"/>
      <c r="K14" s="65"/>
      <c r="L14" s="27"/>
      <c r="M14" s="62"/>
      <c r="N14" s="65"/>
      <c r="O14" s="27"/>
      <c r="P14" s="62"/>
      <c r="Q14" s="65"/>
      <c r="R14" s="27"/>
      <c r="S14" s="62"/>
      <c r="T14" s="65"/>
      <c r="U14" s="30"/>
      <c r="V14" s="69"/>
      <c r="W14" s="70"/>
      <c r="X14" s="33"/>
    </row>
    <row r="15" spans="2:24" x14ac:dyDescent="0.2">
      <c r="B15" s="16" t="s">
        <v>83</v>
      </c>
      <c r="C15" s="34">
        <f>'Tab 3'!C15</f>
        <v>1198.375657844887</v>
      </c>
      <c r="D15" s="62">
        <f>'Tab. 6'!$F$17</f>
        <v>189</v>
      </c>
      <c r="E15" s="65">
        <f>C15*D15</f>
        <v>226492.99933268363</v>
      </c>
      <c r="F15" s="35">
        <f>'Tab 3'!F15</f>
        <v>1331.528508716541</v>
      </c>
      <c r="G15" s="62">
        <f>'Tab. 6'!$F$17</f>
        <v>189</v>
      </c>
      <c r="H15" s="65">
        <f>F15*G15</f>
        <v>251658.88814742625</v>
      </c>
      <c r="I15" s="35">
        <f>'Tab 3'!I15</f>
        <v>1531.257785024022</v>
      </c>
      <c r="J15" s="62">
        <f>'Tab. 6'!$F$17</f>
        <v>189</v>
      </c>
      <c r="K15" s="65">
        <f>I15*J15</f>
        <v>289407.72136954014</v>
      </c>
      <c r="L15" s="35">
        <f>'Tab 3'!L15</f>
        <v>1398.1049341523681</v>
      </c>
      <c r="M15" s="62">
        <f>'Tab. 6'!$F$17</f>
        <v>189</v>
      </c>
      <c r="N15" s="65">
        <f>L15*M15</f>
        <v>264241.83255479758</v>
      </c>
      <c r="O15" s="35">
        <f>'Tab 3'!O15</f>
        <v>1398.1049341523681</v>
      </c>
      <c r="P15" s="62">
        <f>'Tab. 6'!$F$17</f>
        <v>189</v>
      </c>
      <c r="Q15" s="65">
        <f>O15*P15</f>
        <v>264241.83255479758</v>
      </c>
      <c r="R15" s="35">
        <f>'Tab 3'!R15</f>
        <v>1464.6813595881949</v>
      </c>
      <c r="S15" s="62">
        <f>'Tab. 6'!$F$17</f>
        <v>189</v>
      </c>
      <c r="T15" s="65">
        <f>R15*S15</f>
        <v>276824.77696216886</v>
      </c>
      <c r="U15" s="37">
        <f>C15+F15+I15+L15+O15+R15</f>
        <v>8322.0531794783819</v>
      </c>
      <c r="V15" s="67">
        <f>IFERROR(W15/U15,0)</f>
        <v>188.99999999999997</v>
      </c>
      <c r="W15" s="70">
        <f>E15+H15+K15+N15+Q15+T15</f>
        <v>1572868.050921414</v>
      </c>
      <c r="X15" s="38"/>
    </row>
    <row r="16" spans="2:24" x14ac:dyDescent="0.2">
      <c r="B16" s="16" t="s">
        <v>84</v>
      </c>
      <c r="C16" s="34">
        <f>'Tab 3'!C16</f>
        <v>0</v>
      </c>
      <c r="D16" s="62">
        <f>'Tab. 6'!$F$17</f>
        <v>189</v>
      </c>
      <c r="E16" s="65">
        <f>C16*D16</f>
        <v>0</v>
      </c>
      <c r="F16" s="35">
        <f>'Tab 3'!F16</f>
        <v>0</v>
      </c>
      <c r="G16" s="62">
        <f>'Tab. 6'!$F$17</f>
        <v>189</v>
      </c>
      <c r="H16" s="65">
        <f>F16*G16</f>
        <v>0</v>
      </c>
      <c r="I16" s="35">
        <f>'Tab 3'!I16</f>
        <v>0</v>
      </c>
      <c r="J16" s="62">
        <f>'Tab. 6'!$F$17</f>
        <v>189</v>
      </c>
      <c r="K16" s="65">
        <f>I16*J16</f>
        <v>0</v>
      </c>
      <c r="L16" s="35">
        <f>'Tab 3'!L16</f>
        <v>0</v>
      </c>
      <c r="M16" s="62">
        <f>'Tab. 6'!$F$17</f>
        <v>189</v>
      </c>
      <c r="N16" s="65">
        <f>L16*M16</f>
        <v>0</v>
      </c>
      <c r="O16" s="35">
        <f>'Tab 3'!O16</f>
        <v>0</v>
      </c>
      <c r="P16" s="62">
        <f>'Tab. 6'!$F$17</f>
        <v>189</v>
      </c>
      <c r="Q16" s="65">
        <f>O16*P16</f>
        <v>0</v>
      </c>
      <c r="R16" s="35">
        <f>'Tab 3'!R16</f>
        <v>0</v>
      </c>
      <c r="S16" s="62">
        <f>'Tab. 6'!$F$17</f>
        <v>189</v>
      </c>
      <c r="T16" s="65">
        <f>R16*S16</f>
        <v>0</v>
      </c>
      <c r="U16" s="37">
        <f>C16+F16+I16+L16+O16+R16</f>
        <v>0</v>
      </c>
      <c r="V16" s="67">
        <f t="shared" ref="V16:V18" si="1">IFERROR(W16/U16,0)</f>
        <v>0</v>
      </c>
      <c r="W16" s="70">
        <f>E16+H16+K16+N16+Q16+T16</f>
        <v>0</v>
      </c>
      <c r="X16" s="38"/>
    </row>
    <row r="17" spans="2:111" x14ac:dyDescent="0.2">
      <c r="B17" s="39" t="s">
        <v>85</v>
      </c>
      <c r="C17" s="34">
        <f>'Tab 3'!C17</f>
        <v>2008.3404255319151</v>
      </c>
      <c r="D17" s="62">
        <f>'Tab. 6'!$F$17</f>
        <v>189</v>
      </c>
      <c r="E17" s="65">
        <f>C17*D17</f>
        <v>379576.34042553196</v>
      </c>
      <c r="F17" s="35">
        <f>'Tab 3'!F17</f>
        <v>2231.489361702128</v>
      </c>
      <c r="G17" s="62">
        <f>'Tab. 6'!$F$17</f>
        <v>189</v>
      </c>
      <c r="H17" s="65">
        <f>F17*G17</f>
        <v>421751.48936170217</v>
      </c>
      <c r="I17" s="35">
        <f>'Tab 3'!I17</f>
        <v>2566.2127659574471</v>
      </c>
      <c r="J17" s="62">
        <f>'Tab. 6'!$F$17</f>
        <v>189</v>
      </c>
      <c r="K17" s="65">
        <f>I17*J17</f>
        <v>485014.21276595752</v>
      </c>
      <c r="L17" s="35">
        <f>'Tab 3'!L17</f>
        <v>2343.0638297872342</v>
      </c>
      <c r="M17" s="62">
        <f>'Tab. 6'!$F$17</f>
        <v>189</v>
      </c>
      <c r="N17" s="65">
        <f>L17*M17</f>
        <v>442839.06382978725</v>
      </c>
      <c r="O17" s="35">
        <f>'Tab 3'!O17</f>
        <v>2343.0638297872342</v>
      </c>
      <c r="P17" s="62">
        <f>'Tab. 6'!$F$17</f>
        <v>189</v>
      </c>
      <c r="Q17" s="65">
        <f>O17*P17</f>
        <v>442839.06382978725</v>
      </c>
      <c r="R17" s="35">
        <f>'Tab 3'!R17</f>
        <v>2454.6382978723404</v>
      </c>
      <c r="S17" s="62">
        <f>'Tab. 6'!$F$17</f>
        <v>189</v>
      </c>
      <c r="T17" s="65">
        <f>R17*S17</f>
        <v>463926.63829787233</v>
      </c>
      <c r="U17" s="37">
        <f>C17+F17+I17+L17+O17+R17</f>
        <v>13946.808510638297</v>
      </c>
      <c r="V17" s="67">
        <f t="shared" si="1"/>
        <v>189.00000000000003</v>
      </c>
      <c r="W17" s="70">
        <f>E17+H17+K17+N17+Q17+T17</f>
        <v>2635946.8085106383</v>
      </c>
      <c r="X17" s="38"/>
    </row>
    <row r="18" spans="2:111" ht="17" thickBot="1" x14ac:dyDescent="0.25">
      <c r="B18" s="40" t="s">
        <v>74</v>
      </c>
      <c r="C18" s="41">
        <f>SUM(C15:C17)</f>
        <v>3206.7160833768021</v>
      </c>
      <c r="D18" s="63">
        <f>E18/C18</f>
        <v>189</v>
      </c>
      <c r="E18" s="66">
        <f>SUM(E15:E17)</f>
        <v>606069.33975821559</v>
      </c>
      <c r="F18" s="42">
        <f>SUM(F15:F17)</f>
        <v>3563.0178704186692</v>
      </c>
      <c r="G18" s="63">
        <f>H18/F18</f>
        <v>188.99999999999997</v>
      </c>
      <c r="H18" s="66">
        <f>SUM(H15:H17)</f>
        <v>673410.37750912842</v>
      </c>
      <c r="I18" s="42">
        <f>SUM(I15:I17)</f>
        <v>4097.4705509814694</v>
      </c>
      <c r="J18" s="63">
        <f>K18/I18</f>
        <v>189</v>
      </c>
      <c r="K18" s="66">
        <f>SUM(K15:K17)</f>
        <v>774421.93413549766</v>
      </c>
      <c r="L18" s="42">
        <f>SUM(L15:L17)</f>
        <v>3741.1687639396023</v>
      </c>
      <c r="M18" s="63">
        <f>N18/L18</f>
        <v>189</v>
      </c>
      <c r="N18" s="66">
        <f>SUM(N15:N17)</f>
        <v>707080.89638458483</v>
      </c>
      <c r="O18" s="42">
        <f>SUM(O15:O17)</f>
        <v>3741.1687639396023</v>
      </c>
      <c r="P18" s="63">
        <f>Q18/O18</f>
        <v>189</v>
      </c>
      <c r="Q18" s="66">
        <f>SUM(Q15:Q17)</f>
        <v>707080.89638458483</v>
      </c>
      <c r="R18" s="42">
        <f>SUM(R15:R17)</f>
        <v>3919.3196574605354</v>
      </c>
      <c r="S18" s="63">
        <f>T18/R18</f>
        <v>189</v>
      </c>
      <c r="T18" s="66">
        <f>SUM(T15:T17)</f>
        <v>740751.41526004113</v>
      </c>
      <c r="U18" s="41">
        <f>SUM(U15:U17)</f>
        <v>22268.861690116679</v>
      </c>
      <c r="V18" s="68">
        <f t="shared" si="1"/>
        <v>189.00000000000003</v>
      </c>
      <c r="W18" s="71">
        <f>SUM(W15:W17)</f>
        <v>4208814.8594320528</v>
      </c>
      <c r="X18" s="44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</row>
    <row r="19" spans="2:111" x14ac:dyDescent="0.2">
      <c r="B19" s="16"/>
      <c r="C19" s="16"/>
      <c r="D19" s="62"/>
      <c r="E19" s="65"/>
      <c r="F19" s="27"/>
      <c r="G19" s="62"/>
      <c r="H19" s="65"/>
      <c r="I19" s="27"/>
      <c r="J19" s="62"/>
      <c r="K19" s="65"/>
      <c r="L19" s="27"/>
      <c r="M19" s="62"/>
      <c r="N19" s="65"/>
      <c r="O19" s="27"/>
      <c r="P19" s="62"/>
      <c r="Q19" s="65"/>
      <c r="R19" s="27"/>
      <c r="S19" s="62"/>
      <c r="T19" s="65"/>
      <c r="U19" s="30"/>
      <c r="V19" s="69"/>
      <c r="W19" s="70"/>
      <c r="X19" s="44"/>
      <c r="Y19" s="47"/>
      <c r="Z19" s="48"/>
      <c r="AA19" s="48"/>
    </row>
    <row r="20" spans="2:111" x14ac:dyDescent="0.2">
      <c r="B20" s="26"/>
      <c r="C20" s="16"/>
      <c r="D20" s="62"/>
      <c r="E20" s="65"/>
      <c r="F20" s="27"/>
      <c r="G20" s="62"/>
      <c r="H20" s="65"/>
      <c r="I20" s="27"/>
      <c r="J20" s="62"/>
      <c r="K20" s="65"/>
      <c r="L20" s="27"/>
      <c r="M20" s="62"/>
      <c r="N20" s="65"/>
      <c r="O20" s="27"/>
      <c r="P20" s="62"/>
      <c r="Q20" s="65"/>
      <c r="R20" s="27"/>
      <c r="S20" s="62"/>
      <c r="T20" s="65"/>
      <c r="U20" s="30"/>
      <c r="V20" s="69"/>
      <c r="W20" s="70"/>
      <c r="X20" s="44"/>
      <c r="Y20" s="47"/>
      <c r="Z20" s="48"/>
      <c r="AA20" s="48"/>
    </row>
    <row r="21" spans="2:111" x14ac:dyDescent="0.2">
      <c r="B21" s="16" t="s">
        <v>83</v>
      </c>
      <c r="C21" s="45">
        <f>C9+C15</f>
        <v>20061.69619799588</v>
      </c>
      <c r="D21" s="64">
        <f>E21/C21</f>
        <v>113.54336559734512</v>
      </c>
      <c r="E21" s="65">
        <f>E9+E15</f>
        <v>2277872.5059119146</v>
      </c>
      <c r="F21" s="35">
        <f>F9+F15</f>
        <v>22290.773553328752</v>
      </c>
      <c r="G21" s="64">
        <f>H21/F21</f>
        <v>113.54336559734516</v>
      </c>
      <c r="H21" s="65">
        <f>H9+H15</f>
        <v>2530969.4510132391</v>
      </c>
      <c r="I21" s="35">
        <f>I9+I15</f>
        <v>25634.389586328067</v>
      </c>
      <c r="J21" s="64">
        <f>K21/I21</f>
        <v>113.54336559734514</v>
      </c>
      <c r="K21" s="65">
        <f>K9+K15</f>
        <v>2910614.8686652249</v>
      </c>
      <c r="L21" s="35">
        <f>L9+L15</f>
        <v>23405.31223099519</v>
      </c>
      <c r="M21" s="64">
        <f>N21/L21</f>
        <v>113.54336559734514</v>
      </c>
      <c r="N21" s="65">
        <f>N9+N15</f>
        <v>2657517.9235639009</v>
      </c>
      <c r="O21" s="35">
        <f>O9+O15</f>
        <v>23405.31223099519</v>
      </c>
      <c r="P21" s="64">
        <f>Q21/O21</f>
        <v>113.54336559734514</v>
      </c>
      <c r="Q21" s="65">
        <f>Q9+Q15</f>
        <v>2657517.9235639009</v>
      </c>
      <c r="R21" s="35">
        <f>R9+R15</f>
        <v>24519.850908661629</v>
      </c>
      <c r="S21" s="64">
        <f>T21/R21</f>
        <v>113.54336559734516</v>
      </c>
      <c r="T21" s="65">
        <f>T9+T15</f>
        <v>2784066.3961145631</v>
      </c>
      <c r="U21" s="37">
        <f>C21+F21+I21+L21+O21+R21</f>
        <v>139317.3347083047</v>
      </c>
      <c r="V21" s="67">
        <f>IFERROR(W21/U21,0)</f>
        <v>113.54336559734516</v>
      </c>
      <c r="W21" s="70">
        <f>E21+H21+K21+N21+Q21+T21</f>
        <v>15818559.068832744</v>
      </c>
      <c r="X21" s="44"/>
      <c r="Y21" s="47"/>
      <c r="Z21" s="48"/>
      <c r="AA21" s="48"/>
    </row>
    <row r="22" spans="2:111" x14ac:dyDescent="0.2">
      <c r="B22" s="16" t="s">
        <v>84</v>
      </c>
      <c r="C22" s="45">
        <f t="shared" ref="C22:C23" si="2">C10+C16</f>
        <v>33131.005957446803</v>
      </c>
      <c r="D22" s="64">
        <f>E22/C22</f>
        <v>108.74965</v>
      </c>
      <c r="E22" s="65">
        <f t="shared" ref="E22:F23" si="3">E10+E16</f>
        <v>3602985.302020255</v>
      </c>
      <c r="F22" s="35">
        <f t="shared" si="3"/>
        <v>36812.228841607561</v>
      </c>
      <c r="G22" s="64">
        <f>H22/F22</f>
        <v>108.74965</v>
      </c>
      <c r="H22" s="65">
        <f t="shared" ref="H22:I23" si="4">H10+H16</f>
        <v>4003317.0022447277</v>
      </c>
      <c r="I22" s="35">
        <f t="shared" si="4"/>
        <v>42334.063167848697</v>
      </c>
      <c r="J22" s="64">
        <f>K22/I22</f>
        <v>108.74965</v>
      </c>
      <c r="K22" s="65">
        <f t="shared" ref="K22:L23" si="5">K10+K16</f>
        <v>4603814.5525814369</v>
      </c>
      <c r="L22" s="35">
        <f t="shared" si="5"/>
        <v>38652.84028368794</v>
      </c>
      <c r="M22" s="64">
        <f>N22/L22</f>
        <v>108.74964999999999</v>
      </c>
      <c r="N22" s="65">
        <f t="shared" ref="N22:O23" si="6">N10+N16</f>
        <v>4203482.8523569638</v>
      </c>
      <c r="O22" s="35">
        <f t="shared" si="6"/>
        <v>38652.84028368794</v>
      </c>
      <c r="P22" s="64">
        <f>Q22/O22</f>
        <v>108.74964999999999</v>
      </c>
      <c r="Q22" s="65">
        <f t="shared" ref="Q22:R23" si="7">Q10+Q16</f>
        <v>4203482.8523569638</v>
      </c>
      <c r="R22" s="35">
        <f t="shared" si="7"/>
        <v>40493.451725768318</v>
      </c>
      <c r="S22" s="64">
        <f>T22/R22</f>
        <v>108.74965</v>
      </c>
      <c r="T22" s="65">
        <f t="shared" ref="T22:T23" si="8">T10+T16</f>
        <v>4403648.7024692008</v>
      </c>
      <c r="U22" s="37">
        <f>C22+F22+I22+L22+O22+R22</f>
        <v>230076.43026004726</v>
      </c>
      <c r="V22" s="67">
        <f t="shared" ref="V22:V24" si="9">IFERROR(W22/U22,0)</f>
        <v>108.74965</v>
      </c>
      <c r="W22" s="70">
        <f>E22+H22+K22+N22+Q22+T22</f>
        <v>25020731.264029548</v>
      </c>
      <c r="X22" s="44"/>
      <c r="Y22" s="47"/>
      <c r="Z22" s="48"/>
      <c r="AA22" s="48"/>
    </row>
    <row r="23" spans="2:111" x14ac:dyDescent="0.2">
      <c r="B23" s="39" t="s">
        <v>85</v>
      </c>
      <c r="C23" s="45">
        <f t="shared" si="2"/>
        <v>2301.9574468085111</v>
      </c>
      <c r="D23" s="64">
        <f>E23/C23</f>
        <v>178.76398596938776</v>
      </c>
      <c r="E23" s="65">
        <f t="shared" si="3"/>
        <v>411507.08872340433</v>
      </c>
      <c r="F23" s="35">
        <f t="shared" si="3"/>
        <v>2557.7304964539012</v>
      </c>
      <c r="G23" s="64">
        <f>H23/F23</f>
        <v>178.76398596938776</v>
      </c>
      <c r="H23" s="65">
        <f t="shared" si="4"/>
        <v>457230.09858156036</v>
      </c>
      <c r="I23" s="35">
        <f t="shared" si="4"/>
        <v>2941.3900709219865</v>
      </c>
      <c r="J23" s="64">
        <f>K23/I23</f>
        <v>178.76398596938776</v>
      </c>
      <c r="K23" s="65">
        <f t="shared" si="5"/>
        <v>525814.61336879444</v>
      </c>
      <c r="L23" s="35">
        <f t="shared" si="5"/>
        <v>2685.6170212765965</v>
      </c>
      <c r="M23" s="64">
        <f>N23/L23</f>
        <v>178.76398596938773</v>
      </c>
      <c r="N23" s="65">
        <f t="shared" si="6"/>
        <v>480091.60351063835</v>
      </c>
      <c r="O23" s="35">
        <f t="shared" si="6"/>
        <v>2685.6170212765965</v>
      </c>
      <c r="P23" s="64">
        <f>Q23/O23</f>
        <v>178.76398596938773</v>
      </c>
      <c r="Q23" s="65">
        <f t="shared" si="7"/>
        <v>480091.60351063835</v>
      </c>
      <c r="R23" s="35">
        <f t="shared" si="7"/>
        <v>2813.5035460992913</v>
      </c>
      <c r="S23" s="64">
        <f>T23/R23</f>
        <v>178.76398596938773</v>
      </c>
      <c r="T23" s="65">
        <f t="shared" si="8"/>
        <v>502953.10843971634</v>
      </c>
      <c r="U23" s="37">
        <f>C23+F23+I23+L23+O23+R23</f>
        <v>15985.815602836883</v>
      </c>
      <c r="V23" s="67">
        <f t="shared" si="9"/>
        <v>178.76398596938773</v>
      </c>
      <c r="W23" s="70">
        <f>E23+H23+K23+N23+Q23+T23</f>
        <v>2857688.1161347521</v>
      </c>
      <c r="X23" s="44"/>
      <c r="Y23" s="47"/>
      <c r="Z23" s="48"/>
      <c r="AA23" s="48"/>
    </row>
    <row r="24" spans="2:111" ht="17" thickBot="1" x14ac:dyDescent="0.25">
      <c r="B24" s="40" t="s">
        <v>3</v>
      </c>
      <c r="C24" s="41">
        <f>SUM(C21:C23)</f>
        <v>55494.659602251195</v>
      </c>
      <c r="D24" s="63">
        <f>E24/C24</f>
        <v>113.38685455060109</v>
      </c>
      <c r="E24" s="66">
        <f>SUM(E21:E23)</f>
        <v>6292364.8966555744</v>
      </c>
      <c r="F24" s="41">
        <f>SUM(F21:F23)</f>
        <v>61660.732891390209</v>
      </c>
      <c r="G24" s="63">
        <f>H24/F24</f>
        <v>113.3868545506011</v>
      </c>
      <c r="H24" s="66">
        <f>SUM(H21:H23)</f>
        <v>6991516.5518395267</v>
      </c>
      <c r="I24" s="41">
        <f>SUM(I21:I23)</f>
        <v>70909.842825098749</v>
      </c>
      <c r="J24" s="63">
        <f>K24/I24</f>
        <v>113.38685455060109</v>
      </c>
      <c r="K24" s="66">
        <f>SUM(K21:K23)</f>
        <v>8040244.0346154561</v>
      </c>
      <c r="L24" s="41">
        <f>SUM(L21:L23)</f>
        <v>64743.76953595972</v>
      </c>
      <c r="M24" s="63">
        <f>N24/L24</f>
        <v>113.3868545506011</v>
      </c>
      <c r="N24" s="66">
        <f>SUM(N21:N23)</f>
        <v>7341092.3794315029</v>
      </c>
      <c r="O24" s="41">
        <f>SUM(O21:O23)</f>
        <v>64743.76953595972</v>
      </c>
      <c r="P24" s="63">
        <f>Q24/O24</f>
        <v>113.3868545506011</v>
      </c>
      <c r="Q24" s="66">
        <f>SUM(Q21:Q23)</f>
        <v>7341092.3794315029</v>
      </c>
      <c r="R24" s="41">
        <f>SUM(R21:R23)</f>
        <v>67826.806180529238</v>
      </c>
      <c r="S24" s="63">
        <f>T24/R24</f>
        <v>113.38685455060109</v>
      </c>
      <c r="T24" s="66">
        <f>SUM(T21:T23)</f>
        <v>7690668.20702348</v>
      </c>
      <c r="U24" s="41">
        <f>SUM(U21:U23)</f>
        <v>385379.58057118882</v>
      </c>
      <c r="V24" s="68">
        <f t="shared" si="9"/>
        <v>113.3868545506011</v>
      </c>
      <c r="W24" s="71">
        <f>SUM(W21:W23)</f>
        <v>43696978.448997043</v>
      </c>
      <c r="X24" s="44"/>
      <c r="Y24" s="47"/>
      <c r="Z24" s="48"/>
      <c r="AA24" s="48"/>
    </row>
    <row r="25" spans="2:111" x14ac:dyDescent="0.2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44"/>
      <c r="Y25" s="47"/>
      <c r="Z25" s="48"/>
      <c r="AA25" s="48"/>
    </row>
    <row r="26" spans="2:111" x14ac:dyDescent="0.2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44"/>
      <c r="Y26" s="47"/>
      <c r="Z26" s="48"/>
      <c r="AA26" s="48"/>
    </row>
    <row r="27" spans="2:111" x14ac:dyDescent="0.2">
      <c r="W27" s="47"/>
    </row>
    <row r="28" spans="2:111" ht="17" thickBot="1" x14ac:dyDescent="0.25"/>
    <row r="29" spans="2:111" x14ac:dyDescent="0.2">
      <c r="B29" s="87"/>
      <c r="C29" s="392" t="s">
        <v>80</v>
      </c>
      <c r="D29" s="393"/>
      <c r="E29" s="393"/>
      <c r="F29" s="393"/>
      <c r="G29" s="393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  <c r="T29" s="393"/>
      <c r="U29" s="393"/>
      <c r="V29" s="393"/>
      <c r="W29" s="394"/>
      <c r="X29" s="13"/>
      <c r="Y29" s="403" t="s">
        <v>3</v>
      </c>
      <c r="Z29" s="404"/>
      <c r="AA29" s="405"/>
    </row>
    <row r="30" spans="2:111" x14ac:dyDescent="0.2">
      <c r="B30" s="345"/>
      <c r="C30" s="381" t="s">
        <v>18</v>
      </c>
      <c r="D30" s="381"/>
      <c r="E30" s="382"/>
      <c r="F30" s="380" t="s">
        <v>19</v>
      </c>
      <c r="G30" s="381"/>
      <c r="H30" s="382"/>
      <c r="I30" s="380" t="s">
        <v>20</v>
      </c>
      <c r="J30" s="381"/>
      <c r="K30" s="382"/>
      <c r="L30" s="380" t="s">
        <v>21</v>
      </c>
      <c r="M30" s="381"/>
      <c r="N30" s="382"/>
      <c r="O30" s="380" t="s">
        <v>22</v>
      </c>
      <c r="P30" s="381"/>
      <c r="Q30" s="382"/>
      <c r="R30" s="380" t="s">
        <v>23</v>
      </c>
      <c r="S30" s="381"/>
      <c r="T30" s="383"/>
      <c r="U30" s="397" t="s">
        <v>160</v>
      </c>
      <c r="V30" s="398"/>
      <c r="W30" s="399"/>
      <c r="X30" s="15"/>
      <c r="Y30" s="406"/>
      <c r="Z30" s="407"/>
      <c r="AA30" s="408"/>
    </row>
    <row r="31" spans="2:111" x14ac:dyDescent="0.2">
      <c r="B31" s="83"/>
      <c r="C31" s="18" t="s">
        <v>0</v>
      </c>
      <c r="D31" s="18" t="s">
        <v>158</v>
      </c>
      <c r="E31" s="19" t="s">
        <v>1</v>
      </c>
      <c r="F31" s="18" t="s">
        <v>0</v>
      </c>
      <c r="G31" s="18" t="s">
        <v>158</v>
      </c>
      <c r="H31" s="19" t="s">
        <v>1</v>
      </c>
      <c r="I31" s="349" t="s">
        <v>0</v>
      </c>
      <c r="J31" s="18" t="s">
        <v>158</v>
      </c>
      <c r="K31" s="19" t="s">
        <v>1</v>
      </c>
      <c r="L31" s="349" t="s">
        <v>0</v>
      </c>
      <c r="M31" s="18" t="s">
        <v>158</v>
      </c>
      <c r="N31" s="19" t="s">
        <v>1</v>
      </c>
      <c r="O31" s="349" t="s">
        <v>0</v>
      </c>
      <c r="P31" s="18" t="s">
        <v>159</v>
      </c>
      <c r="Q31" s="19" t="s">
        <v>1</v>
      </c>
      <c r="R31" s="349" t="s">
        <v>0</v>
      </c>
      <c r="S31" s="78" t="s">
        <v>158</v>
      </c>
      <c r="T31" s="350" t="s">
        <v>1</v>
      </c>
      <c r="U31" s="24" t="s">
        <v>0</v>
      </c>
      <c r="V31" s="24" t="s">
        <v>158</v>
      </c>
      <c r="W31" s="25" t="s">
        <v>1</v>
      </c>
      <c r="X31" s="15"/>
      <c r="Y31" s="51" t="s">
        <v>0</v>
      </c>
      <c r="Z31" s="24" t="s">
        <v>158</v>
      </c>
      <c r="AA31" s="25" t="s">
        <v>1</v>
      </c>
    </row>
    <row r="32" spans="2:111" x14ac:dyDescent="0.2">
      <c r="B32" s="346"/>
      <c r="C32" s="27"/>
      <c r="D32" s="27"/>
      <c r="E32" s="28"/>
      <c r="F32" s="27"/>
      <c r="G32" s="27"/>
      <c r="H32" s="28"/>
      <c r="I32" s="29"/>
      <c r="J32" s="27"/>
      <c r="K32" s="28"/>
      <c r="L32" s="29"/>
      <c r="M32" s="27"/>
      <c r="N32" s="28"/>
      <c r="O32" s="29"/>
      <c r="P32" s="27"/>
      <c r="Q32" s="28"/>
      <c r="R32" s="27"/>
      <c r="S32" s="27"/>
      <c r="T32" s="27"/>
      <c r="U32" s="30"/>
      <c r="V32" s="31"/>
      <c r="W32" s="32"/>
      <c r="X32" s="33"/>
      <c r="Y32" s="30"/>
      <c r="Z32" s="31"/>
      <c r="AA32" s="32"/>
    </row>
    <row r="33" spans="2:32" x14ac:dyDescent="0.2">
      <c r="B33" s="83" t="s">
        <v>83</v>
      </c>
      <c r="C33" s="35">
        <f>'Tab 3'!C33</f>
        <v>23055.169549073435</v>
      </c>
      <c r="D33" s="62">
        <f>'Tab. 6'!$F$8</f>
        <v>108.74965</v>
      </c>
      <c r="E33" s="65">
        <f>C33*D33</f>
        <v>2507241.6191523941</v>
      </c>
      <c r="F33" s="35">
        <f>'Tab 3'!F33</f>
        <v>12575.547026767326</v>
      </c>
      <c r="G33" s="62">
        <f>'Tab. 6'!$F$8</f>
        <v>108.74965</v>
      </c>
      <c r="H33" s="65">
        <f>F33*G33</f>
        <v>1367586.3377194875</v>
      </c>
      <c r="I33" s="35">
        <f>'Tab 3'!I33</f>
        <v>23055.169549073435</v>
      </c>
      <c r="J33" s="62">
        <f>'Tab. 6'!$F$8</f>
        <v>108.74965</v>
      </c>
      <c r="K33" s="65">
        <f>I33*J33</f>
        <v>2507241.6191523941</v>
      </c>
      <c r="L33" s="35">
        <f>'Tab 3'!L33</f>
        <v>22007.207296842822</v>
      </c>
      <c r="M33" s="62">
        <f>'Tab. 6'!$F$8</f>
        <v>108.74965</v>
      </c>
      <c r="N33" s="65">
        <f>L33*M33</f>
        <v>2393276.0910091032</v>
      </c>
      <c r="O33" s="35">
        <f>'Tab 3'!O33</f>
        <v>22007.207296842822</v>
      </c>
      <c r="P33" s="62">
        <f>'Tab. 6'!$F$8</f>
        <v>108.74965</v>
      </c>
      <c r="Q33" s="65">
        <f>O33*P33</f>
        <v>2393276.0910091032</v>
      </c>
      <c r="R33" s="35">
        <f>'Tab 3'!R33</f>
        <v>12575.547026767326</v>
      </c>
      <c r="S33" s="62">
        <f>'Tab. 6'!$F$8</f>
        <v>108.74965</v>
      </c>
      <c r="T33" s="65">
        <f>R33*S33</f>
        <v>1367586.3377194875</v>
      </c>
      <c r="U33" s="37">
        <f>C33+F33+I33+L33+O33+R33</f>
        <v>115275.84774536717</v>
      </c>
      <c r="V33" s="67">
        <f>IFERROR(W33/U33,0)</f>
        <v>108.74964999999999</v>
      </c>
      <c r="W33" s="70">
        <f>E33+H33+K33+N33+Q33+T33</f>
        <v>12536208.095761968</v>
      </c>
      <c r="X33" s="38"/>
      <c r="Y33" s="37">
        <f>U9+U33</f>
        <v>246271.12927419349</v>
      </c>
      <c r="Z33" s="67">
        <f>IFERROR(AA33/Y33,0)</f>
        <v>108.74965000000002</v>
      </c>
      <c r="AA33" s="70">
        <f>W9+W33</f>
        <v>26781899.1136733</v>
      </c>
    </row>
    <row r="34" spans="2:32" x14ac:dyDescent="0.2">
      <c r="B34" s="83" t="s">
        <v>84</v>
      </c>
      <c r="C34" s="35">
        <f>'Tab 3'!C34</f>
        <v>40493.451725768318</v>
      </c>
      <c r="D34" s="62">
        <f>'Tab. 6'!$F$8</f>
        <v>108.74965</v>
      </c>
      <c r="E34" s="65">
        <f>C34*D34</f>
        <v>4403648.7024692008</v>
      </c>
      <c r="F34" s="35">
        <f>'Tab 3'!F34</f>
        <v>22087.337304964538</v>
      </c>
      <c r="G34" s="62">
        <f>'Tab. 6'!$F$8</f>
        <v>108.74965</v>
      </c>
      <c r="H34" s="65">
        <f>F34*G34</f>
        <v>2401990.201346837</v>
      </c>
      <c r="I34" s="35">
        <f>'Tab 3'!I34</f>
        <v>40493.451725768318</v>
      </c>
      <c r="J34" s="62">
        <f>'Tab. 6'!$F$8</f>
        <v>108.74965</v>
      </c>
      <c r="K34" s="65">
        <f>I34*J34</f>
        <v>4403648.7024692008</v>
      </c>
      <c r="L34" s="35">
        <f>'Tab 3'!L34</f>
        <v>38652.84028368794</v>
      </c>
      <c r="M34" s="62">
        <f>'Tab. 6'!$F$8</f>
        <v>108.74965</v>
      </c>
      <c r="N34" s="65">
        <f>L34*M34</f>
        <v>4203482.8523569638</v>
      </c>
      <c r="O34" s="35">
        <f>'Tab 3'!O34</f>
        <v>38652.84028368794</v>
      </c>
      <c r="P34" s="62">
        <f>'Tab. 6'!$F$8</f>
        <v>108.74965</v>
      </c>
      <c r="Q34" s="65">
        <f>O34*P34</f>
        <v>4203482.8523569638</v>
      </c>
      <c r="R34" s="35">
        <f>'Tab 3'!R34</f>
        <v>22087.337304964538</v>
      </c>
      <c r="S34" s="62">
        <f>'Tab. 6'!$F$8</f>
        <v>108.74965</v>
      </c>
      <c r="T34" s="65">
        <f>R34*S34</f>
        <v>2401990.201346837</v>
      </c>
      <c r="U34" s="37">
        <f>C34+F34+I34+L34+O34+R34</f>
        <v>202467.25862884161</v>
      </c>
      <c r="V34" s="67">
        <f t="shared" ref="V34:V36" si="10">IFERROR(W34/U34,0)</f>
        <v>108.74964999999999</v>
      </c>
      <c r="W34" s="70">
        <f>E34+H34+K34+N34+Q34+T34</f>
        <v>22018243.512346003</v>
      </c>
      <c r="X34" s="38"/>
      <c r="Y34" s="37">
        <f>U10+U34</f>
        <v>432543.68888888886</v>
      </c>
      <c r="Z34" s="67">
        <f t="shared" ref="Z34:Z36" si="11">IFERROR(AA34/Y34,0)</f>
        <v>108.74964999999999</v>
      </c>
      <c r="AA34" s="70">
        <f>W10+W34</f>
        <v>47038974.776375547</v>
      </c>
    </row>
    <row r="35" spans="2:32" x14ac:dyDescent="0.2">
      <c r="B35" s="347" t="s">
        <v>85</v>
      </c>
      <c r="C35" s="35">
        <f>'Tab 3'!C35</f>
        <v>358.86524822695065</v>
      </c>
      <c r="D35" s="62">
        <f>'Tab. 6'!$F$8</f>
        <v>108.74965</v>
      </c>
      <c r="E35" s="65">
        <f>C35*D35</f>
        <v>39026.470141844002</v>
      </c>
      <c r="F35" s="35">
        <f>'Tab 3'!F35</f>
        <v>195.744680851064</v>
      </c>
      <c r="G35" s="62">
        <f>'Tab. 6'!$F$8</f>
        <v>108.74965</v>
      </c>
      <c r="H35" s="65">
        <f>F35*G35</f>
        <v>21287.165531914914</v>
      </c>
      <c r="I35" s="35">
        <f>'Tab 3'!I35</f>
        <v>358.86524822695065</v>
      </c>
      <c r="J35" s="62">
        <f>'Tab. 6'!$F$8</f>
        <v>108.74965</v>
      </c>
      <c r="K35" s="65">
        <f>I35*J35</f>
        <v>39026.470141844002</v>
      </c>
      <c r="L35" s="35">
        <f>'Tab 3'!L35</f>
        <v>342.55319148936201</v>
      </c>
      <c r="M35" s="62">
        <f>'Tab. 6'!$F$8</f>
        <v>108.74965</v>
      </c>
      <c r="N35" s="65">
        <f>L35*M35</f>
        <v>37252.5396808511</v>
      </c>
      <c r="O35" s="35">
        <f>'Tab 3'!O35</f>
        <v>342.55319148936201</v>
      </c>
      <c r="P35" s="62">
        <f>'Tab. 6'!$F$8</f>
        <v>108.74965</v>
      </c>
      <c r="Q35" s="65">
        <f>O35*P35</f>
        <v>37252.5396808511</v>
      </c>
      <c r="R35" s="35">
        <f>'Tab 3'!R35</f>
        <v>195.744680851064</v>
      </c>
      <c r="S35" s="62">
        <f>'Tab. 6'!$F$8</f>
        <v>108.74965</v>
      </c>
      <c r="T35" s="65">
        <f>R35*S35</f>
        <v>21287.165531914914</v>
      </c>
      <c r="U35" s="37">
        <f>C35+F35+I35+L35+O35+R35</f>
        <v>1794.3262411347532</v>
      </c>
      <c r="V35" s="67">
        <f t="shared" si="10"/>
        <v>108.74965000000002</v>
      </c>
      <c r="W35" s="70">
        <f>E35+H35+K35+N35+Q35+T35</f>
        <v>195132.35070922005</v>
      </c>
      <c r="X35" s="38"/>
      <c r="Y35" s="37">
        <f>U11+U35</f>
        <v>3833.3333333333367</v>
      </c>
      <c r="Z35" s="67">
        <f t="shared" si="11"/>
        <v>108.74965</v>
      </c>
      <c r="AA35" s="70">
        <f>W11+W35</f>
        <v>416873.65833333373</v>
      </c>
    </row>
    <row r="36" spans="2:32" ht="17" thickBot="1" x14ac:dyDescent="0.25">
      <c r="B36" s="348" t="s">
        <v>73</v>
      </c>
      <c r="C36" s="42">
        <f>SUM(C33:C35)</f>
        <v>63907.486523068706</v>
      </c>
      <c r="D36" s="63">
        <f>E36/C36</f>
        <v>108.74965</v>
      </c>
      <c r="E36" s="66">
        <f>SUM(E33:E35)</f>
        <v>6949916.7917634388</v>
      </c>
      <c r="F36" s="42">
        <f>SUM(F33:F35)</f>
        <v>34858.629012582933</v>
      </c>
      <c r="G36" s="63">
        <f>H36/F36</f>
        <v>108.74965</v>
      </c>
      <c r="H36" s="66">
        <f>SUM(H33:H35)</f>
        <v>3790863.7045982396</v>
      </c>
      <c r="I36" s="42">
        <f>SUM(I33:I35)</f>
        <v>63907.486523068706</v>
      </c>
      <c r="J36" s="63">
        <f>K36/I36</f>
        <v>108.74965</v>
      </c>
      <c r="K36" s="66">
        <f>SUM(K33:K35)</f>
        <v>6949916.7917634388</v>
      </c>
      <c r="L36" s="42">
        <f>SUM(L33:L35)</f>
        <v>61002.600772020131</v>
      </c>
      <c r="M36" s="63">
        <f>N36/L36</f>
        <v>108.74964999999999</v>
      </c>
      <c r="N36" s="66">
        <f>SUM(N33:N35)</f>
        <v>6634011.4830469182</v>
      </c>
      <c r="O36" s="42">
        <f>SUM(O33:O35)</f>
        <v>61002.600772020131</v>
      </c>
      <c r="P36" s="63">
        <f>Q36/O36</f>
        <v>108.74964999999999</v>
      </c>
      <c r="Q36" s="66">
        <f>SUM(Q33:Q35)</f>
        <v>6634011.4830469182</v>
      </c>
      <c r="R36" s="42">
        <f>SUM(R33:R35)</f>
        <v>34858.629012582933</v>
      </c>
      <c r="S36" s="63">
        <f>T36/R36</f>
        <v>108.74965</v>
      </c>
      <c r="T36" s="66">
        <f>SUM(T33:T35)</f>
        <v>3790863.7045982396</v>
      </c>
      <c r="U36" s="41">
        <f>SUM(U33:U35)</f>
        <v>319537.43261534348</v>
      </c>
      <c r="V36" s="68">
        <f t="shared" si="10"/>
        <v>108.74965000000002</v>
      </c>
      <c r="W36" s="71">
        <f>SUM(W33:W35)</f>
        <v>34749583.958817191</v>
      </c>
      <c r="X36" s="44"/>
      <c r="Y36" s="41">
        <f>SUM(Y33:Y35)</f>
        <v>682648.15149641572</v>
      </c>
      <c r="Z36" s="68">
        <f t="shared" si="11"/>
        <v>108.74964999999999</v>
      </c>
      <c r="AA36" s="71">
        <f>SUM(AA33:AA35)</f>
        <v>74237747.548382178</v>
      </c>
      <c r="AC36" s="52"/>
      <c r="AD36" s="52"/>
      <c r="AE36" s="52"/>
      <c r="AF36" s="46"/>
    </row>
    <row r="37" spans="2:32" x14ac:dyDescent="0.2">
      <c r="B37" s="83"/>
      <c r="C37" s="27"/>
      <c r="D37" s="62"/>
      <c r="E37" s="65"/>
      <c r="F37" s="27"/>
      <c r="G37" s="62"/>
      <c r="H37" s="65"/>
      <c r="I37" s="27"/>
      <c r="J37" s="62"/>
      <c r="K37" s="65"/>
      <c r="L37" s="27"/>
      <c r="M37" s="62"/>
      <c r="N37" s="65"/>
      <c r="O37" s="27"/>
      <c r="P37" s="62"/>
      <c r="Q37" s="65"/>
      <c r="R37" s="27"/>
      <c r="S37" s="62"/>
      <c r="T37" s="65"/>
      <c r="U37" s="30"/>
      <c r="V37" s="69"/>
      <c r="W37" s="70"/>
      <c r="X37" s="33"/>
      <c r="Y37" s="30"/>
      <c r="Z37" s="69"/>
      <c r="AA37" s="70"/>
      <c r="AC37" s="52"/>
      <c r="AD37" s="52"/>
      <c r="AE37" s="52"/>
    </row>
    <row r="38" spans="2:32" x14ac:dyDescent="0.2">
      <c r="B38" s="346"/>
      <c r="C38" s="27"/>
      <c r="D38" s="62"/>
      <c r="E38" s="65"/>
      <c r="F38" s="27"/>
      <c r="G38" s="62"/>
      <c r="H38" s="65"/>
      <c r="I38" s="27"/>
      <c r="J38" s="62"/>
      <c r="K38" s="65"/>
      <c r="L38" s="27"/>
      <c r="M38" s="62"/>
      <c r="N38" s="65"/>
      <c r="O38" s="27"/>
      <c r="P38" s="62"/>
      <c r="Q38" s="65"/>
      <c r="R38" s="27"/>
      <c r="S38" s="62"/>
      <c r="T38" s="65"/>
      <c r="U38" s="30"/>
      <c r="V38" s="69"/>
      <c r="W38" s="70"/>
      <c r="X38" s="33"/>
      <c r="Y38" s="30"/>
      <c r="Z38" s="69"/>
      <c r="AA38" s="70"/>
      <c r="AC38" s="52"/>
      <c r="AD38" s="52"/>
      <c r="AE38" s="52"/>
    </row>
    <row r="39" spans="2:32" x14ac:dyDescent="0.2">
      <c r="B39" s="83" t="s">
        <v>83</v>
      </c>
      <c r="C39" s="35">
        <f>'Tab 3'!C39</f>
        <v>1464.6813595881949</v>
      </c>
      <c r="D39" s="62">
        <f>'Tab. 6'!$F$17</f>
        <v>189</v>
      </c>
      <c r="E39" s="65">
        <f>C39*D39</f>
        <v>276824.77696216886</v>
      </c>
      <c r="F39" s="35">
        <f>'Tab 3'!F39</f>
        <v>798.91710522992457</v>
      </c>
      <c r="G39" s="62">
        <f>'Tab. 6'!$F$17</f>
        <v>189</v>
      </c>
      <c r="H39" s="65">
        <f>F39*G39</f>
        <v>150995.33288845574</v>
      </c>
      <c r="I39" s="35">
        <f>'Tab 3'!I39</f>
        <v>1464.6813595881949</v>
      </c>
      <c r="J39" s="62">
        <f>'Tab. 6'!$F$17</f>
        <v>189</v>
      </c>
      <c r="K39" s="65">
        <f>I39*J39</f>
        <v>276824.77696216886</v>
      </c>
      <c r="L39" s="35">
        <f>'Tab 3'!L39</f>
        <v>1398.1049341523681</v>
      </c>
      <c r="M39" s="62">
        <f>'Tab. 6'!$F$17</f>
        <v>189</v>
      </c>
      <c r="N39" s="65">
        <f>L39*M39</f>
        <v>264241.83255479758</v>
      </c>
      <c r="O39" s="35">
        <f>'Tab 3'!O39</f>
        <v>1398.1049341523681</v>
      </c>
      <c r="P39" s="62">
        <f>'Tab. 6'!$F$17</f>
        <v>189</v>
      </c>
      <c r="Q39" s="65">
        <f>O39*P39</f>
        <v>264241.83255479758</v>
      </c>
      <c r="R39" s="35">
        <f>'Tab 3'!R39</f>
        <v>798.91710522992457</v>
      </c>
      <c r="S39" s="62">
        <f>'Tab. 6'!$F$17</f>
        <v>189</v>
      </c>
      <c r="T39" s="65">
        <f>R39*S39</f>
        <v>150995.33288845574</v>
      </c>
      <c r="U39" s="37">
        <f>C39+F39+I39+L39+O39+R39</f>
        <v>7323.4067979409756</v>
      </c>
      <c r="V39" s="67">
        <f>IFERROR(W39/U39,0)</f>
        <v>189</v>
      </c>
      <c r="W39" s="70">
        <f>E39+H39+K39+N39+Q39+T39</f>
        <v>1384123.8848108444</v>
      </c>
      <c r="X39" s="38"/>
      <c r="Y39" s="37">
        <f>U15+U39</f>
        <v>15645.459977419358</v>
      </c>
      <c r="Z39" s="67">
        <f>IFERROR(AA39/Y39,0)</f>
        <v>189</v>
      </c>
      <c r="AA39" s="70">
        <f>W15+W39</f>
        <v>2956991.9357322585</v>
      </c>
      <c r="AC39" s="52"/>
      <c r="AD39" s="52"/>
      <c r="AE39" s="52"/>
    </row>
    <row r="40" spans="2:32" x14ac:dyDescent="0.2">
      <c r="B40" s="83" t="s">
        <v>84</v>
      </c>
      <c r="C40" s="35">
        <f>'Tab 3'!C40</f>
        <v>0</v>
      </c>
      <c r="D40" s="62">
        <f>'Tab. 6'!$F$17</f>
        <v>189</v>
      </c>
      <c r="E40" s="65">
        <f>C40*D40</f>
        <v>0</v>
      </c>
      <c r="F40" s="35">
        <f>'Tab 3'!F40</f>
        <v>0</v>
      </c>
      <c r="G40" s="62">
        <f>'Tab. 6'!$F$17</f>
        <v>189</v>
      </c>
      <c r="H40" s="65">
        <f>F40*G40</f>
        <v>0</v>
      </c>
      <c r="I40" s="35">
        <f>'Tab 3'!I40</f>
        <v>0</v>
      </c>
      <c r="J40" s="62">
        <f>'Tab. 6'!$F$17</f>
        <v>189</v>
      </c>
      <c r="K40" s="65">
        <f>I40*J40</f>
        <v>0</v>
      </c>
      <c r="L40" s="35">
        <f>'Tab 3'!L40</f>
        <v>0</v>
      </c>
      <c r="M40" s="62">
        <f>'Tab. 6'!$F$17</f>
        <v>189</v>
      </c>
      <c r="N40" s="65">
        <f>L40*M40</f>
        <v>0</v>
      </c>
      <c r="O40" s="35">
        <f>'Tab 3'!O40</f>
        <v>0</v>
      </c>
      <c r="P40" s="62">
        <f>'Tab. 6'!$F$17</f>
        <v>189</v>
      </c>
      <c r="Q40" s="65">
        <f>O40*P40</f>
        <v>0</v>
      </c>
      <c r="R40" s="35">
        <f>'Tab 3'!R40</f>
        <v>0</v>
      </c>
      <c r="S40" s="62">
        <f>'Tab. 6'!$F$17</f>
        <v>189</v>
      </c>
      <c r="T40" s="65">
        <f>R40*S40</f>
        <v>0</v>
      </c>
      <c r="U40" s="37">
        <f>C40+F40+I40+L40+O40+R40</f>
        <v>0</v>
      </c>
      <c r="V40" s="67">
        <f t="shared" ref="V40:V42" si="12">IFERROR(W40/U40,0)</f>
        <v>0</v>
      </c>
      <c r="W40" s="70">
        <f>E40+H40+K40+N40+Q40+T40</f>
        <v>0</v>
      </c>
      <c r="X40" s="38"/>
      <c r="Y40" s="37">
        <f>U16+U40</f>
        <v>0</v>
      </c>
      <c r="Z40" s="67">
        <f t="shared" ref="Z40:Z42" si="13">IFERROR(AA40/Y40,0)</f>
        <v>0</v>
      </c>
      <c r="AA40" s="70">
        <f>W16+W40</f>
        <v>0</v>
      </c>
      <c r="AC40" s="52"/>
      <c r="AD40" s="52"/>
      <c r="AE40" s="52"/>
    </row>
    <row r="41" spans="2:32" x14ac:dyDescent="0.2">
      <c r="B41" s="347" t="s">
        <v>85</v>
      </c>
      <c r="C41" s="35">
        <f>'Tab 3'!C41</f>
        <v>2454.6382978723404</v>
      </c>
      <c r="D41" s="62">
        <f>'Tab. 6'!$F$17</f>
        <v>189</v>
      </c>
      <c r="E41" s="65">
        <f>C41*D41</f>
        <v>463926.63829787233</v>
      </c>
      <c r="F41" s="35">
        <f>'Tab 3'!F41</f>
        <v>1338.8936170212767</v>
      </c>
      <c r="G41" s="62">
        <f>'Tab. 6'!$F$17</f>
        <v>189</v>
      </c>
      <c r="H41" s="65">
        <f>F41*G41</f>
        <v>253050.8936170213</v>
      </c>
      <c r="I41" s="35">
        <f>'Tab 3'!I41</f>
        <v>2454.6382978723404</v>
      </c>
      <c r="J41" s="62">
        <f>'Tab. 6'!$F$17</f>
        <v>189</v>
      </c>
      <c r="K41" s="65">
        <f>I41*J41</f>
        <v>463926.63829787233</v>
      </c>
      <c r="L41" s="35">
        <f>'Tab 3'!L41</f>
        <v>2343.0638297872342</v>
      </c>
      <c r="M41" s="62">
        <f>'Tab. 6'!$F$17</f>
        <v>189</v>
      </c>
      <c r="N41" s="65">
        <f>L41*M41</f>
        <v>442839.06382978725</v>
      </c>
      <c r="O41" s="35">
        <f>'Tab 3'!O41</f>
        <v>2343.0638297872342</v>
      </c>
      <c r="P41" s="62">
        <f>'Tab. 6'!$F$17</f>
        <v>189</v>
      </c>
      <c r="Q41" s="65">
        <f>O41*P41</f>
        <v>442839.06382978725</v>
      </c>
      <c r="R41" s="35">
        <f>'Tab 3'!R41</f>
        <v>1338.8936170212767</v>
      </c>
      <c r="S41" s="62">
        <f>'Tab. 6'!$F$17</f>
        <v>189</v>
      </c>
      <c r="T41" s="65">
        <f>R41*S41</f>
        <v>253050.8936170213</v>
      </c>
      <c r="U41" s="37">
        <f>C41+F41+I41+L41+O41+R41</f>
        <v>12273.191489361701</v>
      </c>
      <c r="V41" s="67">
        <f t="shared" si="12"/>
        <v>189</v>
      </c>
      <c r="W41" s="70">
        <f>E41+H41+K41+N41+Q41+T41</f>
        <v>2319633.1914893617</v>
      </c>
      <c r="X41" s="38"/>
      <c r="Y41" s="37">
        <f>U17+U41</f>
        <v>26220</v>
      </c>
      <c r="Z41" s="67">
        <f t="shared" si="13"/>
        <v>189</v>
      </c>
      <c r="AA41" s="70">
        <f>W17+W41</f>
        <v>4955580</v>
      </c>
      <c r="AC41" s="52"/>
      <c r="AD41" s="52"/>
      <c r="AE41" s="52"/>
    </row>
    <row r="42" spans="2:32" ht="17" thickBot="1" x14ac:dyDescent="0.25">
      <c r="B42" s="348" t="s">
        <v>74</v>
      </c>
      <c r="C42" s="42">
        <f>SUM(C39:C41)</f>
        <v>3919.3196574605354</v>
      </c>
      <c r="D42" s="63">
        <f>E42/C42</f>
        <v>189</v>
      </c>
      <c r="E42" s="66">
        <f>SUM(E39:E41)</f>
        <v>740751.41526004113</v>
      </c>
      <c r="F42" s="42">
        <f>SUM(F39:F41)</f>
        <v>2137.8107222512012</v>
      </c>
      <c r="G42" s="63">
        <f>H42/F42</f>
        <v>189</v>
      </c>
      <c r="H42" s="66">
        <f>SUM(H39:H41)</f>
        <v>404046.22650547704</v>
      </c>
      <c r="I42" s="42">
        <f>SUM(I39:I41)</f>
        <v>3919.3196574605354</v>
      </c>
      <c r="J42" s="63">
        <f>K42/I42</f>
        <v>189</v>
      </c>
      <c r="K42" s="66">
        <f>SUM(K39:K41)</f>
        <v>740751.41526004113</v>
      </c>
      <c r="L42" s="42">
        <f>SUM(L39:L41)</f>
        <v>3741.1687639396023</v>
      </c>
      <c r="M42" s="63">
        <f>N42/L42</f>
        <v>189</v>
      </c>
      <c r="N42" s="66">
        <f>SUM(N39:N41)</f>
        <v>707080.89638458483</v>
      </c>
      <c r="O42" s="42">
        <f>SUM(O39:O41)</f>
        <v>3741.1687639396023</v>
      </c>
      <c r="P42" s="63">
        <f>Q42/O42</f>
        <v>189</v>
      </c>
      <c r="Q42" s="66">
        <f>SUM(Q39:Q41)</f>
        <v>707080.89638458483</v>
      </c>
      <c r="R42" s="42">
        <f>SUM(R39:R41)</f>
        <v>2137.8107222512012</v>
      </c>
      <c r="S42" s="63">
        <f>T42/R42</f>
        <v>189</v>
      </c>
      <c r="T42" s="66">
        <f>SUM(T39:T41)</f>
        <v>404046.22650547704</v>
      </c>
      <c r="U42" s="41">
        <f>SUM(U39:U41)</f>
        <v>19596.598287302677</v>
      </c>
      <c r="V42" s="68">
        <f t="shared" si="12"/>
        <v>189</v>
      </c>
      <c r="W42" s="71">
        <f>SUM(W39:W41)</f>
        <v>3703757.0763002061</v>
      </c>
      <c r="X42" s="44"/>
      <c r="Y42" s="41">
        <f>SUM(Y39:Y41)</f>
        <v>41865.459977419356</v>
      </c>
      <c r="Z42" s="68">
        <f t="shared" si="13"/>
        <v>189</v>
      </c>
      <c r="AA42" s="71">
        <f>SUM(AA39:AA41)</f>
        <v>7912571.9357322585</v>
      </c>
      <c r="AC42" s="52"/>
      <c r="AD42" s="52"/>
      <c r="AE42" s="52"/>
      <c r="AF42" s="46"/>
    </row>
    <row r="43" spans="2:32" x14ac:dyDescent="0.2">
      <c r="B43" s="83"/>
      <c r="C43" s="27"/>
      <c r="D43" s="62"/>
      <c r="E43" s="65"/>
      <c r="F43" s="27"/>
      <c r="G43" s="62"/>
      <c r="H43" s="65"/>
      <c r="I43" s="27"/>
      <c r="J43" s="62"/>
      <c r="K43" s="65"/>
      <c r="L43" s="27"/>
      <c r="M43" s="62"/>
      <c r="N43" s="65"/>
      <c r="O43" s="27"/>
      <c r="P43" s="62"/>
      <c r="Q43" s="65"/>
      <c r="R43" s="27"/>
      <c r="S43" s="62"/>
      <c r="T43" s="65"/>
      <c r="U43" s="30"/>
      <c r="V43" s="69"/>
      <c r="W43" s="70"/>
      <c r="Y43" s="30"/>
      <c r="Z43" s="69"/>
      <c r="AA43" s="70"/>
    </row>
    <row r="44" spans="2:32" x14ac:dyDescent="0.2">
      <c r="B44" s="346"/>
      <c r="C44" s="27"/>
      <c r="D44" s="62"/>
      <c r="E44" s="65"/>
      <c r="F44" s="27"/>
      <c r="G44" s="62"/>
      <c r="H44" s="65"/>
      <c r="I44" s="27"/>
      <c r="J44" s="62"/>
      <c r="K44" s="65"/>
      <c r="L44" s="27"/>
      <c r="M44" s="62"/>
      <c r="N44" s="65"/>
      <c r="O44" s="27"/>
      <c r="P44" s="62"/>
      <c r="Q44" s="65"/>
      <c r="R44" s="27"/>
      <c r="S44" s="62"/>
      <c r="T44" s="65"/>
      <c r="U44" s="30"/>
      <c r="V44" s="69"/>
      <c r="W44" s="70"/>
      <c r="Y44" s="30"/>
      <c r="Z44" s="69"/>
      <c r="AA44" s="70"/>
    </row>
    <row r="45" spans="2:32" x14ac:dyDescent="0.2">
      <c r="B45" s="83" t="s">
        <v>83</v>
      </c>
      <c r="C45" s="35">
        <f>C33+C39</f>
        <v>24519.850908661629</v>
      </c>
      <c r="D45" s="64">
        <f>E45/C45</f>
        <v>113.54336559734516</v>
      </c>
      <c r="E45" s="65">
        <f>E33+E39</f>
        <v>2784066.3961145631</v>
      </c>
      <c r="F45" s="35">
        <f>F33+F39</f>
        <v>13374.464131997251</v>
      </c>
      <c r="G45" s="64">
        <f>H45/F45</f>
        <v>113.54336559734516</v>
      </c>
      <c r="H45" s="65">
        <f>H33+H39</f>
        <v>1518581.6706079433</v>
      </c>
      <c r="I45" s="35">
        <f>I33+I39</f>
        <v>24519.850908661629</v>
      </c>
      <c r="J45" s="64">
        <f>K45/I45</f>
        <v>113.54336559734516</v>
      </c>
      <c r="K45" s="65">
        <f>K33+K39</f>
        <v>2784066.3961145631</v>
      </c>
      <c r="L45" s="35">
        <f>L33+L39</f>
        <v>23405.31223099519</v>
      </c>
      <c r="M45" s="64">
        <f>N45/L45</f>
        <v>113.54336559734514</v>
      </c>
      <c r="N45" s="65">
        <f>N33+N39</f>
        <v>2657517.9235639009</v>
      </c>
      <c r="O45" s="35">
        <f>O33+O39</f>
        <v>23405.31223099519</v>
      </c>
      <c r="P45" s="64">
        <f>Q45/O45</f>
        <v>113.54336559734514</v>
      </c>
      <c r="Q45" s="65">
        <f>Q33+Q39</f>
        <v>2657517.9235639009</v>
      </c>
      <c r="R45" s="35">
        <f>R33+R39</f>
        <v>13374.464131997251</v>
      </c>
      <c r="S45" s="64">
        <f>T45/R45</f>
        <v>113.54336559734516</v>
      </c>
      <c r="T45" s="65">
        <f>T33+T39</f>
        <v>1518581.6706079433</v>
      </c>
      <c r="U45" s="37">
        <f>C45+F45+I45+L45+O45+R45</f>
        <v>122599.25454330814</v>
      </c>
      <c r="V45" s="67">
        <f>IFERROR(W45/U45,0)</f>
        <v>113.54336559734516</v>
      </c>
      <c r="W45" s="70">
        <f>E45+H45+K45+N45+Q45+T45</f>
        <v>13920331.980572816</v>
      </c>
      <c r="Y45" s="37">
        <f>U21+U45</f>
        <v>261916.58925161284</v>
      </c>
      <c r="Z45" s="67">
        <f>IFERROR(AA45/Y45,0)</f>
        <v>113.54336559734516</v>
      </c>
      <c r="AA45" s="70">
        <f>W21+W45</f>
        <v>29738891.04940556</v>
      </c>
    </row>
    <row r="46" spans="2:32" x14ac:dyDescent="0.2">
      <c r="B46" s="83" t="s">
        <v>84</v>
      </c>
      <c r="C46" s="35">
        <f t="shared" ref="C46" si="14">C34+C40</f>
        <v>40493.451725768318</v>
      </c>
      <c r="D46" s="64">
        <f>E46/C46</f>
        <v>108.74965</v>
      </c>
      <c r="E46" s="65">
        <f t="shared" ref="E46:F47" si="15">E34+E40</f>
        <v>4403648.7024692008</v>
      </c>
      <c r="F46" s="35">
        <f t="shared" si="15"/>
        <v>22087.337304964538</v>
      </c>
      <c r="G46" s="64">
        <f>H46/F46</f>
        <v>108.74965000000002</v>
      </c>
      <c r="H46" s="65">
        <f t="shared" ref="H46:I47" si="16">H34+H40</f>
        <v>2401990.201346837</v>
      </c>
      <c r="I46" s="35">
        <f t="shared" si="16"/>
        <v>40493.451725768318</v>
      </c>
      <c r="J46" s="64">
        <f>K46/I46</f>
        <v>108.74965</v>
      </c>
      <c r="K46" s="65">
        <f t="shared" ref="K46:L47" si="17">K34+K40</f>
        <v>4403648.7024692008</v>
      </c>
      <c r="L46" s="35">
        <f t="shared" si="17"/>
        <v>38652.84028368794</v>
      </c>
      <c r="M46" s="64">
        <f>N46/L46</f>
        <v>108.74964999999999</v>
      </c>
      <c r="N46" s="65">
        <f t="shared" ref="N46:O47" si="18">N34+N40</f>
        <v>4203482.8523569638</v>
      </c>
      <c r="O46" s="35">
        <f t="shared" si="18"/>
        <v>38652.84028368794</v>
      </c>
      <c r="P46" s="64">
        <f>Q46/O46</f>
        <v>108.74964999999999</v>
      </c>
      <c r="Q46" s="65">
        <f t="shared" ref="Q46:R47" si="19">Q34+Q40</f>
        <v>4203482.8523569638</v>
      </c>
      <c r="R46" s="35">
        <f t="shared" si="19"/>
        <v>22087.337304964538</v>
      </c>
      <c r="S46" s="64">
        <f>T46/R46</f>
        <v>108.74965000000002</v>
      </c>
      <c r="T46" s="65">
        <f t="shared" ref="T46:T47" si="20">T34+T40</f>
        <v>2401990.201346837</v>
      </c>
      <c r="U46" s="37">
        <f>C46+F46+I46+L46+O46+R46</f>
        <v>202467.25862884161</v>
      </c>
      <c r="V46" s="67">
        <f t="shared" ref="V46:V48" si="21">IFERROR(W46/U46,0)</f>
        <v>108.74964999999999</v>
      </c>
      <c r="W46" s="70">
        <f>E46+H46+K46+N46+Q46+T46</f>
        <v>22018243.512346003</v>
      </c>
      <c r="Y46" s="37">
        <f>U22+U46</f>
        <v>432543.68888888886</v>
      </c>
      <c r="Z46" s="67">
        <f t="shared" ref="Z46:Z48" si="22">IFERROR(AA46/Y46,0)</f>
        <v>108.74964999999999</v>
      </c>
      <c r="AA46" s="70">
        <f>W22+W46</f>
        <v>47038974.776375547</v>
      </c>
    </row>
    <row r="47" spans="2:32" x14ac:dyDescent="0.2">
      <c r="B47" s="347" t="s">
        <v>85</v>
      </c>
      <c r="C47" s="35">
        <f t="shared" ref="C47" si="23">C35+C41</f>
        <v>2813.5035460992913</v>
      </c>
      <c r="D47" s="64">
        <f>E47/C47</f>
        <v>178.76398596938773</v>
      </c>
      <c r="E47" s="65">
        <f t="shared" si="15"/>
        <v>502953.10843971634</v>
      </c>
      <c r="F47" s="35">
        <f t="shared" si="15"/>
        <v>1534.6382978723407</v>
      </c>
      <c r="G47" s="64">
        <f>H47/F47</f>
        <v>178.76398596938773</v>
      </c>
      <c r="H47" s="65">
        <f t="shared" si="16"/>
        <v>274338.05914893618</v>
      </c>
      <c r="I47" s="35">
        <f t="shared" si="16"/>
        <v>2813.5035460992913</v>
      </c>
      <c r="J47" s="64">
        <f>K47/I47</f>
        <v>178.76398596938773</v>
      </c>
      <c r="K47" s="65">
        <f t="shared" si="17"/>
        <v>502953.10843971634</v>
      </c>
      <c r="L47" s="35">
        <f t="shared" si="17"/>
        <v>2685.6170212765965</v>
      </c>
      <c r="M47" s="64">
        <f>N47/L47</f>
        <v>178.76398596938773</v>
      </c>
      <c r="N47" s="65">
        <f t="shared" si="18"/>
        <v>480091.60351063835</v>
      </c>
      <c r="O47" s="35">
        <f t="shared" si="18"/>
        <v>2685.6170212765965</v>
      </c>
      <c r="P47" s="64">
        <f>Q47/O47</f>
        <v>178.76398596938773</v>
      </c>
      <c r="Q47" s="65">
        <f t="shared" si="19"/>
        <v>480091.60351063835</v>
      </c>
      <c r="R47" s="35">
        <f t="shared" si="19"/>
        <v>1534.6382978723407</v>
      </c>
      <c r="S47" s="64">
        <f>T47/R47</f>
        <v>178.76398596938773</v>
      </c>
      <c r="T47" s="65">
        <f t="shared" si="20"/>
        <v>274338.05914893618</v>
      </c>
      <c r="U47" s="37">
        <f>C47+F47+I47+L47+O47+R47</f>
        <v>14067.517730496456</v>
      </c>
      <c r="V47" s="67">
        <f t="shared" si="21"/>
        <v>178.76398596938773</v>
      </c>
      <c r="W47" s="70">
        <f>E47+H47+K47+N47+Q47+T47</f>
        <v>2514765.5421985816</v>
      </c>
      <c r="Y47" s="37">
        <f>U23+U47</f>
        <v>30053.333333333339</v>
      </c>
      <c r="Z47" s="67">
        <f t="shared" si="22"/>
        <v>178.7639859693877</v>
      </c>
      <c r="AA47" s="70">
        <f>W23+W47</f>
        <v>5372453.6583333332</v>
      </c>
    </row>
    <row r="48" spans="2:32" ht="17" thickBot="1" x14ac:dyDescent="0.25">
      <c r="B48" s="348" t="s">
        <v>3</v>
      </c>
      <c r="C48" s="42">
        <f>SUM(C45:C47)</f>
        <v>67826.806180529238</v>
      </c>
      <c r="D48" s="63">
        <f>E48/C48</f>
        <v>113.38685455060109</v>
      </c>
      <c r="E48" s="66">
        <f>SUM(E45:E47)</f>
        <v>7690668.20702348</v>
      </c>
      <c r="F48" s="41">
        <f>SUM(F45:F47)</f>
        <v>36996.43973483413</v>
      </c>
      <c r="G48" s="63">
        <f>H48/F48</f>
        <v>113.3868545506011</v>
      </c>
      <c r="H48" s="66">
        <f>SUM(H45:H47)</f>
        <v>4194909.9311037166</v>
      </c>
      <c r="I48" s="41">
        <f>SUM(I45:I47)</f>
        <v>67826.806180529238</v>
      </c>
      <c r="J48" s="63">
        <f>K48/I48</f>
        <v>113.38685455060109</v>
      </c>
      <c r="K48" s="66">
        <f>SUM(K45:K47)</f>
        <v>7690668.20702348</v>
      </c>
      <c r="L48" s="41">
        <f>SUM(L45:L47)</f>
        <v>64743.76953595972</v>
      </c>
      <c r="M48" s="63">
        <f>N48/L48</f>
        <v>113.3868545506011</v>
      </c>
      <c r="N48" s="66">
        <f>SUM(N45:N47)</f>
        <v>7341092.3794315029</v>
      </c>
      <c r="O48" s="41">
        <f>SUM(O45:O47)</f>
        <v>64743.76953595972</v>
      </c>
      <c r="P48" s="63">
        <f>Q48/O48</f>
        <v>113.3868545506011</v>
      </c>
      <c r="Q48" s="66">
        <f>SUM(Q45:Q47)</f>
        <v>7341092.3794315029</v>
      </c>
      <c r="R48" s="41">
        <f>SUM(R45:R47)</f>
        <v>36996.43973483413</v>
      </c>
      <c r="S48" s="63">
        <f>T48/R48</f>
        <v>113.3868545506011</v>
      </c>
      <c r="T48" s="66">
        <f>SUM(T45:T47)</f>
        <v>4194909.9311037166</v>
      </c>
      <c r="U48" s="41">
        <f>SUM(U45:U47)</f>
        <v>339134.03090264625</v>
      </c>
      <c r="V48" s="68">
        <f t="shared" si="21"/>
        <v>113.38685455060109</v>
      </c>
      <c r="W48" s="71">
        <f>SUM(W45:W47)</f>
        <v>38453341.035117403</v>
      </c>
      <c r="Y48" s="41">
        <f>SUM(Y45:Y47)</f>
        <v>724513.61147383507</v>
      </c>
      <c r="Z48" s="68">
        <f t="shared" si="22"/>
        <v>113.38685455060107</v>
      </c>
      <c r="AA48" s="71">
        <f>SUM(AA45:AA47)</f>
        <v>82150319.484114438</v>
      </c>
    </row>
  </sheetData>
  <mergeCells count="17">
    <mergeCell ref="C5:W5"/>
    <mergeCell ref="C6:E6"/>
    <mergeCell ref="F6:H6"/>
    <mergeCell ref="I6:K6"/>
    <mergeCell ref="L6:N6"/>
    <mergeCell ref="O6:Q6"/>
    <mergeCell ref="R6:T6"/>
    <mergeCell ref="U6:W6"/>
    <mergeCell ref="C29:W29"/>
    <mergeCell ref="Y29:AA30"/>
    <mergeCell ref="C30:E30"/>
    <mergeCell ref="F30:H30"/>
    <mergeCell ref="I30:K30"/>
    <mergeCell ref="L30:N30"/>
    <mergeCell ref="O30:Q30"/>
    <mergeCell ref="R30:T30"/>
    <mergeCell ref="U30:W30"/>
  </mergeCells>
  <pageMargins left="0.25" right="0.25" top="0.75" bottom="0.75" header="0.3" footer="0.3"/>
  <pageSetup paperSize="9" scale="43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B898C-7B55-D74D-9F34-258455C0532D}">
  <sheetPr>
    <pageSetUpPr fitToPage="1"/>
  </sheetPr>
  <dimension ref="B1:T24"/>
  <sheetViews>
    <sheetView showGridLines="0" topLeftCell="G1" zoomScale="180" zoomScaleNormal="180" workbookViewId="0">
      <selection activeCell="S9" sqref="S9"/>
    </sheetView>
  </sheetViews>
  <sheetFormatPr baseColWidth="10" defaultRowHeight="16" x14ac:dyDescent="0.15"/>
  <cols>
    <col min="1" max="1" width="1.83203125" style="77" customWidth="1"/>
    <col min="2" max="2" width="28.33203125" style="77" bestFit="1" customWidth="1"/>
    <col min="3" max="3" width="12.33203125" style="77" customWidth="1"/>
    <col min="4" max="4" width="14.83203125" style="77" customWidth="1"/>
    <col min="5" max="5" width="13.33203125" style="77" customWidth="1"/>
    <col min="6" max="6" width="13.5" style="77" customWidth="1"/>
    <col min="7" max="9" width="14.1640625" style="77" customWidth="1"/>
    <col min="10" max="10" width="14.33203125" style="77" customWidth="1"/>
    <col min="11" max="11" width="2" style="77" customWidth="1"/>
    <col min="12" max="14" width="7.6640625" style="77" hidden="1" customWidth="1"/>
    <col min="15" max="15" width="8.33203125" style="77" hidden="1" customWidth="1"/>
    <col min="16" max="16" width="2.83203125" style="77" hidden="1" customWidth="1"/>
    <col min="17" max="20" width="14.1640625" style="77" customWidth="1"/>
    <col min="21" max="16384" width="10.83203125" style="77"/>
  </cols>
  <sheetData>
    <row r="1" spans="2:20" x14ac:dyDescent="0.15">
      <c r="B1" s="77" t="s">
        <v>111</v>
      </c>
    </row>
    <row r="2" spans="2:20" ht="17" thickBot="1" x14ac:dyDescent="0.2"/>
    <row r="3" spans="2:20" x14ac:dyDescent="0.15">
      <c r="C3" s="361" t="s">
        <v>54</v>
      </c>
      <c r="D3" s="362"/>
      <c r="E3" s="362"/>
      <c r="F3" s="363"/>
      <c r="G3" s="367" t="s">
        <v>67</v>
      </c>
      <c r="H3" s="368"/>
      <c r="I3" s="368"/>
      <c r="J3" s="369"/>
      <c r="L3" s="367" t="s">
        <v>70</v>
      </c>
      <c r="M3" s="368"/>
      <c r="N3" s="368"/>
      <c r="O3" s="369"/>
      <c r="Q3" s="372" t="s">
        <v>123</v>
      </c>
      <c r="R3" s="373"/>
      <c r="S3" s="373"/>
      <c r="T3" s="374"/>
    </row>
    <row r="4" spans="2:20" x14ac:dyDescent="0.15">
      <c r="C4" s="364" t="s">
        <v>34</v>
      </c>
      <c r="D4" s="352"/>
      <c r="E4" s="353"/>
      <c r="F4" s="365" t="s">
        <v>3</v>
      </c>
      <c r="G4" s="364" t="s">
        <v>34</v>
      </c>
      <c r="H4" s="352"/>
      <c r="I4" s="353"/>
      <c r="J4" s="370" t="s">
        <v>3</v>
      </c>
      <c r="L4" s="364" t="s">
        <v>34</v>
      </c>
      <c r="M4" s="352"/>
      <c r="N4" s="353"/>
      <c r="O4" s="370" t="s">
        <v>3</v>
      </c>
      <c r="Q4" s="364" t="s">
        <v>34</v>
      </c>
      <c r="R4" s="352"/>
      <c r="S4" s="353"/>
      <c r="T4" s="375" t="s">
        <v>3</v>
      </c>
    </row>
    <row r="5" spans="2:20" x14ac:dyDescent="0.15">
      <c r="C5" s="134" t="s">
        <v>50</v>
      </c>
      <c r="D5" s="105" t="s">
        <v>51</v>
      </c>
      <c r="E5" s="103" t="s">
        <v>52</v>
      </c>
      <c r="F5" s="366"/>
      <c r="G5" s="134" t="s">
        <v>50</v>
      </c>
      <c r="H5" s="105" t="s">
        <v>51</v>
      </c>
      <c r="I5" s="103" t="s">
        <v>52</v>
      </c>
      <c r="J5" s="371"/>
      <c r="L5" s="134" t="s">
        <v>71</v>
      </c>
      <c r="M5" s="105" t="s">
        <v>72</v>
      </c>
      <c r="N5" s="103" t="s">
        <v>52</v>
      </c>
      <c r="O5" s="371"/>
      <c r="Q5" s="134" t="s">
        <v>50</v>
      </c>
      <c r="R5" s="105" t="s">
        <v>51</v>
      </c>
      <c r="S5" s="103" t="s">
        <v>52</v>
      </c>
      <c r="T5" s="376"/>
    </row>
    <row r="6" spans="2:20" ht="17" thickBot="1" x14ac:dyDescent="0.2">
      <c r="C6" s="135"/>
      <c r="D6" s="92"/>
      <c r="E6" s="92"/>
      <c r="F6" s="136"/>
      <c r="G6" s="135"/>
      <c r="H6" s="92"/>
      <c r="I6" s="92"/>
      <c r="J6" s="163"/>
      <c r="L6" s="135"/>
      <c r="M6" s="92"/>
      <c r="N6" s="92"/>
      <c r="O6" s="163"/>
      <c r="Q6" s="135"/>
      <c r="R6" s="92"/>
      <c r="S6" s="92"/>
      <c r="T6" s="278"/>
    </row>
    <row r="7" spans="2:20" x14ac:dyDescent="0.15">
      <c r="B7" s="155" t="s">
        <v>35</v>
      </c>
      <c r="C7" s="137">
        <f>+'Tab 0'!B20</f>
        <v>128140000</v>
      </c>
      <c r="D7" s="112">
        <f>+'Tab 0'!C20</f>
        <v>123000000</v>
      </c>
      <c r="E7" s="112">
        <f>+'Tab 0'!D20</f>
        <v>77900000</v>
      </c>
      <c r="F7" s="138">
        <f>SUM(C7:E7)</f>
        <v>329040000</v>
      </c>
      <c r="G7" s="137">
        <f>C7*(1+'Tab 0'!B$10)</f>
        <v>129421400</v>
      </c>
      <c r="H7" s="112">
        <f>D7*(1+'Tab 0'!C$10)</f>
        <v>120540000</v>
      </c>
      <c r="I7" s="112">
        <f>E7*(1+'Tab 0'!D$10)</f>
        <v>81795000</v>
      </c>
      <c r="J7" s="164">
        <f>SUM(G7:I7)</f>
        <v>331756400</v>
      </c>
      <c r="L7" s="188">
        <f t="shared" ref="L7:L16" si="0">IFERROR((G7-C7)/C7,0)</f>
        <v>0.01</v>
      </c>
      <c r="M7" s="186">
        <f t="shared" ref="M7:M16" si="1">IFERROR((H7-D7)/D7,0)</f>
        <v>-0.02</v>
      </c>
      <c r="N7" s="186">
        <f t="shared" ref="N7:N16" si="2">IFERROR((I7-E7)/E7,0)</f>
        <v>0.05</v>
      </c>
      <c r="O7" s="187">
        <f t="shared" ref="O7:O16" si="3">IFERROR((J7-F7)/F7,0)</f>
        <v>8.25553124240214E-3</v>
      </c>
      <c r="Q7" s="137">
        <f>G7*(1+'Tab 0'!B11)</f>
        <v>132009828</v>
      </c>
      <c r="R7" s="112">
        <f>H7*(1+'Tab 0'!C11)</f>
        <v>115718400</v>
      </c>
      <c r="S7" s="112">
        <f>I7*(1+'Tab 0'!D11)</f>
        <v>88338600</v>
      </c>
      <c r="T7" s="279">
        <f>SUM(Q7:S7)</f>
        <v>336066828</v>
      </c>
    </row>
    <row r="8" spans="2:20" x14ac:dyDescent="0.15">
      <c r="B8" s="156" t="s">
        <v>36</v>
      </c>
      <c r="C8" s="139">
        <f>+'Tab 0'!B22</f>
        <v>22111</v>
      </c>
      <c r="D8" s="120">
        <f>+'Tab 0'!C22</f>
        <v>683333.33333333337</v>
      </c>
      <c r="E8" s="120">
        <f>+'Tab 0'!D22</f>
        <v>3158</v>
      </c>
      <c r="F8" s="140">
        <f>SUM(C8:E8)</f>
        <v>708602.33333333337</v>
      </c>
      <c r="G8" s="173">
        <f>C8</f>
        <v>22111</v>
      </c>
      <c r="H8" s="120">
        <f>H7/180</f>
        <v>669666.66666666663</v>
      </c>
      <c r="I8" s="126">
        <f t="shared" ref="I8" si="4">E8</f>
        <v>3158</v>
      </c>
      <c r="J8" s="165">
        <f>SUM(G8:I8)</f>
        <v>694935.66666666663</v>
      </c>
      <c r="L8" s="188">
        <f t="shared" si="0"/>
        <v>0</v>
      </c>
      <c r="M8" s="186">
        <f t="shared" si="1"/>
        <v>-2.0000000000000111E-2</v>
      </c>
      <c r="N8" s="186">
        <f t="shared" si="2"/>
        <v>0</v>
      </c>
      <c r="O8" s="187">
        <f t="shared" si="3"/>
        <v>-1.928679320371051E-2</v>
      </c>
      <c r="Q8" s="139">
        <f>+G8</f>
        <v>22111</v>
      </c>
      <c r="R8" s="120">
        <f>R7/H15</f>
        <v>642880</v>
      </c>
      <c r="S8" s="120">
        <f>+I8</f>
        <v>3158</v>
      </c>
      <c r="T8" s="280">
        <f>SUM(Q8:S8)</f>
        <v>668149</v>
      </c>
    </row>
    <row r="9" spans="2:20" x14ac:dyDescent="0.15">
      <c r="B9" s="156" t="s">
        <v>40</v>
      </c>
      <c r="C9" s="141">
        <f>C7/C8</f>
        <v>5795.3055040477593</v>
      </c>
      <c r="D9" s="96">
        <f t="shared" ref="D9:F9" si="5">D7/D8</f>
        <v>180</v>
      </c>
      <c r="E9" s="96">
        <f t="shared" si="5"/>
        <v>24667.511082963902</v>
      </c>
      <c r="F9" s="142">
        <f t="shared" si="5"/>
        <v>464.35071481089295</v>
      </c>
      <c r="G9" s="141">
        <f>G7/G8</f>
        <v>5853.2585590882363</v>
      </c>
      <c r="H9" s="96">
        <f t="shared" ref="H9" si="6">H7/H8</f>
        <v>180</v>
      </c>
      <c r="I9" s="96">
        <f t="shared" ref="I9" si="7">I7/I8</f>
        <v>25900.886637112097</v>
      </c>
      <c r="J9" s="166">
        <f t="shared" ref="J9" si="8">J7/J8</f>
        <v>477.39152832852159</v>
      </c>
      <c r="L9" s="188">
        <f t="shared" si="0"/>
        <v>9.9999999999998996E-3</v>
      </c>
      <c r="M9" s="189">
        <f t="shared" si="1"/>
        <v>0</v>
      </c>
      <c r="N9" s="189">
        <f t="shared" si="2"/>
        <v>0.05</v>
      </c>
      <c r="O9" s="187">
        <f t="shared" si="3"/>
        <v>2.8083974249807093E-2</v>
      </c>
      <c r="Q9" s="284">
        <f>Q7/Q8</f>
        <v>5970.3237302700018</v>
      </c>
      <c r="R9" s="285">
        <f t="shared" ref="R9:T9" si="9">R7/R8</f>
        <v>180</v>
      </c>
      <c r="S9" s="285">
        <f t="shared" si="9"/>
        <v>27972.957568081063</v>
      </c>
      <c r="T9" s="281">
        <f t="shared" si="9"/>
        <v>502.98186183022051</v>
      </c>
    </row>
    <row r="10" spans="2:20" ht="17" thickBot="1" x14ac:dyDescent="0.2">
      <c r="B10" s="156"/>
      <c r="C10" s="141"/>
      <c r="D10" s="96"/>
      <c r="E10" s="96"/>
      <c r="F10" s="142"/>
      <c r="G10" s="141"/>
      <c r="H10" s="96"/>
      <c r="I10" s="96"/>
      <c r="J10" s="166"/>
      <c r="L10" s="141"/>
      <c r="M10" s="96"/>
      <c r="N10" s="96"/>
      <c r="O10" s="166"/>
      <c r="Q10" s="284"/>
      <c r="R10" s="285"/>
      <c r="S10" s="285"/>
      <c r="T10" s="281"/>
    </row>
    <row r="11" spans="2:20" ht="17" thickBot="1" x14ac:dyDescent="0.2">
      <c r="B11" s="159" t="s">
        <v>38</v>
      </c>
      <c r="C11" s="160">
        <f>'Tab 0'!B24</f>
        <v>38442000</v>
      </c>
      <c r="D11" s="161">
        <f>'Tab 0'!C24</f>
        <v>79446800</v>
      </c>
      <c r="E11" s="161">
        <f>'Tab 0'!D24</f>
        <v>10251200</v>
      </c>
      <c r="F11" s="162">
        <f>SUM(C11:E11)</f>
        <v>128140000</v>
      </c>
      <c r="G11" s="160">
        <f>+G14*G15</f>
        <v>52151533.258064516</v>
      </c>
      <c r="H11" s="161">
        <f>+H12*H7</f>
        <v>77857864</v>
      </c>
      <c r="I11" s="161">
        <f>+I14*I15</f>
        <v>13800000</v>
      </c>
      <c r="J11" s="167">
        <f>SUM(G11:I11)</f>
        <v>143809397.25806451</v>
      </c>
      <c r="L11" s="190">
        <f t="shared" si="0"/>
        <v>0.35662903225806453</v>
      </c>
      <c r="M11" s="191">
        <f t="shared" si="1"/>
        <v>-0.02</v>
      </c>
      <c r="N11" s="191">
        <f t="shared" si="2"/>
        <v>0.34618386140159202</v>
      </c>
      <c r="O11" s="192">
        <f t="shared" si="3"/>
        <v>0.12228341858954665</v>
      </c>
      <c r="Q11" s="286">
        <f>Q12*Q7</f>
        <v>53194563.923225805</v>
      </c>
      <c r="R11" s="287">
        <f t="shared" ref="R11:S11" si="10">R12*R7</f>
        <v>74743549.439999998</v>
      </c>
      <c r="S11" s="287">
        <f t="shared" si="10"/>
        <v>14904000</v>
      </c>
      <c r="T11" s="282">
        <f>SUM(Q11:S11)</f>
        <v>142842113.36322582</v>
      </c>
    </row>
    <row r="12" spans="2:20" s="116" customFormat="1" ht="17" thickBot="1" x14ac:dyDescent="0.2">
      <c r="B12" s="157" t="s">
        <v>37</v>
      </c>
      <c r="C12" s="175">
        <f>'Tab 0'!B26</f>
        <v>0.3</v>
      </c>
      <c r="D12" s="176">
        <f>'Tab 0'!C26</f>
        <v>0.64590894308943092</v>
      </c>
      <c r="E12" s="176">
        <f>'Tab 0'!D26</f>
        <v>0.13159435173299103</v>
      </c>
      <c r="F12" s="177">
        <f>'Tab 0'!E26</f>
        <v>0.31253658536585366</v>
      </c>
      <c r="G12" s="175">
        <f>+G11/G7</f>
        <v>0.40295911849249438</v>
      </c>
      <c r="H12" s="178">
        <f>+D12</f>
        <v>0.64590894308943092</v>
      </c>
      <c r="I12" s="176">
        <f>+I11/I7</f>
        <v>0.16871446909957821</v>
      </c>
      <c r="J12" s="179">
        <f>+J11/J7</f>
        <v>0.433478893724626</v>
      </c>
      <c r="L12" s="190">
        <f t="shared" si="0"/>
        <v>0.34319706164164798</v>
      </c>
      <c r="M12" s="191">
        <f t="shared" si="1"/>
        <v>0</v>
      </c>
      <c r="N12" s="191">
        <f t="shared" si="2"/>
        <v>0.28207986800151608</v>
      </c>
      <c r="O12" s="192">
        <f t="shared" si="3"/>
        <v>0.38697008293348417</v>
      </c>
      <c r="Q12" s="276">
        <f>G12</f>
        <v>0.40295911849249438</v>
      </c>
      <c r="R12" s="277">
        <f t="shared" ref="R12:S12" si="11">H12</f>
        <v>0.64590894308943092</v>
      </c>
      <c r="S12" s="277">
        <f t="shared" si="11"/>
        <v>0.16871446909957821</v>
      </c>
      <c r="T12" s="283">
        <f>+T11/T7</f>
        <v>0.42504079981147624</v>
      </c>
    </row>
    <row r="13" spans="2:20" x14ac:dyDescent="0.15">
      <c r="B13" s="156"/>
      <c r="C13" s="143"/>
      <c r="D13" s="121"/>
      <c r="E13" s="121"/>
      <c r="F13" s="144"/>
      <c r="G13" s="143"/>
      <c r="H13" s="121"/>
      <c r="I13" s="121"/>
      <c r="J13" s="168"/>
      <c r="L13" s="143"/>
      <c r="M13" s="121"/>
      <c r="N13" s="121"/>
      <c r="O13" s="168"/>
    </row>
    <row r="14" spans="2:20" x14ac:dyDescent="0.15">
      <c r="B14" s="156" t="s">
        <v>39</v>
      </c>
      <c r="C14" s="139">
        <f>'Tab 0'!B28</f>
        <v>6200</v>
      </c>
      <c r="D14" s="120">
        <f>'Tab 0'!C28</f>
        <v>441371.11111111112</v>
      </c>
      <c r="E14" s="120">
        <f>'Tab 0'!D28</f>
        <v>600</v>
      </c>
      <c r="F14" s="140">
        <f>SUM(C14:E14)</f>
        <v>448171.11111111112</v>
      </c>
      <c r="G14" s="139">
        <f>G8*G16</f>
        <v>8411.1</v>
      </c>
      <c r="H14" s="120">
        <f>H11/180</f>
        <v>432543.68888888886</v>
      </c>
      <c r="I14" s="126">
        <f>+E14</f>
        <v>600</v>
      </c>
      <c r="J14" s="165">
        <f>SUM(G14:I14)</f>
        <v>441554.78888888884</v>
      </c>
      <c r="L14" s="188">
        <f t="shared" si="0"/>
        <v>0.35662903225806458</v>
      </c>
      <c r="M14" s="189">
        <f t="shared" si="1"/>
        <v>-2.0000000000000084E-2</v>
      </c>
      <c r="N14" s="189">
        <f t="shared" si="2"/>
        <v>0</v>
      </c>
      <c r="O14" s="187">
        <f t="shared" si="3"/>
        <v>-1.4762937766825307E-2</v>
      </c>
    </row>
    <row r="15" spans="2:20" x14ac:dyDescent="0.15">
      <c r="B15" s="156" t="s">
        <v>40</v>
      </c>
      <c r="C15" s="145">
        <f>+C11/C14</f>
        <v>6200.322580645161</v>
      </c>
      <c r="D15" s="122">
        <f t="shared" ref="D15:F15" si="12">+D11/D14</f>
        <v>180</v>
      </c>
      <c r="E15" s="122">
        <f t="shared" si="12"/>
        <v>17085.333333333332</v>
      </c>
      <c r="F15" s="146">
        <f t="shared" si="12"/>
        <v>285.91758108262218</v>
      </c>
      <c r="G15" s="145">
        <f>+C15</f>
        <v>6200.322580645161</v>
      </c>
      <c r="H15" s="122">
        <f t="shared" ref="H15" si="13">+H11/H14</f>
        <v>180</v>
      </c>
      <c r="I15" s="133">
        <v>23000</v>
      </c>
      <c r="J15" s="169">
        <f t="shared" ref="J15" si="14">+J11/J14</f>
        <v>325.68868207712308</v>
      </c>
      <c r="L15" s="188">
        <f t="shared" si="0"/>
        <v>0</v>
      </c>
      <c r="M15" s="189">
        <f t="shared" si="1"/>
        <v>0</v>
      </c>
      <c r="N15" s="189">
        <f t="shared" si="2"/>
        <v>0.34618386140159213</v>
      </c>
      <c r="O15" s="187">
        <f t="shared" si="3"/>
        <v>0.13909987921661998</v>
      </c>
    </row>
    <row r="16" spans="2:20" s="116" customFormat="1" x14ac:dyDescent="0.15">
      <c r="B16" s="157" t="s">
        <v>41</v>
      </c>
      <c r="C16" s="180">
        <f>C14/C8</f>
        <v>0.28040341911265887</v>
      </c>
      <c r="D16" s="181">
        <f t="shared" ref="D16:F16" si="15">D14/D8</f>
        <v>0.64590894308943092</v>
      </c>
      <c r="E16" s="181">
        <f t="shared" si="15"/>
        <v>0.18999366687777075</v>
      </c>
      <c r="F16" s="182">
        <f t="shared" si="15"/>
        <v>0.63247196633247205</v>
      </c>
      <c r="G16" s="183">
        <f>+C16+10%</f>
        <v>0.38040341911265885</v>
      </c>
      <c r="H16" s="181">
        <f t="shared" ref="H16:J16" si="16">H14/H8</f>
        <v>0.64590894308943092</v>
      </c>
      <c r="I16" s="181">
        <f t="shared" si="16"/>
        <v>0.18999366687777075</v>
      </c>
      <c r="J16" s="184">
        <f t="shared" si="16"/>
        <v>0.63538944692082611</v>
      </c>
      <c r="L16" s="190">
        <f t="shared" si="0"/>
        <v>0.35662903225806442</v>
      </c>
      <c r="M16" s="191">
        <f t="shared" si="1"/>
        <v>0</v>
      </c>
      <c r="N16" s="191">
        <f t="shared" si="2"/>
        <v>0</v>
      </c>
      <c r="O16" s="192">
        <f t="shared" si="3"/>
        <v>4.6128219805088178E-3</v>
      </c>
    </row>
    <row r="17" spans="2:15" x14ac:dyDescent="0.15">
      <c r="B17" s="156"/>
      <c r="C17" s="143"/>
      <c r="D17" s="121"/>
      <c r="E17" s="121"/>
      <c r="F17" s="144"/>
      <c r="G17" s="143"/>
      <c r="H17" s="121"/>
      <c r="I17" s="121"/>
      <c r="J17" s="168"/>
      <c r="L17" s="143"/>
      <c r="M17" s="121"/>
      <c r="N17" s="121"/>
      <c r="O17" s="168"/>
    </row>
    <row r="18" spans="2:15" x14ac:dyDescent="0.15">
      <c r="B18" s="156" t="s">
        <v>59</v>
      </c>
      <c r="C18" s="147"/>
      <c r="D18" s="93"/>
      <c r="E18" s="93"/>
      <c r="F18" s="148"/>
      <c r="G18" s="147"/>
      <c r="H18" s="93"/>
      <c r="I18" s="93"/>
      <c r="J18" s="170"/>
      <c r="L18" s="147"/>
      <c r="M18" s="93"/>
      <c r="N18" s="93"/>
      <c r="O18" s="170"/>
    </row>
    <row r="19" spans="2:15" x14ac:dyDescent="0.15">
      <c r="B19" s="156" t="s">
        <v>60</v>
      </c>
      <c r="C19" s="149">
        <f>+'Tab 0'!B52</f>
        <v>50</v>
      </c>
      <c r="D19" s="123">
        <f>+'Tab 0'!C52</f>
        <v>0</v>
      </c>
      <c r="E19" s="123">
        <f>+'Tab 0'!D52</f>
        <v>7</v>
      </c>
      <c r="F19" s="148">
        <f t="shared" ref="F19:F22" si="17">SUM(C19:E19)</f>
        <v>57</v>
      </c>
      <c r="G19" s="185">
        <f>+C19+2</f>
        <v>52</v>
      </c>
      <c r="H19" s="123">
        <f>+D19</f>
        <v>0</v>
      </c>
      <c r="I19" s="123">
        <f>+E19</f>
        <v>7</v>
      </c>
      <c r="J19" s="170">
        <f t="shared" ref="J19:J22" si="18">SUM(G19:I19)</f>
        <v>59</v>
      </c>
      <c r="L19" s="188">
        <f>IFERROR((G19-C19)/C19,0)</f>
        <v>0.04</v>
      </c>
      <c r="M19" s="189">
        <f>IFERROR((H19-D19)/D19,0)</f>
        <v>0</v>
      </c>
      <c r="N19" s="189">
        <f t="shared" ref="N19:O22" si="19">IFERROR((I19-E19)/E19,0)</f>
        <v>0</v>
      </c>
      <c r="O19" s="187">
        <f t="shared" si="19"/>
        <v>3.5087719298245612E-2</v>
      </c>
    </row>
    <row r="20" spans="2:15" x14ac:dyDescent="0.15">
      <c r="B20" s="156" t="s">
        <v>61</v>
      </c>
      <c r="C20" s="149">
        <f>+'Tab 0'!B53</f>
        <v>40</v>
      </c>
      <c r="D20" s="123">
        <f>+'Tab 0'!C53</f>
        <v>0</v>
      </c>
      <c r="E20" s="123">
        <f>+'Tab 0'!D53</f>
        <v>2</v>
      </c>
      <c r="F20" s="148">
        <f t="shared" si="17"/>
        <v>42</v>
      </c>
      <c r="G20" s="185">
        <f>+C20+1</f>
        <v>41</v>
      </c>
      <c r="H20" s="123">
        <f t="shared" ref="H20:I21" si="20">+D20</f>
        <v>0</v>
      </c>
      <c r="I20" s="123">
        <f t="shared" si="20"/>
        <v>2</v>
      </c>
      <c r="J20" s="170">
        <f t="shared" si="18"/>
        <v>43</v>
      </c>
      <c r="L20" s="188">
        <f t="shared" ref="L20:M24" si="21">IFERROR((G20-C20)/C20,0)</f>
        <v>2.5000000000000001E-2</v>
      </c>
      <c r="M20" s="189">
        <f t="shared" si="21"/>
        <v>0</v>
      </c>
      <c r="N20" s="189">
        <f t="shared" si="19"/>
        <v>0</v>
      </c>
      <c r="O20" s="187">
        <f t="shared" si="19"/>
        <v>2.3809523809523808E-2</v>
      </c>
    </row>
    <row r="21" spans="2:15" x14ac:dyDescent="0.15">
      <c r="B21" s="156" t="s">
        <v>62</v>
      </c>
      <c r="C21" s="149">
        <f>+'Tab 0'!B54</f>
        <v>25</v>
      </c>
      <c r="D21" s="123">
        <f>+'Tab 0'!C54</f>
        <v>0</v>
      </c>
      <c r="E21" s="123">
        <f>+'Tab 0'!D54</f>
        <v>3</v>
      </c>
      <c r="F21" s="148">
        <f t="shared" si="17"/>
        <v>28</v>
      </c>
      <c r="G21" s="185">
        <f>+C21+4</f>
        <v>29</v>
      </c>
      <c r="H21" s="123">
        <f t="shared" si="20"/>
        <v>0</v>
      </c>
      <c r="I21" s="123">
        <f t="shared" si="20"/>
        <v>3</v>
      </c>
      <c r="J21" s="170">
        <f t="shared" si="18"/>
        <v>32</v>
      </c>
      <c r="L21" s="188">
        <f t="shared" si="21"/>
        <v>0.16</v>
      </c>
      <c r="M21" s="189">
        <f t="shared" si="21"/>
        <v>0</v>
      </c>
      <c r="N21" s="189">
        <f t="shared" si="19"/>
        <v>0</v>
      </c>
      <c r="O21" s="187">
        <f t="shared" si="19"/>
        <v>0.14285714285714285</v>
      </c>
    </row>
    <row r="22" spans="2:15" x14ac:dyDescent="0.15">
      <c r="B22" s="157" t="s">
        <v>63</v>
      </c>
      <c r="C22" s="150">
        <f>SUM(C19:C21)</f>
        <v>115</v>
      </c>
      <c r="D22" s="124">
        <f t="shared" ref="D22:E22" si="22">SUM(D19:D21)</f>
        <v>0</v>
      </c>
      <c r="E22" s="124">
        <f t="shared" si="22"/>
        <v>12</v>
      </c>
      <c r="F22" s="151">
        <f t="shared" si="17"/>
        <v>127</v>
      </c>
      <c r="G22" s="150">
        <f>SUM(G19:G21)</f>
        <v>122</v>
      </c>
      <c r="H22" s="124">
        <f t="shared" ref="H22" si="23">SUM(H19:H21)</f>
        <v>0</v>
      </c>
      <c r="I22" s="124">
        <f t="shared" ref="I22" si="24">SUM(I19:I21)</f>
        <v>12</v>
      </c>
      <c r="J22" s="171">
        <f t="shared" si="18"/>
        <v>134</v>
      </c>
      <c r="L22" s="190">
        <f t="shared" si="21"/>
        <v>6.0869565217391307E-2</v>
      </c>
      <c r="M22" s="191">
        <f t="shared" si="21"/>
        <v>0</v>
      </c>
      <c r="N22" s="191">
        <f t="shared" si="19"/>
        <v>0</v>
      </c>
      <c r="O22" s="192">
        <f t="shared" si="19"/>
        <v>5.5118110236220472E-2</v>
      </c>
    </row>
    <row r="23" spans="2:15" ht="5" customHeight="1" x14ac:dyDescent="0.15">
      <c r="B23" s="156"/>
      <c r="C23" s="147"/>
      <c r="D23" s="93"/>
      <c r="E23" s="93"/>
      <c r="F23" s="148"/>
      <c r="G23" s="147"/>
      <c r="H23" s="93"/>
      <c r="I23" s="93"/>
      <c r="J23" s="170"/>
      <c r="L23" s="147"/>
      <c r="M23" s="93"/>
      <c r="N23" s="93"/>
      <c r="O23" s="170"/>
    </row>
    <row r="24" spans="2:15" ht="17" thickBot="1" x14ac:dyDescent="0.2">
      <c r="B24" s="158" t="s">
        <v>42</v>
      </c>
      <c r="C24" s="152">
        <f t="shared" ref="C24:J24" si="25">IFERROR(C11/C22,0)</f>
        <v>334278.26086956525</v>
      </c>
      <c r="D24" s="153">
        <f t="shared" si="25"/>
        <v>0</v>
      </c>
      <c r="E24" s="153">
        <f t="shared" si="25"/>
        <v>854266.66666666663</v>
      </c>
      <c r="F24" s="154">
        <f t="shared" si="25"/>
        <v>1008976.3779527559</v>
      </c>
      <c r="G24" s="152">
        <f t="shared" si="25"/>
        <v>427471.584082496</v>
      </c>
      <c r="H24" s="153">
        <f t="shared" si="25"/>
        <v>0</v>
      </c>
      <c r="I24" s="153">
        <f t="shared" si="25"/>
        <v>1150000</v>
      </c>
      <c r="J24" s="172">
        <f t="shared" si="25"/>
        <v>1073204.4571497352</v>
      </c>
      <c r="L24" s="193">
        <f t="shared" si="21"/>
        <v>0.27878966155473273</v>
      </c>
      <c r="M24" s="194">
        <f t="shared" si="21"/>
        <v>0</v>
      </c>
      <c r="N24" s="194">
        <f t="shared" ref="N24" si="26">IFERROR((I24-E24)/E24,0)</f>
        <v>0.34618386140159207</v>
      </c>
      <c r="O24" s="195">
        <f t="shared" ref="O24" si="27">IFERROR((J24-F24)/F24,0)</f>
        <v>6.3656672842331591E-2</v>
      </c>
    </row>
  </sheetData>
  <mergeCells count="12">
    <mergeCell ref="Q3:T3"/>
    <mergeCell ref="Q4:S4"/>
    <mergeCell ref="T4:T5"/>
    <mergeCell ref="L3:O3"/>
    <mergeCell ref="L4:N4"/>
    <mergeCell ref="O4:O5"/>
    <mergeCell ref="C3:F3"/>
    <mergeCell ref="C4:E4"/>
    <mergeCell ref="F4:F5"/>
    <mergeCell ref="G3:J3"/>
    <mergeCell ref="G4:I4"/>
    <mergeCell ref="J4:J5"/>
  </mergeCells>
  <pageMargins left="0.25" right="0.25" top="0.75" bottom="0.75" header="0.3" footer="0.3"/>
  <pageSetup paperSize="9" scale="67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83A5-FE9F-DC4A-ACCF-9449521E30C6}">
  <sheetPr>
    <pageSetUpPr fitToPage="1"/>
  </sheetPr>
  <dimension ref="B1:S24"/>
  <sheetViews>
    <sheetView showGridLines="0" topLeftCell="H1" zoomScale="180" zoomScaleNormal="180" workbookViewId="0">
      <selection activeCell="P22" sqref="P22"/>
    </sheetView>
  </sheetViews>
  <sheetFormatPr baseColWidth="10" defaultRowHeight="16" x14ac:dyDescent="0.2"/>
  <cols>
    <col min="1" max="1" width="2" style="1" customWidth="1"/>
    <col min="2" max="2" width="10.83203125" style="1"/>
    <col min="3" max="3" width="8.1640625" style="1" customWidth="1"/>
    <col min="4" max="4" width="7.5" style="1" customWidth="1"/>
    <col min="5" max="5" width="13.5" style="1" customWidth="1"/>
    <col min="6" max="6" width="7.83203125" style="1" bestFit="1" customWidth="1"/>
    <col min="7" max="7" width="7.5" style="1" customWidth="1"/>
    <col min="8" max="8" width="13.6640625" style="1" customWidth="1"/>
    <col min="9" max="10" width="7.5" style="1" customWidth="1"/>
    <col min="11" max="11" width="13.83203125" style="1" customWidth="1"/>
    <col min="12" max="12" width="11.33203125" style="1" customWidth="1"/>
    <col min="13" max="13" width="7.5" style="1" customWidth="1"/>
    <col min="14" max="14" width="14.5" style="1" customWidth="1"/>
    <col min="15" max="15" width="5" style="1" customWidth="1"/>
    <col min="16" max="19" width="8.1640625" style="1" customWidth="1"/>
    <col min="20" max="16384" width="10.83203125" style="1"/>
  </cols>
  <sheetData>
    <row r="1" spans="2:19" x14ac:dyDescent="0.2">
      <c r="B1" s="77" t="s">
        <v>110</v>
      </c>
    </row>
    <row r="2" spans="2:19" ht="17" thickBot="1" x14ac:dyDescent="0.25"/>
    <row r="3" spans="2:19" x14ac:dyDescent="0.2">
      <c r="B3" s="387"/>
      <c r="C3" s="391" t="s">
        <v>54</v>
      </c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6"/>
      <c r="P3" s="384" t="s">
        <v>79</v>
      </c>
      <c r="Q3" s="385"/>
      <c r="R3" s="385"/>
      <c r="S3" s="386"/>
    </row>
    <row r="4" spans="2:19" x14ac:dyDescent="0.2">
      <c r="B4" s="388"/>
      <c r="C4" s="380" t="s">
        <v>76</v>
      </c>
      <c r="D4" s="381"/>
      <c r="E4" s="382"/>
      <c r="F4" s="380" t="s">
        <v>77</v>
      </c>
      <c r="G4" s="381"/>
      <c r="H4" s="382"/>
      <c r="I4" s="380" t="s">
        <v>78</v>
      </c>
      <c r="J4" s="381"/>
      <c r="K4" s="382"/>
      <c r="L4" s="380" t="s">
        <v>3</v>
      </c>
      <c r="M4" s="381"/>
      <c r="N4" s="383"/>
      <c r="P4" s="84" t="s">
        <v>71</v>
      </c>
      <c r="Q4" s="85" t="s">
        <v>72</v>
      </c>
      <c r="R4" s="85" t="s">
        <v>52</v>
      </c>
      <c r="S4" s="211" t="s">
        <v>63</v>
      </c>
    </row>
    <row r="5" spans="2:19" x14ac:dyDescent="0.2">
      <c r="B5" s="389"/>
      <c r="C5" s="196" t="s">
        <v>75</v>
      </c>
      <c r="D5" s="197" t="s">
        <v>4</v>
      </c>
      <c r="E5" s="198" t="s">
        <v>32</v>
      </c>
      <c r="F5" s="196" t="s">
        <v>75</v>
      </c>
      <c r="G5" s="197" t="s">
        <v>4</v>
      </c>
      <c r="H5" s="198" t="s">
        <v>32</v>
      </c>
      <c r="I5" s="196" t="s">
        <v>75</v>
      </c>
      <c r="J5" s="197" t="s">
        <v>4</v>
      </c>
      <c r="K5" s="198" t="s">
        <v>32</v>
      </c>
      <c r="L5" s="196" t="s">
        <v>75</v>
      </c>
      <c r="M5" s="197" t="s">
        <v>4</v>
      </c>
      <c r="N5" s="202" t="s">
        <v>32</v>
      </c>
      <c r="P5" s="84" t="s">
        <v>32</v>
      </c>
      <c r="Q5" s="85" t="s">
        <v>32</v>
      </c>
      <c r="R5" s="85" t="s">
        <v>32</v>
      </c>
      <c r="S5" s="211" t="s">
        <v>32</v>
      </c>
    </row>
    <row r="6" spans="2:19" x14ac:dyDescent="0.2">
      <c r="B6" s="203" t="s">
        <v>73</v>
      </c>
      <c r="C6" s="199">
        <f>+E6/D6</f>
        <v>151632.33333333334</v>
      </c>
      <c r="D6" s="200">
        <f>+'Tab 0'!$B33</f>
        <v>180</v>
      </c>
      <c r="E6" s="201">
        <f>+E$8*P6</f>
        <v>27293820</v>
      </c>
      <c r="F6" s="199">
        <f>+H6/G6</f>
        <v>441371.11111111112</v>
      </c>
      <c r="G6" s="200">
        <f>+'Tab 0'!$B33</f>
        <v>180</v>
      </c>
      <c r="H6" s="201">
        <f>+H$8*Q6</f>
        <v>79446800</v>
      </c>
      <c r="I6" s="199">
        <f>+K6/J6</f>
        <v>5125.6000000000004</v>
      </c>
      <c r="J6" s="200">
        <f>+'Tab 0'!$B33</f>
        <v>180</v>
      </c>
      <c r="K6" s="201">
        <f>+K$8*R6</f>
        <v>922608</v>
      </c>
      <c r="L6" s="199">
        <f t="shared" ref="L6:N7" si="0">+C6+F6+I6</f>
        <v>598129.04444444447</v>
      </c>
      <c r="M6" s="200">
        <f>+N6/L6</f>
        <v>180</v>
      </c>
      <c r="N6" s="204">
        <f t="shared" si="0"/>
        <v>107663228</v>
      </c>
      <c r="P6" s="218">
        <f>+'Tab 0'!B37</f>
        <v>0.71</v>
      </c>
      <c r="Q6" s="215">
        <f>+'Tab 0'!C37</f>
        <v>1</v>
      </c>
      <c r="R6" s="215">
        <f>+'Tab 0'!D37</f>
        <v>0.09</v>
      </c>
      <c r="S6" s="212">
        <f>N6/N$8</f>
        <v>0.84019999999999995</v>
      </c>
    </row>
    <row r="7" spans="2:19" x14ac:dyDescent="0.2">
      <c r="B7" s="79" t="s">
        <v>74</v>
      </c>
      <c r="C7" s="36">
        <f>+E7/D7</f>
        <v>22296.360000000004</v>
      </c>
      <c r="D7" s="81">
        <f>+'Tab 0'!$B34</f>
        <v>500</v>
      </c>
      <c r="E7" s="65">
        <f>+E$8*P7</f>
        <v>11148180.000000002</v>
      </c>
      <c r="F7" s="36">
        <f>+H7/G7</f>
        <v>0</v>
      </c>
      <c r="G7" s="81">
        <f>+'Tab 0'!$B34</f>
        <v>500</v>
      </c>
      <c r="H7" s="65">
        <f>+H$8*Q7</f>
        <v>0</v>
      </c>
      <c r="I7" s="36">
        <f>+K7/J7</f>
        <v>18657.184000000001</v>
      </c>
      <c r="J7" s="81">
        <f>+'Tab 0'!$B34</f>
        <v>500</v>
      </c>
      <c r="K7" s="65">
        <f>+K$8*R7</f>
        <v>9328592</v>
      </c>
      <c r="L7" s="36">
        <f t="shared" si="0"/>
        <v>40953.544000000009</v>
      </c>
      <c r="M7" s="81">
        <f>+N7/L7</f>
        <v>499.99999999999989</v>
      </c>
      <c r="N7" s="205">
        <f t="shared" si="0"/>
        <v>20476772</v>
      </c>
      <c r="P7" s="218">
        <f>+'Tab 0'!B38</f>
        <v>0.29000000000000004</v>
      </c>
      <c r="Q7" s="215">
        <f>+'Tab 0'!C38</f>
        <v>0</v>
      </c>
      <c r="R7" s="215">
        <f>+'Tab 0'!D38</f>
        <v>0.91</v>
      </c>
      <c r="S7" s="212">
        <f>N7/N$8</f>
        <v>0.1598</v>
      </c>
    </row>
    <row r="8" spans="2:19" ht="17" thickBot="1" x14ac:dyDescent="0.25">
      <c r="B8" s="206" t="s">
        <v>3</v>
      </c>
      <c r="C8" s="207"/>
      <c r="D8" s="208"/>
      <c r="E8" s="209">
        <f>+'Tab 1'!C11</f>
        <v>38442000</v>
      </c>
      <c r="F8" s="207"/>
      <c r="G8" s="208"/>
      <c r="H8" s="209">
        <f>+'Tab 1'!D11</f>
        <v>79446800</v>
      </c>
      <c r="I8" s="207"/>
      <c r="J8" s="208"/>
      <c r="K8" s="209">
        <f>+'Tab 1'!E11</f>
        <v>10251200</v>
      </c>
      <c r="L8" s="207"/>
      <c r="M8" s="208"/>
      <c r="N8" s="210">
        <f>+E8+H8+K8</f>
        <v>128140000</v>
      </c>
      <c r="P8" s="217"/>
      <c r="Q8" s="213"/>
      <c r="R8" s="213"/>
      <c r="S8" s="214"/>
    </row>
    <row r="10" spans="2:19" ht="17" thickBot="1" x14ac:dyDescent="0.25"/>
    <row r="11" spans="2:19" x14ac:dyDescent="0.2">
      <c r="B11" s="387"/>
      <c r="C11" s="390" t="s">
        <v>80</v>
      </c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9"/>
      <c r="P11" s="377" t="s">
        <v>79</v>
      </c>
      <c r="Q11" s="378"/>
      <c r="R11" s="378"/>
      <c r="S11" s="379"/>
    </row>
    <row r="12" spans="2:19" x14ac:dyDescent="0.2">
      <c r="B12" s="388"/>
      <c r="C12" s="380" t="s">
        <v>76</v>
      </c>
      <c r="D12" s="381"/>
      <c r="E12" s="382"/>
      <c r="F12" s="380" t="s">
        <v>77</v>
      </c>
      <c r="G12" s="381"/>
      <c r="H12" s="382"/>
      <c r="I12" s="380" t="s">
        <v>78</v>
      </c>
      <c r="J12" s="381"/>
      <c r="K12" s="382"/>
      <c r="L12" s="380" t="s">
        <v>3</v>
      </c>
      <c r="M12" s="381"/>
      <c r="N12" s="383"/>
      <c r="P12" s="84" t="s">
        <v>71</v>
      </c>
      <c r="Q12" s="85" t="s">
        <v>72</v>
      </c>
      <c r="R12" s="85" t="s">
        <v>52</v>
      </c>
      <c r="S12" s="211" t="s">
        <v>63</v>
      </c>
    </row>
    <row r="13" spans="2:19" x14ac:dyDescent="0.2">
      <c r="B13" s="389"/>
      <c r="C13" s="196" t="s">
        <v>75</v>
      </c>
      <c r="D13" s="197" t="s">
        <v>4</v>
      </c>
      <c r="E13" s="198" t="s">
        <v>32</v>
      </c>
      <c r="F13" s="196" t="s">
        <v>75</v>
      </c>
      <c r="G13" s="197" t="s">
        <v>4</v>
      </c>
      <c r="H13" s="198" t="s">
        <v>32</v>
      </c>
      <c r="I13" s="196" t="s">
        <v>75</v>
      </c>
      <c r="J13" s="197" t="s">
        <v>4</v>
      </c>
      <c r="K13" s="198" t="s">
        <v>32</v>
      </c>
      <c r="L13" s="196" t="s">
        <v>75</v>
      </c>
      <c r="M13" s="197" t="s">
        <v>4</v>
      </c>
      <c r="N13" s="202" t="s">
        <v>32</v>
      </c>
      <c r="P13" s="84" t="s">
        <v>32</v>
      </c>
      <c r="Q13" s="85" t="s">
        <v>32</v>
      </c>
      <c r="R13" s="85" t="s">
        <v>32</v>
      </c>
      <c r="S13" s="211" t="s">
        <v>32</v>
      </c>
    </row>
    <row r="14" spans="2:19" x14ac:dyDescent="0.2">
      <c r="B14" s="203" t="s">
        <v>73</v>
      </c>
      <c r="C14" s="199">
        <f>+E14/D14</f>
        <v>246271.12927419352</v>
      </c>
      <c r="D14" s="200">
        <f>+D6</f>
        <v>180</v>
      </c>
      <c r="E14" s="201">
        <f>+E$16*P14</f>
        <v>44328803.269354835</v>
      </c>
      <c r="F14" s="199">
        <f>+H14/G14</f>
        <v>432543.68888888886</v>
      </c>
      <c r="G14" s="200">
        <f>+G6</f>
        <v>180</v>
      </c>
      <c r="H14" s="201">
        <f>+H$16*Q14</f>
        <v>77857864</v>
      </c>
      <c r="I14" s="199">
        <f>+K14/J14</f>
        <v>3833.3333333333367</v>
      </c>
      <c r="J14" s="200">
        <f>+J6</f>
        <v>180</v>
      </c>
      <c r="K14" s="201">
        <f>+K$16*R14</f>
        <v>690000.00000000058</v>
      </c>
      <c r="L14" s="199">
        <f t="shared" ref="L14:L15" si="1">+C14+F14+I14</f>
        <v>682648.15149641572</v>
      </c>
      <c r="M14" s="200">
        <f>+N14/L14</f>
        <v>180</v>
      </c>
      <c r="N14" s="204">
        <f t="shared" ref="N14:N15" si="2">+E14+H14+K14</f>
        <v>122876667.26935484</v>
      </c>
      <c r="P14" s="219">
        <v>0.85</v>
      </c>
      <c r="Q14" s="215">
        <f>+Q6</f>
        <v>1</v>
      </c>
      <c r="R14" s="215">
        <f>1-R15</f>
        <v>5.0000000000000044E-2</v>
      </c>
      <c r="S14" s="212">
        <f>N14/N$16</f>
        <v>0.85444115344461047</v>
      </c>
    </row>
    <row r="15" spans="2:19" x14ac:dyDescent="0.2">
      <c r="B15" s="79" t="s">
        <v>74</v>
      </c>
      <c r="C15" s="36">
        <f>+E15/D15</f>
        <v>15645.459977419358</v>
      </c>
      <c r="D15" s="81">
        <f>+D7</f>
        <v>500</v>
      </c>
      <c r="E15" s="65">
        <f>+E$16*P15</f>
        <v>7822729.9887096789</v>
      </c>
      <c r="F15" s="36">
        <f>+H15/G15</f>
        <v>0</v>
      </c>
      <c r="G15" s="81">
        <f>+G7</f>
        <v>500</v>
      </c>
      <c r="H15" s="65">
        <f>+H$16*Q15</f>
        <v>0</v>
      </c>
      <c r="I15" s="36">
        <f>+K15/J15</f>
        <v>26220</v>
      </c>
      <c r="J15" s="81">
        <f>+J7</f>
        <v>500</v>
      </c>
      <c r="K15" s="65">
        <f>+K$16*R15</f>
        <v>13110000</v>
      </c>
      <c r="L15" s="36">
        <f t="shared" si="1"/>
        <v>41865.459977419356</v>
      </c>
      <c r="M15" s="81">
        <f>+N15/L15</f>
        <v>500.00000000000006</v>
      </c>
      <c r="N15" s="205">
        <f t="shared" si="2"/>
        <v>20932729.988709681</v>
      </c>
      <c r="P15" s="218">
        <f>1-P14</f>
        <v>0.15000000000000002</v>
      </c>
      <c r="Q15" s="215">
        <f>+Q7</f>
        <v>0</v>
      </c>
      <c r="R15" s="216">
        <v>0.95</v>
      </c>
      <c r="S15" s="212">
        <f>N15/N$16</f>
        <v>0.14555884655538961</v>
      </c>
    </row>
    <row r="16" spans="2:19" ht="17" thickBot="1" x14ac:dyDescent="0.25">
      <c r="B16" s="206" t="s">
        <v>3</v>
      </c>
      <c r="C16" s="207"/>
      <c r="D16" s="208"/>
      <c r="E16" s="209">
        <f>+'Tab 1'!G11</f>
        <v>52151533.258064516</v>
      </c>
      <c r="F16" s="207"/>
      <c r="G16" s="208"/>
      <c r="H16" s="209">
        <f>+'Tab 1'!H11</f>
        <v>77857864</v>
      </c>
      <c r="I16" s="207"/>
      <c r="J16" s="208"/>
      <c r="K16" s="209">
        <f>+'Tab 1'!I11</f>
        <v>13800000</v>
      </c>
      <c r="L16" s="207"/>
      <c r="M16" s="208"/>
      <c r="N16" s="210">
        <f>+E16+H16+K16</f>
        <v>143809397.25806451</v>
      </c>
      <c r="P16" s="217"/>
      <c r="Q16" s="213"/>
      <c r="R16" s="213"/>
      <c r="S16" s="214"/>
    </row>
    <row r="18" spans="2:19" ht="17" thickBot="1" x14ac:dyDescent="0.25"/>
    <row r="19" spans="2:19" x14ac:dyDescent="0.2">
      <c r="B19" s="387"/>
      <c r="C19" s="390" t="s">
        <v>124</v>
      </c>
      <c r="D19" s="378"/>
      <c r="E19" s="378"/>
      <c r="F19" s="378"/>
      <c r="G19" s="378"/>
      <c r="H19" s="378"/>
      <c r="I19" s="378"/>
      <c r="J19" s="378"/>
      <c r="K19" s="378"/>
      <c r="L19" s="378"/>
      <c r="M19" s="378"/>
      <c r="N19" s="379"/>
      <c r="P19" s="377" t="s">
        <v>79</v>
      </c>
      <c r="Q19" s="378"/>
      <c r="R19" s="378"/>
      <c r="S19" s="379"/>
    </row>
    <row r="20" spans="2:19" x14ac:dyDescent="0.2">
      <c r="B20" s="388"/>
      <c r="C20" s="380" t="s">
        <v>76</v>
      </c>
      <c r="D20" s="381"/>
      <c r="E20" s="382"/>
      <c r="F20" s="380" t="s">
        <v>77</v>
      </c>
      <c r="G20" s="381"/>
      <c r="H20" s="382"/>
      <c r="I20" s="380" t="s">
        <v>78</v>
      </c>
      <c r="J20" s="381"/>
      <c r="K20" s="382"/>
      <c r="L20" s="380" t="s">
        <v>3</v>
      </c>
      <c r="M20" s="381"/>
      <c r="N20" s="383"/>
      <c r="P20" s="251" t="s">
        <v>71</v>
      </c>
      <c r="Q20" s="249" t="s">
        <v>72</v>
      </c>
      <c r="R20" s="249" t="s">
        <v>52</v>
      </c>
      <c r="S20" s="250" t="s">
        <v>63</v>
      </c>
    </row>
    <row r="21" spans="2:19" x14ac:dyDescent="0.2">
      <c r="B21" s="389"/>
      <c r="C21" s="196" t="s">
        <v>75</v>
      </c>
      <c r="D21" s="197" t="s">
        <v>4</v>
      </c>
      <c r="E21" s="198" t="s">
        <v>32</v>
      </c>
      <c r="F21" s="196" t="s">
        <v>75</v>
      </c>
      <c r="G21" s="197" t="s">
        <v>4</v>
      </c>
      <c r="H21" s="198" t="s">
        <v>32</v>
      </c>
      <c r="I21" s="196" t="s">
        <v>75</v>
      </c>
      <c r="J21" s="197" t="s">
        <v>4</v>
      </c>
      <c r="K21" s="198" t="s">
        <v>32</v>
      </c>
      <c r="L21" s="196" t="s">
        <v>75</v>
      </c>
      <c r="M21" s="197" t="s">
        <v>4</v>
      </c>
      <c r="N21" s="202" t="s">
        <v>32</v>
      </c>
      <c r="P21" s="251" t="s">
        <v>32</v>
      </c>
      <c r="Q21" s="249" t="s">
        <v>32</v>
      </c>
      <c r="R21" s="249" t="s">
        <v>32</v>
      </c>
      <c r="S21" s="250" t="s">
        <v>32</v>
      </c>
    </row>
    <row r="22" spans="2:19" x14ac:dyDescent="0.2">
      <c r="B22" s="203" t="s">
        <v>73</v>
      </c>
      <c r="C22" s="199">
        <f>+E22/D22</f>
        <v>251196.55185967742</v>
      </c>
      <c r="D22" s="200">
        <f>+D14</f>
        <v>180</v>
      </c>
      <c r="E22" s="201">
        <f>+E$24*P22</f>
        <v>45215379.334741935</v>
      </c>
      <c r="F22" s="199">
        <f>+H22/G22</f>
        <v>415241.94133333332</v>
      </c>
      <c r="G22" s="200">
        <f>+G14</f>
        <v>180</v>
      </c>
      <c r="H22" s="201">
        <f>+H$24*Q22</f>
        <v>74743549.439999998</v>
      </c>
      <c r="I22" s="199">
        <f>+K22/J22</f>
        <v>4140.0000000000036</v>
      </c>
      <c r="J22" s="200">
        <f>+J14</f>
        <v>180</v>
      </c>
      <c r="K22" s="201">
        <f>+K$24*R22</f>
        <v>745200.0000000007</v>
      </c>
      <c r="L22" s="199">
        <f t="shared" ref="L22:L23" si="3">+C22+F22+I22</f>
        <v>670578.4931930108</v>
      </c>
      <c r="M22" s="200">
        <f>+N22/L22</f>
        <v>179.99999999999997</v>
      </c>
      <c r="N22" s="204">
        <f t="shared" ref="N22:N23" si="4">+E22+H22+K22</f>
        <v>120704128.77474193</v>
      </c>
      <c r="P22" s="218">
        <f t="shared" ref="P22:R23" si="5">+P14</f>
        <v>0.85</v>
      </c>
      <c r="Q22" s="215">
        <f t="shared" si="5"/>
        <v>1</v>
      </c>
      <c r="R22" s="215">
        <f t="shared" si="5"/>
        <v>5.0000000000000044E-2</v>
      </c>
      <c r="S22" s="212">
        <f>N22/N$24</f>
        <v>0.84501780275267735</v>
      </c>
    </row>
    <row r="23" spans="2:19" x14ac:dyDescent="0.2">
      <c r="B23" s="79" t="s">
        <v>74</v>
      </c>
      <c r="C23" s="36">
        <f>+E23/D23</f>
        <v>15958.369176967744</v>
      </c>
      <c r="D23" s="81">
        <f>+D15</f>
        <v>500</v>
      </c>
      <c r="E23" s="65">
        <f>+E$24*P23</f>
        <v>7979184.5884838719</v>
      </c>
      <c r="F23" s="36">
        <f>+H23/G23</f>
        <v>0</v>
      </c>
      <c r="G23" s="81">
        <f>+G15</f>
        <v>500</v>
      </c>
      <c r="H23" s="65">
        <f>+H$24*Q23</f>
        <v>0</v>
      </c>
      <c r="I23" s="36">
        <f>+K23/J23</f>
        <v>28317.599999999999</v>
      </c>
      <c r="J23" s="81">
        <f>+J15</f>
        <v>500</v>
      </c>
      <c r="K23" s="65">
        <f>+K$24*R23</f>
        <v>14158800</v>
      </c>
      <c r="L23" s="36">
        <f t="shared" si="3"/>
        <v>44275.969176967745</v>
      </c>
      <c r="M23" s="81">
        <f>+N23/L23</f>
        <v>499.99999999999994</v>
      </c>
      <c r="N23" s="205">
        <f t="shared" si="4"/>
        <v>22137984.58848387</v>
      </c>
      <c r="P23" s="218">
        <f t="shared" si="5"/>
        <v>0.15000000000000002</v>
      </c>
      <c r="Q23" s="215">
        <f t="shared" si="5"/>
        <v>0</v>
      </c>
      <c r="R23" s="215">
        <f t="shared" si="5"/>
        <v>0.95</v>
      </c>
      <c r="S23" s="212">
        <f>N23/N$24</f>
        <v>0.15498219724732254</v>
      </c>
    </row>
    <row r="24" spans="2:19" ht="17" thickBot="1" x14ac:dyDescent="0.25">
      <c r="B24" s="206" t="s">
        <v>3</v>
      </c>
      <c r="C24" s="207"/>
      <c r="D24" s="208"/>
      <c r="E24" s="209">
        <f>+'Tab 1'!Q11</f>
        <v>53194563.923225805</v>
      </c>
      <c r="F24" s="207"/>
      <c r="G24" s="208"/>
      <c r="H24" s="209">
        <f>+'Tab 1'!R11</f>
        <v>74743549.439999998</v>
      </c>
      <c r="I24" s="207"/>
      <c r="J24" s="208"/>
      <c r="K24" s="209">
        <f>+'Tab 1'!S11</f>
        <v>14904000</v>
      </c>
      <c r="L24" s="207"/>
      <c r="M24" s="208"/>
      <c r="N24" s="210">
        <f>+E24+H24+K24</f>
        <v>142842113.36322582</v>
      </c>
      <c r="P24" s="217"/>
      <c r="Q24" s="213"/>
      <c r="R24" s="213"/>
      <c r="S24" s="214"/>
    </row>
  </sheetData>
  <mergeCells count="21">
    <mergeCell ref="B19:B21"/>
    <mergeCell ref="C19:N19"/>
    <mergeCell ref="P19:S19"/>
    <mergeCell ref="C20:E20"/>
    <mergeCell ref="F20:H20"/>
    <mergeCell ref="I20:K20"/>
    <mergeCell ref="L20:N20"/>
    <mergeCell ref="P11:S11"/>
    <mergeCell ref="I12:K12"/>
    <mergeCell ref="L12:N12"/>
    <mergeCell ref="P3:S3"/>
    <mergeCell ref="B3:B5"/>
    <mergeCell ref="B11:B13"/>
    <mergeCell ref="C11:N11"/>
    <mergeCell ref="C12:E12"/>
    <mergeCell ref="F12:H12"/>
    <mergeCell ref="C4:E4"/>
    <mergeCell ref="F4:H4"/>
    <mergeCell ref="I4:K4"/>
    <mergeCell ref="L4:N4"/>
    <mergeCell ref="C3:N3"/>
  </mergeCells>
  <pageMargins left="0.7" right="0.7" top="0.75" bottom="0.75" header="0.3" footer="0.3"/>
  <pageSetup paperSize="9" scale="76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DG50"/>
  <sheetViews>
    <sheetView showGridLines="0" topLeftCell="L24" zoomScale="140" zoomScaleNormal="140" workbookViewId="0">
      <selection activeCell="AA48" sqref="AA48"/>
    </sheetView>
  </sheetViews>
  <sheetFormatPr baseColWidth="10" defaultColWidth="9.1640625" defaultRowHeight="16" x14ac:dyDescent="0.2"/>
  <cols>
    <col min="1" max="1" width="2.6640625" style="1" customWidth="1"/>
    <col min="2" max="2" width="20" style="1" customWidth="1"/>
    <col min="3" max="3" width="11.33203125" style="1" bestFit="1" customWidth="1"/>
    <col min="4" max="4" width="9.1640625" style="1"/>
    <col min="5" max="5" width="14" style="1" bestFit="1" customWidth="1"/>
    <col min="6" max="6" width="11.33203125" style="1" bestFit="1" customWidth="1"/>
    <col min="7" max="7" width="9.1640625" style="1"/>
    <col min="8" max="8" width="14" style="1" bestFit="1" customWidth="1"/>
    <col min="9" max="9" width="11.33203125" style="1" bestFit="1" customWidth="1"/>
    <col min="10" max="10" width="9.1640625" style="1"/>
    <col min="11" max="11" width="14" style="1" bestFit="1" customWidth="1"/>
    <col min="12" max="12" width="11.33203125" style="1" bestFit="1" customWidth="1"/>
    <col min="13" max="13" width="9.1640625" style="1"/>
    <col min="14" max="14" width="14" style="1" bestFit="1" customWidth="1"/>
    <col min="15" max="15" width="11.33203125" style="1" bestFit="1" customWidth="1"/>
    <col min="16" max="16" width="9.1640625" style="1"/>
    <col min="17" max="17" width="14" style="1" bestFit="1" customWidth="1"/>
    <col min="18" max="18" width="11.33203125" style="1" bestFit="1" customWidth="1"/>
    <col min="19" max="19" width="9.1640625" style="1"/>
    <col min="20" max="20" width="14" style="1" bestFit="1" customWidth="1"/>
    <col min="21" max="21" width="12.33203125" style="1" bestFit="1" customWidth="1"/>
    <col min="22" max="22" width="9.1640625" style="1"/>
    <col min="23" max="23" width="14" style="1" bestFit="1" customWidth="1"/>
    <col min="24" max="24" width="2.33203125" style="11" customWidth="1"/>
    <col min="25" max="25" width="15" style="1" bestFit="1" customWidth="1"/>
    <col min="26" max="26" width="8.6640625" style="1" bestFit="1" customWidth="1"/>
    <col min="27" max="27" width="16.5" style="1" bestFit="1" customWidth="1"/>
    <col min="28" max="28" width="8.6640625" style="1" bestFit="1" customWidth="1"/>
    <col min="29" max="29" width="10.33203125" style="1" bestFit="1" customWidth="1"/>
    <col min="30" max="30" width="8.6640625" style="1" bestFit="1" customWidth="1"/>
    <col min="31" max="31" width="10.33203125" style="1" bestFit="1" customWidth="1"/>
    <col min="32" max="33" width="8.6640625" style="1" bestFit="1" customWidth="1"/>
    <col min="34" max="34" width="12.83203125" style="1" bestFit="1" customWidth="1"/>
    <col min="35" max="35" width="9.1640625" style="1"/>
    <col min="36" max="36" width="14" style="1" bestFit="1" customWidth="1"/>
    <col min="37" max="16384" width="9.1640625" style="1"/>
  </cols>
  <sheetData>
    <row r="2" spans="2:24" x14ac:dyDescent="0.2">
      <c r="B2" s="77" t="s">
        <v>109</v>
      </c>
    </row>
    <row r="3" spans="2:24" x14ac:dyDescent="0.2">
      <c r="B3" s="10"/>
      <c r="E3" s="47"/>
    </row>
    <row r="4" spans="2:24" ht="17" thickBot="1" x14ac:dyDescent="0.25"/>
    <row r="5" spans="2:24" x14ac:dyDescent="0.2">
      <c r="B5" s="12"/>
      <c r="C5" s="392" t="s">
        <v>80</v>
      </c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  <c r="O5" s="393"/>
      <c r="P5" s="393"/>
      <c r="Q5" s="393"/>
      <c r="R5" s="393"/>
      <c r="S5" s="393"/>
      <c r="T5" s="393"/>
      <c r="U5" s="393"/>
      <c r="V5" s="393"/>
      <c r="W5" s="394"/>
      <c r="X5" s="13"/>
    </row>
    <row r="6" spans="2:24" x14ac:dyDescent="0.2">
      <c r="B6" s="14"/>
      <c r="C6" s="395" t="s">
        <v>24</v>
      </c>
      <c r="D6" s="396"/>
      <c r="E6" s="396"/>
      <c r="F6" s="396" t="s">
        <v>25</v>
      </c>
      <c r="G6" s="396"/>
      <c r="H6" s="396"/>
      <c r="I6" s="396" t="s">
        <v>26</v>
      </c>
      <c r="J6" s="396"/>
      <c r="K6" s="396"/>
      <c r="L6" s="396" t="s">
        <v>27</v>
      </c>
      <c r="M6" s="396"/>
      <c r="N6" s="396"/>
      <c r="O6" s="396" t="s">
        <v>28</v>
      </c>
      <c r="P6" s="396"/>
      <c r="Q6" s="396"/>
      <c r="R6" s="396" t="s">
        <v>29</v>
      </c>
      <c r="S6" s="396"/>
      <c r="T6" s="380"/>
      <c r="U6" s="397" t="s">
        <v>2</v>
      </c>
      <c r="V6" s="398"/>
      <c r="W6" s="399"/>
      <c r="X6" s="15"/>
    </row>
    <row r="7" spans="2:24" x14ac:dyDescent="0.2">
      <c r="B7" s="16"/>
      <c r="C7" s="17" t="s">
        <v>0</v>
      </c>
      <c r="D7" s="18" t="s">
        <v>4</v>
      </c>
      <c r="E7" s="19" t="s">
        <v>1</v>
      </c>
      <c r="F7" s="20" t="s">
        <v>0</v>
      </c>
      <c r="G7" s="20" t="s">
        <v>4</v>
      </c>
      <c r="H7" s="21" t="s">
        <v>1</v>
      </c>
      <c r="I7" s="22" t="s">
        <v>0</v>
      </c>
      <c r="J7" s="20" t="s">
        <v>4</v>
      </c>
      <c r="K7" s="21" t="s">
        <v>1</v>
      </c>
      <c r="L7" s="22" t="s">
        <v>0</v>
      </c>
      <c r="M7" s="20" t="s">
        <v>4</v>
      </c>
      <c r="N7" s="21" t="s">
        <v>1</v>
      </c>
      <c r="O7" s="22" t="s">
        <v>0</v>
      </c>
      <c r="P7" s="20" t="s">
        <v>4</v>
      </c>
      <c r="Q7" s="21" t="s">
        <v>1</v>
      </c>
      <c r="R7" s="22" t="s">
        <v>0</v>
      </c>
      <c r="S7" s="20" t="s">
        <v>4</v>
      </c>
      <c r="T7" s="23" t="s">
        <v>1</v>
      </c>
      <c r="U7" s="24" t="s">
        <v>0</v>
      </c>
      <c r="V7" s="24" t="s">
        <v>4</v>
      </c>
      <c r="W7" s="25" t="s">
        <v>1</v>
      </c>
      <c r="X7" s="15"/>
    </row>
    <row r="8" spans="2:24" x14ac:dyDescent="0.2">
      <c r="B8" s="26"/>
      <c r="C8" s="16"/>
      <c r="D8" s="27"/>
      <c r="E8" s="28"/>
      <c r="F8" s="27"/>
      <c r="G8" s="27"/>
      <c r="H8" s="28"/>
      <c r="I8" s="29"/>
      <c r="J8" s="27"/>
      <c r="K8" s="28"/>
      <c r="L8" s="29"/>
      <c r="M8" s="27"/>
      <c r="N8" s="28"/>
      <c r="O8" s="29"/>
      <c r="P8" s="27"/>
      <c r="Q8" s="28"/>
      <c r="R8" s="27"/>
      <c r="S8" s="27"/>
      <c r="T8" s="27"/>
      <c r="U8" s="30"/>
      <c r="V8" s="31"/>
      <c r="W8" s="32"/>
      <c r="X8" s="33"/>
    </row>
    <row r="9" spans="2:24" x14ac:dyDescent="0.2">
      <c r="B9" s="16" t="s">
        <v>83</v>
      </c>
      <c r="C9" s="34">
        <f>QUANTITÀ!B8</f>
        <v>18863.320540150991</v>
      </c>
      <c r="D9" s="62">
        <f>PREZZI!B5</f>
        <v>180</v>
      </c>
      <c r="E9" s="65">
        <f>C9*D9</f>
        <v>3395397.6972271786</v>
      </c>
      <c r="F9" s="35">
        <f>QUANTITÀ!C8</f>
        <v>20959.245044612213</v>
      </c>
      <c r="G9" s="62">
        <f>PREZZI!C5</f>
        <v>180</v>
      </c>
      <c r="H9" s="65">
        <f>F9*G9</f>
        <v>3772664.1080301981</v>
      </c>
      <c r="I9" s="36">
        <f>QUANTITÀ!D8</f>
        <v>24103.131801304044</v>
      </c>
      <c r="J9" s="62">
        <f>PREZZI!D5</f>
        <v>180</v>
      </c>
      <c r="K9" s="65">
        <f>I9*J9</f>
        <v>4338563.7242347281</v>
      </c>
      <c r="L9" s="36">
        <f>QUANTITÀ!E8</f>
        <v>22007.207296842822</v>
      </c>
      <c r="M9" s="62">
        <f>PREZZI!E5</f>
        <v>180</v>
      </c>
      <c r="N9" s="65">
        <f>L9*M9</f>
        <v>3961297.3134317081</v>
      </c>
      <c r="O9" s="36">
        <f>QUANTITÀ!F8</f>
        <v>22007.207296842822</v>
      </c>
      <c r="P9" s="62">
        <f>PREZZI!F5</f>
        <v>180</v>
      </c>
      <c r="Q9" s="65">
        <f>O9*P9</f>
        <v>3961297.3134317081</v>
      </c>
      <c r="R9" s="35">
        <f>QUANTITÀ!G8</f>
        <v>23055.169549073435</v>
      </c>
      <c r="S9" s="62">
        <f>PREZZI!G5</f>
        <v>180</v>
      </c>
      <c r="T9" s="65">
        <f>R9*S9</f>
        <v>4149930.5188332181</v>
      </c>
      <c r="U9" s="37">
        <f>C9+F9+I9+L9+O9+R9</f>
        <v>130995.28152882634</v>
      </c>
      <c r="V9" s="67">
        <f>IFERROR(W9/U9,0)</f>
        <v>180.00000000000003</v>
      </c>
      <c r="W9" s="70">
        <f>E9+H9+K9+N9+Q9+T9</f>
        <v>23579150.675188743</v>
      </c>
      <c r="X9" s="38"/>
    </row>
    <row r="10" spans="2:24" x14ac:dyDescent="0.2">
      <c r="B10" s="16" t="s">
        <v>84</v>
      </c>
      <c r="C10" s="34">
        <f>QUANTITÀ!B9</f>
        <v>33131.005957446803</v>
      </c>
      <c r="D10" s="62">
        <f>PREZZI!B6</f>
        <v>180</v>
      </c>
      <c r="E10" s="65">
        <f>C10*D10</f>
        <v>5963581.0723404242</v>
      </c>
      <c r="F10" s="35">
        <f>QUANTITÀ!C9</f>
        <v>36812.228841607561</v>
      </c>
      <c r="G10" s="62">
        <f>PREZZI!C6</f>
        <v>180</v>
      </c>
      <c r="H10" s="65">
        <f>F10*G10</f>
        <v>6626201.1914893612</v>
      </c>
      <c r="I10" s="36">
        <f>QUANTITÀ!D9</f>
        <v>42334.063167848697</v>
      </c>
      <c r="J10" s="62">
        <f>PREZZI!D6</f>
        <v>180</v>
      </c>
      <c r="K10" s="65">
        <f>I10*J10</f>
        <v>7620131.3702127654</v>
      </c>
      <c r="L10" s="36">
        <f>QUANTITÀ!E9</f>
        <v>38652.84028368794</v>
      </c>
      <c r="M10" s="62">
        <f>PREZZI!E6</f>
        <v>180</v>
      </c>
      <c r="N10" s="65">
        <f>L10*M10</f>
        <v>6957511.2510638293</v>
      </c>
      <c r="O10" s="36">
        <f>QUANTITÀ!F9</f>
        <v>38652.84028368794</v>
      </c>
      <c r="P10" s="62">
        <f>PREZZI!F6</f>
        <v>180</v>
      </c>
      <c r="Q10" s="65">
        <f>O10*P10</f>
        <v>6957511.2510638293</v>
      </c>
      <c r="R10" s="35">
        <f>QUANTITÀ!G9</f>
        <v>40493.451725768318</v>
      </c>
      <c r="S10" s="62">
        <f>PREZZI!G6</f>
        <v>180</v>
      </c>
      <c r="T10" s="65">
        <f>R10*S10</f>
        <v>7288821.3106382973</v>
      </c>
      <c r="U10" s="37">
        <f>C10+F10+I10+L10+O10+R10</f>
        <v>230076.43026004726</v>
      </c>
      <c r="V10" s="67">
        <f t="shared" ref="V10:V12" si="0">IFERROR(W10/U10,0)</f>
        <v>180.00000000000006</v>
      </c>
      <c r="W10" s="70">
        <f>E10+H10+K10+N10+Q10+T10</f>
        <v>41413757.446808517</v>
      </c>
      <c r="X10" s="38"/>
    </row>
    <row r="11" spans="2:24" x14ac:dyDescent="0.2">
      <c r="B11" s="39" t="s">
        <v>85</v>
      </c>
      <c r="C11" s="34">
        <f>QUANTITÀ!B10</f>
        <v>293.61702127659601</v>
      </c>
      <c r="D11" s="62">
        <f>PREZZI!B7</f>
        <v>180</v>
      </c>
      <c r="E11" s="65">
        <f>C11*D11</f>
        <v>52851.063829787279</v>
      </c>
      <c r="F11" s="35">
        <f>QUANTITÀ!C10</f>
        <v>326.2411347517733</v>
      </c>
      <c r="G11" s="62">
        <f>PREZZI!C7</f>
        <v>180</v>
      </c>
      <c r="H11" s="65">
        <f>F11*G11</f>
        <v>58723.404255319198</v>
      </c>
      <c r="I11" s="36">
        <f>QUANTITÀ!D10</f>
        <v>375.1773049645393</v>
      </c>
      <c r="J11" s="62">
        <f>PREZZI!D7</f>
        <v>180</v>
      </c>
      <c r="K11" s="65">
        <f>I11*J11</f>
        <v>67531.914893617068</v>
      </c>
      <c r="L11" s="36">
        <f>QUANTITÀ!E10</f>
        <v>342.55319148936201</v>
      </c>
      <c r="M11" s="62">
        <f>PREZZI!E7</f>
        <v>180</v>
      </c>
      <c r="N11" s="65">
        <f>L11*M11</f>
        <v>61659.574468085164</v>
      </c>
      <c r="O11" s="36">
        <f>QUANTITÀ!F10</f>
        <v>342.55319148936201</v>
      </c>
      <c r="P11" s="62">
        <f>PREZZI!F7</f>
        <v>180</v>
      </c>
      <c r="Q11" s="65">
        <f>O11*P11</f>
        <v>61659.574468085164</v>
      </c>
      <c r="R11" s="35">
        <f>QUANTITÀ!G10</f>
        <v>358.86524822695065</v>
      </c>
      <c r="S11" s="62">
        <f>PREZZI!G7</f>
        <v>180</v>
      </c>
      <c r="T11" s="65">
        <f>R11*S11</f>
        <v>64595.744680851116</v>
      </c>
      <c r="U11" s="37">
        <f>C11+F11+I11+L11+O11+R11</f>
        <v>2039.0070921985832</v>
      </c>
      <c r="V11" s="67">
        <f t="shared" si="0"/>
        <v>180</v>
      </c>
      <c r="W11" s="70">
        <f>E11+H11+K11+N11+Q11+T11</f>
        <v>367021.276595745</v>
      </c>
      <c r="X11" s="38"/>
    </row>
    <row r="12" spans="2:24" s="10" customFormat="1" ht="17" thickBot="1" x14ac:dyDescent="0.25">
      <c r="B12" s="40" t="s">
        <v>73</v>
      </c>
      <c r="C12" s="41">
        <f>SUM(C9:C11)</f>
        <v>52287.943518874388</v>
      </c>
      <c r="D12" s="63">
        <f>E12/C12</f>
        <v>180</v>
      </c>
      <c r="E12" s="66">
        <f>SUM(E9:E11)</f>
        <v>9411829.8333973903</v>
      </c>
      <c r="F12" s="42">
        <f>SUM(F9:F11)</f>
        <v>58097.71502097154</v>
      </c>
      <c r="G12" s="63">
        <f>H12/F12</f>
        <v>180.00000000000003</v>
      </c>
      <c r="H12" s="66">
        <f>SUM(H9:H11)</f>
        <v>10457588.703774879</v>
      </c>
      <c r="I12" s="43">
        <f>SUM(I9:I11)</f>
        <v>66812.372274117282</v>
      </c>
      <c r="J12" s="63">
        <f>K12/I12</f>
        <v>180</v>
      </c>
      <c r="K12" s="66">
        <f>SUM(K9:K11)</f>
        <v>12026227.009341111</v>
      </c>
      <c r="L12" s="43">
        <f>SUM(L9:L11)</f>
        <v>61002.600772020131</v>
      </c>
      <c r="M12" s="63">
        <f>N12/L12</f>
        <v>180</v>
      </c>
      <c r="N12" s="66">
        <f>SUM(N9:N11)</f>
        <v>10980468.138963623</v>
      </c>
      <c r="O12" s="43">
        <f>SUM(O9:O11)</f>
        <v>61002.600772020131</v>
      </c>
      <c r="P12" s="63">
        <f>Q12/O12</f>
        <v>180</v>
      </c>
      <c r="Q12" s="66">
        <f>SUM(Q9:Q11)</f>
        <v>10980468.138963623</v>
      </c>
      <c r="R12" s="42">
        <f>SUM(R9:R11)</f>
        <v>63907.486523068706</v>
      </c>
      <c r="S12" s="63">
        <f>T12/R12</f>
        <v>180</v>
      </c>
      <c r="T12" s="66">
        <f>SUM(T9:T11)</f>
        <v>11503347.574152367</v>
      </c>
      <c r="U12" s="41">
        <f>SUM(U9:U11)</f>
        <v>363110.71888107219</v>
      </c>
      <c r="V12" s="68">
        <f t="shared" si="0"/>
        <v>180.00000000000003</v>
      </c>
      <c r="W12" s="71">
        <f>SUM(W9:W11)</f>
        <v>65359929.398593001</v>
      </c>
      <c r="X12" s="44"/>
    </row>
    <row r="13" spans="2:24" x14ac:dyDescent="0.2">
      <c r="B13" s="16"/>
      <c r="C13" s="16"/>
      <c r="D13" s="62"/>
      <c r="E13" s="65"/>
      <c r="F13" s="27"/>
      <c r="G13" s="62"/>
      <c r="H13" s="65"/>
      <c r="I13" s="29"/>
      <c r="J13" s="62"/>
      <c r="K13" s="65"/>
      <c r="L13" s="29"/>
      <c r="M13" s="62"/>
      <c r="N13" s="65"/>
      <c r="O13" s="29"/>
      <c r="P13" s="62"/>
      <c r="Q13" s="65"/>
      <c r="R13" s="27"/>
      <c r="S13" s="62"/>
      <c r="T13" s="65"/>
      <c r="U13" s="30"/>
      <c r="V13" s="69"/>
      <c r="W13" s="70"/>
      <c r="X13" s="33"/>
    </row>
    <row r="14" spans="2:24" x14ac:dyDescent="0.2">
      <c r="B14" s="26"/>
      <c r="C14" s="16"/>
      <c r="D14" s="62"/>
      <c r="E14" s="65"/>
      <c r="F14" s="27"/>
      <c r="G14" s="62"/>
      <c r="H14" s="65"/>
      <c r="I14" s="29"/>
      <c r="J14" s="62"/>
      <c r="K14" s="65"/>
      <c r="L14" s="29"/>
      <c r="M14" s="62"/>
      <c r="N14" s="65"/>
      <c r="O14" s="29"/>
      <c r="P14" s="62"/>
      <c r="Q14" s="65"/>
      <c r="R14" s="27"/>
      <c r="S14" s="62"/>
      <c r="T14" s="65"/>
      <c r="U14" s="30"/>
      <c r="V14" s="69"/>
      <c r="W14" s="70"/>
      <c r="X14" s="33"/>
    </row>
    <row r="15" spans="2:24" x14ac:dyDescent="0.2">
      <c r="B15" s="16" t="s">
        <v>83</v>
      </c>
      <c r="C15" s="34">
        <f>QUANTITÀ!B15</f>
        <v>1198.375657844887</v>
      </c>
      <c r="D15" s="62">
        <f>PREZZI!B12</f>
        <v>500</v>
      </c>
      <c r="E15" s="65">
        <f>C15*D15</f>
        <v>599187.82892244344</v>
      </c>
      <c r="F15" s="35">
        <f>QUANTITÀ!C15</f>
        <v>1331.528508716541</v>
      </c>
      <c r="G15" s="62">
        <f>PREZZI!C12</f>
        <v>500</v>
      </c>
      <c r="H15" s="65">
        <f>F15*G15</f>
        <v>665764.25435827044</v>
      </c>
      <c r="I15" s="36">
        <f>QUANTITÀ!D15</f>
        <v>1531.257785024022</v>
      </c>
      <c r="J15" s="62">
        <f>PREZZI!D12</f>
        <v>500</v>
      </c>
      <c r="K15" s="65">
        <f>I15*J15</f>
        <v>765628.89251201099</v>
      </c>
      <c r="L15" s="36">
        <f>QUANTITÀ!E15</f>
        <v>1398.1049341523681</v>
      </c>
      <c r="M15" s="62">
        <f>PREZZI!E12</f>
        <v>500</v>
      </c>
      <c r="N15" s="65">
        <f>L15*M15</f>
        <v>699052.467076184</v>
      </c>
      <c r="O15" s="36">
        <f>QUANTITÀ!F15</f>
        <v>1398.1049341523681</v>
      </c>
      <c r="P15" s="62">
        <f>PREZZI!F12</f>
        <v>500</v>
      </c>
      <c r="Q15" s="65">
        <f>O15*P15</f>
        <v>699052.467076184</v>
      </c>
      <c r="R15" s="35">
        <f>QUANTITÀ!G15</f>
        <v>1464.6813595881949</v>
      </c>
      <c r="S15" s="62">
        <f>PREZZI!G12</f>
        <v>500</v>
      </c>
      <c r="T15" s="65">
        <f>R15*S15</f>
        <v>732340.67979409744</v>
      </c>
      <c r="U15" s="37">
        <f>C15+F15+I15+L15+O15+R15</f>
        <v>8322.0531794783819</v>
      </c>
      <c r="V15" s="67">
        <f>IFERROR(W15/U15,0)</f>
        <v>499.99999999999994</v>
      </c>
      <c r="W15" s="70">
        <f>E15+H15+K15+N15+Q15+T15</f>
        <v>4161026.5897391904</v>
      </c>
      <c r="X15" s="38"/>
    </row>
    <row r="16" spans="2:24" x14ac:dyDescent="0.2">
      <c r="B16" s="16" t="s">
        <v>84</v>
      </c>
      <c r="C16" s="34">
        <f>QUANTITÀ!B16</f>
        <v>0</v>
      </c>
      <c r="D16" s="62">
        <f>PREZZI!B13</f>
        <v>500</v>
      </c>
      <c r="E16" s="65">
        <f>C16*D16</f>
        <v>0</v>
      </c>
      <c r="F16" s="35">
        <f>QUANTITÀ!C16</f>
        <v>0</v>
      </c>
      <c r="G16" s="62">
        <f>PREZZI!C13</f>
        <v>500</v>
      </c>
      <c r="H16" s="65">
        <f>F16*G16</f>
        <v>0</v>
      </c>
      <c r="I16" s="36">
        <f>QUANTITÀ!D16</f>
        <v>0</v>
      </c>
      <c r="J16" s="62">
        <f>PREZZI!D13</f>
        <v>500</v>
      </c>
      <c r="K16" s="65">
        <f>I16*J16</f>
        <v>0</v>
      </c>
      <c r="L16" s="36">
        <f>QUANTITÀ!E16</f>
        <v>0</v>
      </c>
      <c r="M16" s="62">
        <f>PREZZI!E13</f>
        <v>500</v>
      </c>
      <c r="N16" s="65">
        <f>L16*M16</f>
        <v>0</v>
      </c>
      <c r="O16" s="36">
        <f>QUANTITÀ!F16</f>
        <v>0</v>
      </c>
      <c r="P16" s="62">
        <f>PREZZI!F13</f>
        <v>500</v>
      </c>
      <c r="Q16" s="65">
        <f>O16*P16</f>
        <v>0</v>
      </c>
      <c r="R16" s="35">
        <f>QUANTITÀ!G16</f>
        <v>0</v>
      </c>
      <c r="S16" s="62">
        <f>PREZZI!G13</f>
        <v>500</v>
      </c>
      <c r="T16" s="65">
        <f>R16*S16</f>
        <v>0</v>
      </c>
      <c r="U16" s="37">
        <f>C16+F16+I16+L16+O16+R16</f>
        <v>0</v>
      </c>
      <c r="V16" s="67">
        <f t="shared" ref="V16:V18" si="1">IFERROR(W16/U16,0)</f>
        <v>0</v>
      </c>
      <c r="W16" s="70">
        <f>E16+H16+K16+N16+Q16+T16</f>
        <v>0</v>
      </c>
      <c r="X16" s="38"/>
    </row>
    <row r="17" spans="2:111" x14ac:dyDescent="0.2">
      <c r="B17" s="39" t="s">
        <v>85</v>
      </c>
      <c r="C17" s="34">
        <f>QUANTITÀ!B17</f>
        <v>2008.3404255319151</v>
      </c>
      <c r="D17" s="62">
        <f>PREZZI!B14</f>
        <v>500</v>
      </c>
      <c r="E17" s="65">
        <f>C17*D17</f>
        <v>1004170.2127659576</v>
      </c>
      <c r="F17" s="35">
        <f>QUANTITÀ!C17</f>
        <v>2231.489361702128</v>
      </c>
      <c r="G17" s="62">
        <f>PREZZI!C14</f>
        <v>500</v>
      </c>
      <c r="H17" s="65">
        <f>F17*G17</f>
        <v>1115744.6808510639</v>
      </c>
      <c r="I17" s="36">
        <f>QUANTITÀ!D17</f>
        <v>2566.2127659574471</v>
      </c>
      <c r="J17" s="62">
        <f>PREZZI!D14</f>
        <v>500</v>
      </c>
      <c r="K17" s="65">
        <f>I17*J17</f>
        <v>1283106.3829787236</v>
      </c>
      <c r="L17" s="36">
        <f>QUANTITÀ!E17</f>
        <v>2343.0638297872342</v>
      </c>
      <c r="M17" s="62">
        <f>PREZZI!E14</f>
        <v>500</v>
      </c>
      <c r="N17" s="65">
        <f>L17*M17</f>
        <v>1171531.9148936172</v>
      </c>
      <c r="O17" s="36">
        <f>QUANTITÀ!F17</f>
        <v>2343.0638297872342</v>
      </c>
      <c r="P17" s="62">
        <f>PREZZI!F14</f>
        <v>500</v>
      </c>
      <c r="Q17" s="65">
        <f>O17*P17</f>
        <v>1171531.9148936172</v>
      </c>
      <c r="R17" s="35">
        <f>QUANTITÀ!G17</f>
        <v>2454.6382978723404</v>
      </c>
      <c r="S17" s="62">
        <f>PREZZI!G14</f>
        <v>500</v>
      </c>
      <c r="T17" s="65">
        <f>R17*S17</f>
        <v>1227319.1489361702</v>
      </c>
      <c r="U17" s="37">
        <f>C17+F17+I17+L17+O17+R17</f>
        <v>13946.808510638297</v>
      </c>
      <c r="V17" s="67">
        <f t="shared" si="1"/>
        <v>500.00000000000006</v>
      </c>
      <c r="W17" s="70">
        <f>E17+H17+K17+N17+Q17+T17</f>
        <v>6973404.2553191492</v>
      </c>
      <c r="X17" s="38"/>
    </row>
    <row r="18" spans="2:111" ht="17" thickBot="1" x14ac:dyDescent="0.25">
      <c r="B18" s="40" t="s">
        <v>74</v>
      </c>
      <c r="C18" s="41">
        <f>SUM(C15:C17)</f>
        <v>3206.7160833768021</v>
      </c>
      <c r="D18" s="63">
        <f>E18/C18</f>
        <v>500</v>
      </c>
      <c r="E18" s="66">
        <f>SUM(E15:E17)</f>
        <v>1603358.041688401</v>
      </c>
      <c r="F18" s="42">
        <f>SUM(F15:F17)</f>
        <v>3563.0178704186692</v>
      </c>
      <c r="G18" s="63">
        <f>H18/F18</f>
        <v>499.99999999999994</v>
      </c>
      <c r="H18" s="66">
        <f>SUM(H15:H17)</f>
        <v>1781508.9352093344</v>
      </c>
      <c r="I18" s="43">
        <f>SUM(I15:I17)</f>
        <v>4097.4705509814694</v>
      </c>
      <c r="J18" s="63">
        <f>K18/I18</f>
        <v>500</v>
      </c>
      <c r="K18" s="66">
        <f>SUM(K15:K17)</f>
        <v>2048735.2754907347</v>
      </c>
      <c r="L18" s="43">
        <f>SUM(L15:L17)</f>
        <v>3741.1687639396023</v>
      </c>
      <c r="M18" s="63">
        <f>N18/L18</f>
        <v>500</v>
      </c>
      <c r="N18" s="66">
        <f>SUM(N15:N17)</f>
        <v>1870584.3819698012</v>
      </c>
      <c r="O18" s="43">
        <f>SUM(O15:O17)</f>
        <v>3741.1687639396023</v>
      </c>
      <c r="P18" s="63">
        <f>Q18/O18</f>
        <v>500</v>
      </c>
      <c r="Q18" s="66">
        <f>SUM(Q15:Q17)</f>
        <v>1870584.3819698012</v>
      </c>
      <c r="R18" s="42">
        <f>SUM(R15:R17)</f>
        <v>3919.3196574605354</v>
      </c>
      <c r="S18" s="63">
        <f>T18/R18</f>
        <v>499.99999999999994</v>
      </c>
      <c r="T18" s="66">
        <f>SUM(T15:T17)</f>
        <v>1959659.8287302675</v>
      </c>
      <c r="U18" s="41">
        <f>SUM(U15:U17)</f>
        <v>22268.861690116679</v>
      </c>
      <c r="V18" s="68">
        <f t="shared" si="1"/>
        <v>500.00000000000006</v>
      </c>
      <c r="W18" s="71">
        <f>SUM(W15:W17)</f>
        <v>11134430.845058341</v>
      </c>
      <c r="X18" s="44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</row>
    <row r="19" spans="2:111" x14ac:dyDescent="0.2">
      <c r="B19" s="16"/>
      <c r="C19" s="16"/>
      <c r="D19" s="62"/>
      <c r="E19" s="65"/>
      <c r="F19" s="27"/>
      <c r="G19" s="62"/>
      <c r="H19" s="65"/>
      <c r="I19" s="29"/>
      <c r="J19" s="62"/>
      <c r="K19" s="65"/>
      <c r="L19" s="29"/>
      <c r="M19" s="62"/>
      <c r="N19" s="65"/>
      <c r="O19" s="29"/>
      <c r="P19" s="62"/>
      <c r="Q19" s="65"/>
      <c r="R19" s="27"/>
      <c r="S19" s="62"/>
      <c r="T19" s="65"/>
      <c r="U19" s="30"/>
      <c r="V19" s="69"/>
      <c r="W19" s="70"/>
      <c r="X19" s="44"/>
      <c r="Y19" s="47"/>
      <c r="Z19" s="48"/>
      <c r="AA19" s="48"/>
    </row>
    <row r="20" spans="2:111" x14ac:dyDescent="0.2">
      <c r="B20" s="26"/>
      <c r="C20" s="16"/>
      <c r="D20" s="62"/>
      <c r="E20" s="65"/>
      <c r="F20" s="27"/>
      <c r="G20" s="62"/>
      <c r="H20" s="65"/>
      <c r="I20" s="29"/>
      <c r="J20" s="62"/>
      <c r="K20" s="65"/>
      <c r="L20" s="29"/>
      <c r="M20" s="62"/>
      <c r="N20" s="65"/>
      <c r="O20" s="29"/>
      <c r="P20" s="62"/>
      <c r="Q20" s="65"/>
      <c r="R20" s="27"/>
      <c r="S20" s="62"/>
      <c r="T20" s="65"/>
      <c r="U20" s="30"/>
      <c r="V20" s="69"/>
      <c r="W20" s="70"/>
      <c r="X20" s="44"/>
      <c r="Y20" s="47"/>
      <c r="Z20" s="48"/>
      <c r="AA20" s="48"/>
    </row>
    <row r="21" spans="2:111" x14ac:dyDescent="0.2">
      <c r="B21" s="16" t="s">
        <v>83</v>
      </c>
      <c r="C21" s="45">
        <f>C9+C15</f>
        <v>20061.69619799588</v>
      </c>
      <c r="D21" s="64">
        <f>E21/C21</f>
        <v>199.11504424778761</v>
      </c>
      <c r="E21" s="65">
        <f>E9+E15</f>
        <v>3994585.5261496222</v>
      </c>
      <c r="F21" s="45">
        <f>F9+F15</f>
        <v>22290.773553328752</v>
      </c>
      <c r="G21" s="64">
        <f>H21/F21</f>
        <v>199.11504424778761</v>
      </c>
      <c r="H21" s="65">
        <f>H9+H15</f>
        <v>4438428.3623884683</v>
      </c>
      <c r="I21" s="45">
        <f>I9+I15</f>
        <v>25634.389586328067</v>
      </c>
      <c r="J21" s="64">
        <f>K21/I21</f>
        <v>199.11504424778764</v>
      </c>
      <c r="K21" s="65">
        <f>K9+K15</f>
        <v>5104192.6167467395</v>
      </c>
      <c r="L21" s="45">
        <f>L9+L15</f>
        <v>23405.31223099519</v>
      </c>
      <c r="M21" s="64">
        <f>N21/L21</f>
        <v>199.11504424778764</v>
      </c>
      <c r="N21" s="65">
        <f>N9+N15</f>
        <v>4660349.7805078924</v>
      </c>
      <c r="O21" s="45">
        <f>O9+O15</f>
        <v>23405.31223099519</v>
      </c>
      <c r="P21" s="64">
        <f>Q21/O21</f>
        <v>199.11504424778764</v>
      </c>
      <c r="Q21" s="65">
        <f>Q9+Q15</f>
        <v>4660349.7805078924</v>
      </c>
      <c r="R21" s="45">
        <f>R9+R15</f>
        <v>24519.850908661629</v>
      </c>
      <c r="S21" s="64">
        <f>T21/R21</f>
        <v>199.11504424778761</v>
      </c>
      <c r="T21" s="65">
        <f>T9+T15</f>
        <v>4882271.1986273155</v>
      </c>
      <c r="U21" s="37">
        <f>C21+F21+I21+L21+O21+R21</f>
        <v>139317.3347083047</v>
      </c>
      <c r="V21" s="67">
        <f>IFERROR(W21/U21,0)</f>
        <v>199.11504424778764</v>
      </c>
      <c r="W21" s="70">
        <f>E21+H21+K21+N21+Q21+T21</f>
        <v>27740177.264927931</v>
      </c>
      <c r="X21" s="44"/>
      <c r="Y21" s="47"/>
      <c r="Z21" s="48"/>
      <c r="AA21" s="48"/>
    </row>
    <row r="22" spans="2:111" x14ac:dyDescent="0.2">
      <c r="B22" s="16" t="s">
        <v>84</v>
      </c>
      <c r="C22" s="45">
        <f t="shared" ref="C22:C23" si="2">C10+C16</f>
        <v>33131.005957446803</v>
      </c>
      <c r="D22" s="64">
        <f>E22/C22</f>
        <v>180</v>
      </c>
      <c r="E22" s="65">
        <f t="shared" ref="E22:F23" si="3">E10+E16</f>
        <v>5963581.0723404242</v>
      </c>
      <c r="F22" s="45">
        <f t="shared" si="3"/>
        <v>36812.228841607561</v>
      </c>
      <c r="G22" s="64">
        <f>H22/F22</f>
        <v>180</v>
      </c>
      <c r="H22" s="65">
        <f t="shared" ref="H22:I23" si="4">H10+H16</f>
        <v>6626201.1914893612</v>
      </c>
      <c r="I22" s="45">
        <f t="shared" si="4"/>
        <v>42334.063167848697</v>
      </c>
      <c r="J22" s="64">
        <f>K22/I22</f>
        <v>180</v>
      </c>
      <c r="K22" s="65">
        <f t="shared" ref="K22:L23" si="5">K10+K16</f>
        <v>7620131.3702127654</v>
      </c>
      <c r="L22" s="45">
        <f t="shared" si="5"/>
        <v>38652.84028368794</v>
      </c>
      <c r="M22" s="64">
        <f>N22/L22</f>
        <v>180</v>
      </c>
      <c r="N22" s="65">
        <f t="shared" ref="N22:O23" si="6">N10+N16</f>
        <v>6957511.2510638293</v>
      </c>
      <c r="O22" s="45">
        <f t="shared" si="6"/>
        <v>38652.84028368794</v>
      </c>
      <c r="P22" s="64">
        <f>Q22/O22</f>
        <v>180</v>
      </c>
      <c r="Q22" s="65">
        <f t="shared" ref="Q22:R23" si="7">Q10+Q16</f>
        <v>6957511.2510638293</v>
      </c>
      <c r="R22" s="45">
        <f t="shared" si="7"/>
        <v>40493.451725768318</v>
      </c>
      <c r="S22" s="64">
        <f>T22/R22</f>
        <v>180</v>
      </c>
      <c r="T22" s="65">
        <f t="shared" ref="T22" si="8">T10+T16</f>
        <v>7288821.3106382973</v>
      </c>
      <c r="U22" s="37">
        <f>C22+F22+I22+L22+O22+R22</f>
        <v>230076.43026004726</v>
      </c>
      <c r="V22" s="67">
        <f t="shared" ref="V22:V24" si="9">IFERROR(W22/U22,0)</f>
        <v>180.00000000000006</v>
      </c>
      <c r="W22" s="70">
        <f>E22+H22+K22+N22+Q22+T22</f>
        <v>41413757.446808517</v>
      </c>
      <c r="X22" s="44"/>
      <c r="Y22" s="47"/>
      <c r="Z22" s="48"/>
      <c r="AA22" s="48"/>
    </row>
    <row r="23" spans="2:111" x14ac:dyDescent="0.2">
      <c r="B23" s="39" t="s">
        <v>85</v>
      </c>
      <c r="C23" s="45">
        <f t="shared" si="2"/>
        <v>2301.9574468085111</v>
      </c>
      <c r="D23" s="64">
        <f>E23/C23</f>
        <v>459.18367346938771</v>
      </c>
      <c r="E23" s="65">
        <f t="shared" si="3"/>
        <v>1057021.2765957448</v>
      </c>
      <c r="F23" s="45">
        <f t="shared" si="3"/>
        <v>2557.7304964539012</v>
      </c>
      <c r="G23" s="64">
        <f>H23/F23</f>
        <v>459.18367346938771</v>
      </c>
      <c r="H23" s="65">
        <f t="shared" ref="H23" si="10">H11+H17</f>
        <v>1174468.0851063831</v>
      </c>
      <c r="I23" s="45">
        <f t="shared" si="4"/>
        <v>2941.3900709219865</v>
      </c>
      <c r="J23" s="64">
        <f>K23/I23</f>
        <v>459.18367346938777</v>
      </c>
      <c r="K23" s="65">
        <f t="shared" ref="K23" si="11">K11+K17</f>
        <v>1350638.2978723408</v>
      </c>
      <c r="L23" s="45">
        <f t="shared" si="5"/>
        <v>2685.6170212765965</v>
      </c>
      <c r="M23" s="64">
        <f>N23/L23</f>
        <v>459.18367346938766</v>
      </c>
      <c r="N23" s="65">
        <f t="shared" ref="N23" si="12">N11+N17</f>
        <v>1233191.4893617022</v>
      </c>
      <c r="O23" s="45">
        <f t="shared" si="6"/>
        <v>2685.6170212765965</v>
      </c>
      <c r="P23" s="64">
        <f>Q23/O23</f>
        <v>459.18367346938766</v>
      </c>
      <c r="Q23" s="65">
        <f t="shared" ref="Q23" si="13">Q11+Q17</f>
        <v>1233191.4893617022</v>
      </c>
      <c r="R23" s="45">
        <f t="shared" si="7"/>
        <v>2813.5035460992913</v>
      </c>
      <c r="S23" s="64">
        <f>T23/R23</f>
        <v>459.18367346938771</v>
      </c>
      <c r="T23" s="65">
        <f t="shared" ref="T23" si="14">T11+T17</f>
        <v>1291914.8936170214</v>
      </c>
      <c r="U23" s="37">
        <f>C23+F23+I23+L23+O23+R23</f>
        <v>15985.815602836883</v>
      </c>
      <c r="V23" s="67">
        <f t="shared" si="9"/>
        <v>459.18367346938777</v>
      </c>
      <c r="W23" s="70">
        <f>E23+H23+K23+N23+Q23+T23</f>
        <v>7340425.5319148954</v>
      </c>
      <c r="X23" s="44"/>
      <c r="Y23" s="47"/>
      <c r="Z23" s="48"/>
      <c r="AA23" s="48"/>
    </row>
    <row r="24" spans="2:111" ht="17" thickBot="1" x14ac:dyDescent="0.25">
      <c r="B24" s="40" t="s">
        <v>3</v>
      </c>
      <c r="C24" s="41">
        <f>SUM(C21:C23)</f>
        <v>55494.659602251195</v>
      </c>
      <c r="D24" s="63">
        <f>E24/C24</f>
        <v>198.49095307612177</v>
      </c>
      <c r="E24" s="66">
        <f>SUM(E21:E23)</f>
        <v>11015187.875085792</v>
      </c>
      <c r="F24" s="41">
        <f>SUM(F21:F23)</f>
        <v>61660.732891390209</v>
      </c>
      <c r="G24" s="63">
        <f>H24/F24</f>
        <v>198.4909530761218</v>
      </c>
      <c r="H24" s="66">
        <f>SUM(H21:H23)</f>
        <v>12239097.638984215</v>
      </c>
      <c r="I24" s="41">
        <f>SUM(I21:I23)</f>
        <v>70909.842825098749</v>
      </c>
      <c r="J24" s="63">
        <f>K24/I24</f>
        <v>198.49095307612177</v>
      </c>
      <c r="K24" s="66">
        <f>SUM(K21:K23)</f>
        <v>14074962.284831846</v>
      </c>
      <c r="L24" s="41">
        <f>SUM(L21:L23)</f>
        <v>64743.76953595972</v>
      </c>
      <c r="M24" s="63">
        <f>N24/L24</f>
        <v>198.49095307612177</v>
      </c>
      <c r="N24" s="66">
        <f>SUM(N21:N23)</f>
        <v>12851052.520933423</v>
      </c>
      <c r="O24" s="41">
        <f>SUM(O21:O23)</f>
        <v>64743.76953595972</v>
      </c>
      <c r="P24" s="63">
        <f>Q24/O24</f>
        <v>198.49095307612177</v>
      </c>
      <c r="Q24" s="66">
        <f>SUM(Q21:Q23)</f>
        <v>12851052.520933423</v>
      </c>
      <c r="R24" s="41">
        <f>SUM(R21:R23)</f>
        <v>67826.806180529238</v>
      </c>
      <c r="S24" s="63">
        <f>T24/R24</f>
        <v>198.49095307612174</v>
      </c>
      <c r="T24" s="66">
        <f>SUM(T21:T23)</f>
        <v>13463007.402882634</v>
      </c>
      <c r="U24" s="41">
        <f>SUM(U21:U23)</f>
        <v>385379.58057118882</v>
      </c>
      <c r="V24" s="68">
        <f t="shared" si="9"/>
        <v>198.49095307612177</v>
      </c>
      <c r="W24" s="71">
        <f>SUM(W21:W23)</f>
        <v>76494360.24365133</v>
      </c>
      <c r="X24" s="44"/>
      <c r="Y24" s="47"/>
      <c r="Z24" s="48"/>
      <c r="AA24" s="48"/>
    </row>
    <row r="25" spans="2:111" x14ac:dyDescent="0.2"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44"/>
      <c r="Y25" s="47"/>
      <c r="Z25" s="48"/>
      <c r="AA25" s="48"/>
    </row>
    <row r="26" spans="2:111" x14ac:dyDescent="0.2"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44"/>
      <c r="Y26" s="47"/>
      <c r="Z26" s="48"/>
      <c r="AA26" s="48"/>
    </row>
    <row r="27" spans="2:111" x14ac:dyDescent="0.2">
      <c r="W27" s="47"/>
    </row>
    <row r="28" spans="2:111" ht="17" thickBot="1" x14ac:dyDescent="0.25"/>
    <row r="29" spans="2:111" x14ac:dyDescent="0.2">
      <c r="B29" s="12"/>
      <c r="C29" s="392" t="s">
        <v>80</v>
      </c>
      <c r="D29" s="393"/>
      <c r="E29" s="393"/>
      <c r="F29" s="393"/>
      <c r="G29" s="393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  <c r="T29" s="393"/>
      <c r="U29" s="393"/>
      <c r="V29" s="393"/>
      <c r="W29" s="394"/>
      <c r="X29" s="13"/>
      <c r="Y29" s="403" t="s">
        <v>3</v>
      </c>
      <c r="Z29" s="404"/>
      <c r="AA29" s="405"/>
    </row>
    <row r="30" spans="2:111" x14ac:dyDescent="0.2">
      <c r="B30" s="14"/>
      <c r="C30" s="409" t="s">
        <v>18</v>
      </c>
      <c r="D30" s="381"/>
      <c r="E30" s="382"/>
      <c r="F30" s="400" t="s">
        <v>19</v>
      </c>
      <c r="G30" s="401"/>
      <c r="H30" s="402"/>
      <c r="I30" s="400" t="s">
        <v>20</v>
      </c>
      <c r="J30" s="401"/>
      <c r="K30" s="402"/>
      <c r="L30" s="400" t="s">
        <v>21</v>
      </c>
      <c r="M30" s="401"/>
      <c r="N30" s="402"/>
      <c r="O30" s="400" t="s">
        <v>22</v>
      </c>
      <c r="P30" s="401"/>
      <c r="Q30" s="402"/>
      <c r="R30" s="400" t="s">
        <v>23</v>
      </c>
      <c r="S30" s="401"/>
      <c r="T30" s="402"/>
      <c r="U30" s="397" t="s">
        <v>160</v>
      </c>
      <c r="V30" s="398"/>
      <c r="W30" s="399"/>
      <c r="X30" s="15"/>
      <c r="Y30" s="406"/>
      <c r="Z30" s="407"/>
      <c r="AA30" s="408"/>
    </row>
    <row r="31" spans="2:111" x14ac:dyDescent="0.2">
      <c r="B31" s="16"/>
      <c r="C31" s="17" t="s">
        <v>0</v>
      </c>
      <c r="D31" s="18" t="s">
        <v>4</v>
      </c>
      <c r="E31" s="19" t="s">
        <v>1</v>
      </c>
      <c r="F31" s="20" t="s">
        <v>0</v>
      </c>
      <c r="G31" s="20" t="s">
        <v>4</v>
      </c>
      <c r="H31" s="21" t="s">
        <v>1</v>
      </c>
      <c r="I31" s="22" t="s">
        <v>0</v>
      </c>
      <c r="J31" s="20" t="s">
        <v>4</v>
      </c>
      <c r="K31" s="21" t="s">
        <v>1</v>
      </c>
      <c r="L31" s="22" t="s">
        <v>0</v>
      </c>
      <c r="M31" s="20" t="s">
        <v>4</v>
      </c>
      <c r="N31" s="21" t="s">
        <v>1</v>
      </c>
      <c r="O31" s="22" t="s">
        <v>0</v>
      </c>
      <c r="P31" s="20" t="s">
        <v>4</v>
      </c>
      <c r="Q31" s="21" t="s">
        <v>1</v>
      </c>
      <c r="R31" s="22" t="s">
        <v>0</v>
      </c>
      <c r="S31" s="20" t="s">
        <v>4</v>
      </c>
      <c r="T31" s="23" t="s">
        <v>1</v>
      </c>
      <c r="U31" s="24" t="s">
        <v>0</v>
      </c>
      <c r="V31" s="24" t="s">
        <v>4</v>
      </c>
      <c r="W31" s="25" t="s">
        <v>1</v>
      </c>
      <c r="X31" s="15"/>
      <c r="Y31" s="51" t="s">
        <v>0</v>
      </c>
      <c r="Z31" s="24" t="s">
        <v>4</v>
      </c>
      <c r="AA31" s="25" t="s">
        <v>1</v>
      </c>
    </row>
    <row r="32" spans="2:111" x14ac:dyDescent="0.2">
      <c r="B32" s="26"/>
      <c r="C32" s="16"/>
      <c r="D32" s="27"/>
      <c r="E32" s="28"/>
      <c r="F32" s="27"/>
      <c r="G32" s="27"/>
      <c r="H32" s="28"/>
      <c r="I32" s="29"/>
      <c r="J32" s="27"/>
      <c r="K32" s="28"/>
      <c r="L32" s="29"/>
      <c r="M32" s="27"/>
      <c r="N32" s="28"/>
      <c r="O32" s="29"/>
      <c r="P32" s="27"/>
      <c r="Q32" s="28"/>
      <c r="R32" s="27"/>
      <c r="S32" s="27"/>
      <c r="T32" s="27"/>
      <c r="U32" s="30"/>
      <c r="V32" s="31"/>
      <c r="W32" s="32"/>
      <c r="X32" s="33"/>
      <c r="Y32" s="30"/>
      <c r="Z32" s="31"/>
      <c r="AA32" s="32"/>
    </row>
    <row r="33" spans="2:32" x14ac:dyDescent="0.2">
      <c r="B33" s="16" t="s">
        <v>83</v>
      </c>
      <c r="C33" s="34">
        <f>QUANTITÀ!H8</f>
        <v>23055.169549073435</v>
      </c>
      <c r="D33" s="62">
        <f>PREZZI!H5</f>
        <v>180</v>
      </c>
      <c r="E33" s="65">
        <f>C33*D33</f>
        <v>4149930.5188332181</v>
      </c>
      <c r="F33" s="35">
        <f>QUANTITÀ!I8</f>
        <v>12575.547026767326</v>
      </c>
      <c r="G33" s="62">
        <f>PREZZI!I5</f>
        <v>180</v>
      </c>
      <c r="H33" s="65">
        <f>F33*G33</f>
        <v>2263598.4648181186</v>
      </c>
      <c r="I33" s="36">
        <f>QUANTITÀ!J8</f>
        <v>23055.169549073435</v>
      </c>
      <c r="J33" s="62">
        <f>PREZZI!J5</f>
        <v>180</v>
      </c>
      <c r="K33" s="65">
        <f>I33*J33</f>
        <v>4149930.5188332181</v>
      </c>
      <c r="L33" s="36">
        <f>QUANTITÀ!K8</f>
        <v>22007.207296842822</v>
      </c>
      <c r="M33" s="62">
        <f>PREZZI!K5</f>
        <v>180</v>
      </c>
      <c r="N33" s="65">
        <f>L33*M33</f>
        <v>3961297.3134317081</v>
      </c>
      <c r="O33" s="36">
        <f>QUANTITÀ!L8</f>
        <v>22007.207296842822</v>
      </c>
      <c r="P33" s="62">
        <f>PREZZI!L5</f>
        <v>180</v>
      </c>
      <c r="Q33" s="65">
        <f>O33*P33</f>
        <v>3961297.3134317081</v>
      </c>
      <c r="R33" s="35">
        <f>QUANTITÀ!M8</f>
        <v>12575.547026767326</v>
      </c>
      <c r="S33" s="62">
        <f>PREZZI!M5</f>
        <v>180</v>
      </c>
      <c r="T33" s="65">
        <f>R33*S33</f>
        <v>2263598.4648181186</v>
      </c>
      <c r="U33" s="37">
        <f>C33+F33+I33+L33+O33+R33</f>
        <v>115275.84774536717</v>
      </c>
      <c r="V33" s="67">
        <f>IFERROR(W33/U33,0)</f>
        <v>180.00000000000003</v>
      </c>
      <c r="W33" s="70">
        <f>E33+H33+K33+N33+Q33+T33</f>
        <v>20749652.594166093</v>
      </c>
      <c r="X33" s="38"/>
      <c r="Y33" s="37">
        <f>U9+U33</f>
        <v>246271.12927419349</v>
      </c>
      <c r="Z33" s="67">
        <f>IFERROR(AA33/Y33,0)</f>
        <v>180.00000000000003</v>
      </c>
      <c r="AA33" s="70">
        <f>W9+W33</f>
        <v>44328803.269354835</v>
      </c>
    </row>
    <row r="34" spans="2:32" x14ac:dyDescent="0.2">
      <c r="B34" s="16" t="s">
        <v>84</v>
      </c>
      <c r="C34" s="34">
        <f>QUANTITÀ!H9</f>
        <v>40493.451725768318</v>
      </c>
      <c r="D34" s="62">
        <f>PREZZI!H6</f>
        <v>180</v>
      </c>
      <c r="E34" s="65">
        <f>C34*D34</f>
        <v>7288821.3106382973</v>
      </c>
      <c r="F34" s="35">
        <f>QUANTITÀ!I9</f>
        <v>22087.337304964538</v>
      </c>
      <c r="G34" s="62">
        <f>PREZZI!I6</f>
        <v>180</v>
      </c>
      <c r="H34" s="65">
        <f>F34*G34</f>
        <v>3975720.7148936167</v>
      </c>
      <c r="I34" s="36">
        <f>QUANTITÀ!J9</f>
        <v>40493.451725768318</v>
      </c>
      <c r="J34" s="62">
        <f>PREZZI!J6</f>
        <v>180</v>
      </c>
      <c r="K34" s="65">
        <f>I34*J34</f>
        <v>7288821.3106382973</v>
      </c>
      <c r="L34" s="36">
        <f>QUANTITÀ!K9</f>
        <v>38652.84028368794</v>
      </c>
      <c r="M34" s="62">
        <f>PREZZI!K6</f>
        <v>180</v>
      </c>
      <c r="N34" s="65">
        <f>L34*M34</f>
        <v>6957511.2510638293</v>
      </c>
      <c r="O34" s="36">
        <f>QUANTITÀ!L9</f>
        <v>38652.84028368794</v>
      </c>
      <c r="P34" s="62">
        <f>PREZZI!L6</f>
        <v>180</v>
      </c>
      <c r="Q34" s="65">
        <f>O34*P34</f>
        <v>6957511.2510638293</v>
      </c>
      <c r="R34" s="35">
        <f>QUANTITÀ!M9</f>
        <v>22087.337304964538</v>
      </c>
      <c r="S34" s="62">
        <f>PREZZI!M6</f>
        <v>180</v>
      </c>
      <c r="T34" s="65">
        <f>R34*S34</f>
        <v>3975720.7148936167</v>
      </c>
      <c r="U34" s="37">
        <f>C34+F34+I34+L34+O34+R34</f>
        <v>202467.25862884161</v>
      </c>
      <c r="V34" s="67">
        <f t="shared" ref="V34:V36" si="15">IFERROR(W34/U34,0)</f>
        <v>180</v>
      </c>
      <c r="W34" s="70">
        <f>E34+H34+K34+N34+Q34+T34</f>
        <v>36444106.55319149</v>
      </c>
      <c r="X34" s="38"/>
      <c r="Y34" s="37">
        <f>U10+U34</f>
        <v>432543.68888888886</v>
      </c>
      <c r="Z34" s="67">
        <f t="shared" ref="Z34:Z36" si="16">IFERROR(AA34/Y34,0)</f>
        <v>180</v>
      </c>
      <c r="AA34" s="70">
        <f>W10+W34</f>
        <v>77857864</v>
      </c>
    </row>
    <row r="35" spans="2:32" x14ac:dyDescent="0.2">
      <c r="B35" s="39" t="s">
        <v>85</v>
      </c>
      <c r="C35" s="34">
        <f>QUANTITÀ!H10</f>
        <v>358.86524822695065</v>
      </c>
      <c r="D35" s="62">
        <f>PREZZI!H7</f>
        <v>180</v>
      </c>
      <c r="E35" s="65">
        <f>C35*D35</f>
        <v>64595.744680851116</v>
      </c>
      <c r="F35" s="35">
        <f>QUANTITÀ!I10</f>
        <v>195.744680851064</v>
      </c>
      <c r="G35" s="62">
        <f>PREZZI!I7</f>
        <v>180</v>
      </c>
      <c r="H35" s="65">
        <f>F35*G35</f>
        <v>35234.042553191524</v>
      </c>
      <c r="I35" s="36">
        <f>QUANTITÀ!J10</f>
        <v>358.86524822695065</v>
      </c>
      <c r="J35" s="62">
        <f>PREZZI!J7</f>
        <v>180</v>
      </c>
      <c r="K35" s="65">
        <f>I35*J35</f>
        <v>64595.744680851116</v>
      </c>
      <c r="L35" s="36">
        <f>QUANTITÀ!K10</f>
        <v>342.55319148936201</v>
      </c>
      <c r="M35" s="62">
        <f>PREZZI!K7</f>
        <v>180</v>
      </c>
      <c r="N35" s="65">
        <f>L35*M35</f>
        <v>61659.574468085164</v>
      </c>
      <c r="O35" s="36">
        <f>QUANTITÀ!L10</f>
        <v>342.55319148936201</v>
      </c>
      <c r="P35" s="62">
        <f>PREZZI!L7</f>
        <v>180</v>
      </c>
      <c r="Q35" s="65">
        <f>O35*P35</f>
        <v>61659.574468085164</v>
      </c>
      <c r="R35" s="35">
        <f>QUANTITÀ!M10</f>
        <v>195.744680851064</v>
      </c>
      <c r="S35" s="62">
        <f>PREZZI!M7</f>
        <v>180</v>
      </c>
      <c r="T35" s="65">
        <f>R35*S35</f>
        <v>35234.042553191524</v>
      </c>
      <c r="U35" s="37">
        <f>C35+F35+I35+L35+O35+R35</f>
        <v>1794.3262411347532</v>
      </c>
      <c r="V35" s="67">
        <f t="shared" si="15"/>
        <v>180.00000000000003</v>
      </c>
      <c r="W35" s="70">
        <f>E35+H35+K35+N35+Q35+T35</f>
        <v>322978.72340425564</v>
      </c>
      <c r="X35" s="38"/>
      <c r="Y35" s="37">
        <f>U11+U35</f>
        <v>3833.3333333333367</v>
      </c>
      <c r="Z35" s="67">
        <f t="shared" si="16"/>
        <v>180.00000000000003</v>
      </c>
      <c r="AA35" s="70">
        <f>W11+W35</f>
        <v>690000.0000000007</v>
      </c>
    </row>
    <row r="36" spans="2:32" ht="17" thickBot="1" x14ac:dyDescent="0.25">
      <c r="B36" s="40" t="s">
        <v>73</v>
      </c>
      <c r="C36" s="41">
        <f>SUM(C33:C35)</f>
        <v>63907.486523068706</v>
      </c>
      <c r="D36" s="63">
        <f>E36/C36</f>
        <v>180</v>
      </c>
      <c r="E36" s="66">
        <f>SUM(E33:E35)</f>
        <v>11503347.574152367</v>
      </c>
      <c r="F36" s="42">
        <f>SUM(F33:F35)</f>
        <v>34858.629012582933</v>
      </c>
      <c r="G36" s="63">
        <f>H36/F36</f>
        <v>179.99999999999994</v>
      </c>
      <c r="H36" s="66">
        <f>SUM(H33:H35)</f>
        <v>6274553.2222649259</v>
      </c>
      <c r="I36" s="43">
        <f>SUM(I33:I35)</f>
        <v>63907.486523068706</v>
      </c>
      <c r="J36" s="63">
        <f>K36/I36</f>
        <v>180</v>
      </c>
      <c r="K36" s="66">
        <f>SUM(K33:K35)</f>
        <v>11503347.574152367</v>
      </c>
      <c r="L36" s="43">
        <f>SUM(L33:L35)</f>
        <v>61002.600772020131</v>
      </c>
      <c r="M36" s="63">
        <f>N36/L36</f>
        <v>180</v>
      </c>
      <c r="N36" s="66">
        <f>SUM(N33:N35)</f>
        <v>10980468.138963623</v>
      </c>
      <c r="O36" s="43">
        <f>SUM(O33:O35)</f>
        <v>61002.600772020131</v>
      </c>
      <c r="P36" s="63">
        <f>Q36/O36</f>
        <v>180</v>
      </c>
      <c r="Q36" s="66">
        <f>SUM(Q33:Q35)</f>
        <v>10980468.138963623</v>
      </c>
      <c r="R36" s="42">
        <f>SUM(R33:R35)</f>
        <v>34858.629012582933</v>
      </c>
      <c r="S36" s="63">
        <f>T36/R36</f>
        <v>179.99999999999994</v>
      </c>
      <c r="T36" s="66">
        <f>SUM(T33:T35)</f>
        <v>6274553.2222649259</v>
      </c>
      <c r="U36" s="41">
        <f>SUM(U33:U35)</f>
        <v>319537.43261534348</v>
      </c>
      <c r="V36" s="68">
        <f t="shared" si="15"/>
        <v>180.00000000000006</v>
      </c>
      <c r="W36" s="71">
        <f>SUM(W33:W35)</f>
        <v>57516737.870761842</v>
      </c>
      <c r="X36" s="44"/>
      <c r="Y36" s="41">
        <f>SUM(Y33:Y35)</f>
        <v>682648.15149641572</v>
      </c>
      <c r="Z36" s="68">
        <f t="shared" si="16"/>
        <v>180</v>
      </c>
      <c r="AA36" s="71">
        <f>SUM(AA33:AA35)</f>
        <v>122876667.26935484</v>
      </c>
      <c r="AC36" s="52"/>
      <c r="AD36" s="52"/>
      <c r="AE36" s="52"/>
      <c r="AF36" s="46"/>
    </row>
    <row r="37" spans="2:32" x14ac:dyDescent="0.2">
      <c r="B37" s="16"/>
      <c r="C37" s="16"/>
      <c r="D37" s="62"/>
      <c r="E37" s="65"/>
      <c r="F37" s="27"/>
      <c r="G37" s="62"/>
      <c r="H37" s="65"/>
      <c r="I37" s="29"/>
      <c r="J37" s="62"/>
      <c r="K37" s="65"/>
      <c r="L37" s="29"/>
      <c r="M37" s="62"/>
      <c r="N37" s="65"/>
      <c r="O37" s="29"/>
      <c r="P37" s="62"/>
      <c r="Q37" s="65"/>
      <c r="R37" s="27"/>
      <c r="S37" s="62"/>
      <c r="T37" s="65"/>
      <c r="U37" s="30"/>
      <c r="V37" s="69"/>
      <c r="W37" s="70"/>
      <c r="X37" s="33"/>
      <c r="Y37" s="30"/>
      <c r="Z37" s="69"/>
      <c r="AA37" s="70"/>
      <c r="AC37" s="52"/>
      <c r="AD37" s="52"/>
      <c r="AE37" s="52"/>
    </row>
    <row r="38" spans="2:32" x14ac:dyDescent="0.2">
      <c r="B38" s="26"/>
      <c r="C38" s="16"/>
      <c r="D38" s="62"/>
      <c r="E38" s="65"/>
      <c r="F38" s="27"/>
      <c r="G38" s="62"/>
      <c r="H38" s="65"/>
      <c r="I38" s="29"/>
      <c r="J38" s="62"/>
      <c r="K38" s="65"/>
      <c r="L38" s="29"/>
      <c r="M38" s="62"/>
      <c r="N38" s="65"/>
      <c r="O38" s="29"/>
      <c r="P38" s="62"/>
      <c r="Q38" s="65"/>
      <c r="R38" s="27"/>
      <c r="S38" s="62"/>
      <c r="T38" s="65"/>
      <c r="U38" s="30"/>
      <c r="V38" s="69"/>
      <c r="W38" s="70"/>
      <c r="X38" s="33"/>
      <c r="Y38" s="30"/>
      <c r="Z38" s="69"/>
      <c r="AA38" s="70"/>
      <c r="AC38" s="52"/>
      <c r="AD38" s="52"/>
      <c r="AE38" s="52"/>
    </row>
    <row r="39" spans="2:32" x14ac:dyDescent="0.2">
      <c r="B39" s="16" t="s">
        <v>83</v>
      </c>
      <c r="C39" s="34">
        <f>QUANTITÀ!H15</f>
        <v>1464.6813595881949</v>
      </c>
      <c r="D39" s="62">
        <f>PREZZI!H12</f>
        <v>500</v>
      </c>
      <c r="E39" s="65">
        <f>C39*D39</f>
        <v>732340.67979409744</v>
      </c>
      <c r="F39" s="35">
        <f>QUANTITÀ!I15</f>
        <v>798.91710522992457</v>
      </c>
      <c r="G39" s="62">
        <f>PREZZI!I12</f>
        <v>500</v>
      </c>
      <c r="H39" s="65">
        <f>F39*G39</f>
        <v>399458.55261496227</v>
      </c>
      <c r="I39" s="36">
        <f>QUANTITÀ!J15</f>
        <v>1464.6813595881949</v>
      </c>
      <c r="J39" s="62">
        <f>PREZZI!J12</f>
        <v>500</v>
      </c>
      <c r="K39" s="65">
        <f>I39*J39</f>
        <v>732340.67979409744</v>
      </c>
      <c r="L39" s="36">
        <f>QUANTITÀ!K15</f>
        <v>1398.1049341523681</v>
      </c>
      <c r="M39" s="62">
        <f>PREZZI!K12</f>
        <v>500</v>
      </c>
      <c r="N39" s="65">
        <f>L39*M39</f>
        <v>699052.467076184</v>
      </c>
      <c r="O39" s="36">
        <f>QUANTITÀ!L15</f>
        <v>1398.1049341523681</v>
      </c>
      <c r="P39" s="62">
        <f>PREZZI!L12</f>
        <v>500</v>
      </c>
      <c r="Q39" s="65">
        <f>O39*P39</f>
        <v>699052.467076184</v>
      </c>
      <c r="R39" s="35">
        <f>QUANTITÀ!M15</f>
        <v>798.91710522992457</v>
      </c>
      <c r="S39" s="62">
        <f>PREZZI!M12</f>
        <v>500</v>
      </c>
      <c r="T39" s="65">
        <f>R39*S39</f>
        <v>399458.55261496227</v>
      </c>
      <c r="U39" s="37">
        <f>C39+F39+I39+L39+O39+R39</f>
        <v>7323.4067979409756</v>
      </c>
      <c r="V39" s="67">
        <f>IFERROR(W39/U39,0)</f>
        <v>500</v>
      </c>
      <c r="W39" s="70">
        <f>E39+H39+K39+N39+Q39+T39</f>
        <v>3661703.398970488</v>
      </c>
      <c r="X39" s="38"/>
      <c r="Y39" s="37">
        <f>U15+U39</f>
        <v>15645.459977419358</v>
      </c>
      <c r="Z39" s="67">
        <f>IFERROR(AA39/Y39,0)</f>
        <v>500</v>
      </c>
      <c r="AA39" s="70">
        <f>W15+W39</f>
        <v>7822729.9887096789</v>
      </c>
      <c r="AC39" s="52"/>
      <c r="AD39" s="52"/>
      <c r="AE39" s="52"/>
    </row>
    <row r="40" spans="2:32" x14ac:dyDescent="0.2">
      <c r="B40" s="16" t="s">
        <v>84</v>
      </c>
      <c r="C40" s="34">
        <f>QUANTITÀ!H16</f>
        <v>0</v>
      </c>
      <c r="D40" s="62">
        <f>PREZZI!H13</f>
        <v>500</v>
      </c>
      <c r="E40" s="65">
        <f>C40*D40</f>
        <v>0</v>
      </c>
      <c r="F40" s="35">
        <f>QUANTITÀ!I16</f>
        <v>0</v>
      </c>
      <c r="G40" s="62">
        <f>PREZZI!I13</f>
        <v>500</v>
      </c>
      <c r="H40" s="65">
        <f>F40*G40</f>
        <v>0</v>
      </c>
      <c r="I40" s="36">
        <f>QUANTITÀ!J16</f>
        <v>0</v>
      </c>
      <c r="J40" s="62">
        <f>PREZZI!J13</f>
        <v>500</v>
      </c>
      <c r="K40" s="65">
        <f>I40*J40</f>
        <v>0</v>
      </c>
      <c r="L40" s="36">
        <f>QUANTITÀ!K16</f>
        <v>0</v>
      </c>
      <c r="M40" s="62">
        <f>PREZZI!K13</f>
        <v>500</v>
      </c>
      <c r="N40" s="65">
        <f>L40*M40</f>
        <v>0</v>
      </c>
      <c r="O40" s="36">
        <f>QUANTITÀ!L16</f>
        <v>0</v>
      </c>
      <c r="P40" s="62">
        <f>PREZZI!L13</f>
        <v>500</v>
      </c>
      <c r="Q40" s="65">
        <f>O40*P40</f>
        <v>0</v>
      </c>
      <c r="R40" s="35">
        <f>QUANTITÀ!M16</f>
        <v>0</v>
      </c>
      <c r="S40" s="62">
        <f>PREZZI!M13</f>
        <v>500</v>
      </c>
      <c r="T40" s="65">
        <f>R40*S40</f>
        <v>0</v>
      </c>
      <c r="U40" s="37">
        <f>C40+F40+I40+L40+O40+R40</f>
        <v>0</v>
      </c>
      <c r="V40" s="67">
        <f t="shared" ref="V40:V42" si="17">IFERROR(W40/U40,0)</f>
        <v>0</v>
      </c>
      <c r="W40" s="70">
        <f>E40+H40+K40+N40+Q40+T40</f>
        <v>0</v>
      </c>
      <c r="X40" s="38"/>
      <c r="Y40" s="37">
        <f>U16+U40</f>
        <v>0</v>
      </c>
      <c r="Z40" s="67">
        <f t="shared" ref="Z40:Z42" si="18">IFERROR(AA40/Y40,0)</f>
        <v>0</v>
      </c>
      <c r="AA40" s="70">
        <f>W16+W40</f>
        <v>0</v>
      </c>
      <c r="AC40" s="52"/>
      <c r="AD40" s="52"/>
      <c r="AE40" s="52"/>
    </row>
    <row r="41" spans="2:32" x14ac:dyDescent="0.2">
      <c r="B41" s="39" t="s">
        <v>85</v>
      </c>
      <c r="C41" s="34">
        <f>QUANTITÀ!H17</f>
        <v>2454.6382978723404</v>
      </c>
      <c r="D41" s="62">
        <f>PREZZI!H14</f>
        <v>500</v>
      </c>
      <c r="E41" s="65">
        <f>C41*D41</f>
        <v>1227319.1489361702</v>
      </c>
      <c r="F41" s="35">
        <f>QUANTITÀ!I17</f>
        <v>1338.8936170212767</v>
      </c>
      <c r="G41" s="62">
        <f>PREZZI!I14</f>
        <v>500</v>
      </c>
      <c r="H41" s="65">
        <f>F41*G41</f>
        <v>669446.80851063831</v>
      </c>
      <c r="I41" s="36">
        <f>QUANTITÀ!J17</f>
        <v>2454.6382978723404</v>
      </c>
      <c r="J41" s="62">
        <f>PREZZI!J14</f>
        <v>500</v>
      </c>
      <c r="K41" s="65">
        <f>I41*J41</f>
        <v>1227319.1489361702</v>
      </c>
      <c r="L41" s="36">
        <f>QUANTITÀ!K17</f>
        <v>2343.0638297872342</v>
      </c>
      <c r="M41" s="62">
        <f>PREZZI!K14</f>
        <v>500</v>
      </c>
      <c r="N41" s="65">
        <f>L41*M41</f>
        <v>1171531.9148936172</v>
      </c>
      <c r="O41" s="36">
        <f>QUANTITÀ!L17</f>
        <v>2343.0638297872342</v>
      </c>
      <c r="P41" s="62">
        <f>PREZZI!L14</f>
        <v>500</v>
      </c>
      <c r="Q41" s="65">
        <f>O41*P41</f>
        <v>1171531.9148936172</v>
      </c>
      <c r="R41" s="35">
        <f>QUANTITÀ!M17</f>
        <v>1338.8936170212767</v>
      </c>
      <c r="S41" s="62">
        <f>PREZZI!M14</f>
        <v>500</v>
      </c>
      <c r="T41" s="65">
        <f>R41*S41</f>
        <v>669446.80851063831</v>
      </c>
      <c r="U41" s="37">
        <f>C41+F41+I41+L41+O41+R41</f>
        <v>12273.191489361701</v>
      </c>
      <c r="V41" s="67">
        <f t="shared" si="17"/>
        <v>500.00000000000006</v>
      </c>
      <c r="W41" s="70">
        <f>E41+H41+K41+N41+Q41+T41</f>
        <v>6136595.7446808517</v>
      </c>
      <c r="X41" s="38"/>
      <c r="Y41" s="37">
        <f>U17+U41</f>
        <v>26220</v>
      </c>
      <c r="Z41" s="67">
        <f t="shared" si="18"/>
        <v>500</v>
      </c>
      <c r="AA41" s="70">
        <f>W17+W41</f>
        <v>13110000</v>
      </c>
      <c r="AC41" s="52"/>
      <c r="AD41" s="52"/>
      <c r="AE41" s="52"/>
    </row>
    <row r="42" spans="2:32" ht="17" thickBot="1" x14ac:dyDescent="0.25">
      <c r="B42" s="40" t="s">
        <v>74</v>
      </c>
      <c r="C42" s="41">
        <f>SUM(C39:C41)</f>
        <v>3919.3196574605354</v>
      </c>
      <c r="D42" s="63">
        <f>E42/C42</f>
        <v>499.99999999999994</v>
      </c>
      <c r="E42" s="66">
        <f>SUM(E39:E41)</f>
        <v>1959659.8287302675</v>
      </c>
      <c r="F42" s="42">
        <f>SUM(F39:F41)</f>
        <v>2137.8107222512012</v>
      </c>
      <c r="G42" s="63">
        <f>H42/F42</f>
        <v>499.99999999999994</v>
      </c>
      <c r="H42" s="66">
        <f>SUM(H39:H41)</f>
        <v>1068905.3611256005</v>
      </c>
      <c r="I42" s="43">
        <f>SUM(I39:I41)</f>
        <v>3919.3196574605354</v>
      </c>
      <c r="J42" s="63">
        <f>K42/I42</f>
        <v>499.99999999999994</v>
      </c>
      <c r="K42" s="66">
        <f>SUM(K39:K41)</f>
        <v>1959659.8287302675</v>
      </c>
      <c r="L42" s="43">
        <f>SUM(L39:L41)</f>
        <v>3741.1687639396023</v>
      </c>
      <c r="M42" s="63">
        <f>N42/L42</f>
        <v>500</v>
      </c>
      <c r="N42" s="66">
        <f>SUM(N39:N41)</f>
        <v>1870584.3819698012</v>
      </c>
      <c r="O42" s="43">
        <f>SUM(O39:O41)</f>
        <v>3741.1687639396023</v>
      </c>
      <c r="P42" s="63">
        <f>Q42/O42</f>
        <v>500</v>
      </c>
      <c r="Q42" s="66">
        <f>SUM(Q39:Q41)</f>
        <v>1870584.3819698012</v>
      </c>
      <c r="R42" s="42">
        <f>SUM(R39:R41)</f>
        <v>2137.8107222512012</v>
      </c>
      <c r="S42" s="63">
        <f>T42/R42</f>
        <v>499.99999999999994</v>
      </c>
      <c r="T42" s="66">
        <f>SUM(T39:T41)</f>
        <v>1068905.3611256005</v>
      </c>
      <c r="U42" s="41">
        <f>SUM(U39:U41)</f>
        <v>19596.598287302677</v>
      </c>
      <c r="V42" s="68">
        <f t="shared" si="17"/>
        <v>500.00000000000011</v>
      </c>
      <c r="W42" s="71">
        <f>SUM(W39:W41)</f>
        <v>9798299.1436513402</v>
      </c>
      <c r="X42" s="44"/>
      <c r="Y42" s="41">
        <f>SUM(Y39:Y41)</f>
        <v>41865.459977419356</v>
      </c>
      <c r="Z42" s="68">
        <f t="shared" si="18"/>
        <v>500.00000000000006</v>
      </c>
      <c r="AA42" s="71">
        <f>SUM(AA39:AA41)</f>
        <v>20932729.988709681</v>
      </c>
      <c r="AC42" s="52"/>
      <c r="AD42" s="52"/>
      <c r="AE42" s="52"/>
      <c r="AF42" s="46"/>
    </row>
    <row r="43" spans="2:32" x14ac:dyDescent="0.2">
      <c r="B43" s="16"/>
      <c r="C43" s="16"/>
      <c r="D43" s="62"/>
      <c r="E43" s="65"/>
      <c r="F43" s="27"/>
      <c r="G43" s="62"/>
      <c r="H43" s="65"/>
      <c r="I43" s="29"/>
      <c r="J43" s="62"/>
      <c r="K43" s="65"/>
      <c r="L43" s="29"/>
      <c r="M43" s="62"/>
      <c r="N43" s="65"/>
      <c r="O43" s="29"/>
      <c r="P43" s="62"/>
      <c r="Q43" s="65"/>
      <c r="R43" s="27"/>
      <c r="S43" s="62"/>
      <c r="T43" s="65"/>
      <c r="U43" s="30"/>
      <c r="V43" s="69"/>
      <c r="W43" s="70"/>
      <c r="Y43" s="30"/>
      <c r="Z43" s="69"/>
      <c r="AA43" s="70"/>
    </row>
    <row r="44" spans="2:32" x14ac:dyDescent="0.2">
      <c r="B44" s="26"/>
      <c r="C44" s="16"/>
      <c r="D44" s="62"/>
      <c r="E44" s="65"/>
      <c r="F44" s="27"/>
      <c r="G44" s="62"/>
      <c r="H44" s="65"/>
      <c r="I44" s="29"/>
      <c r="J44" s="62"/>
      <c r="K44" s="65"/>
      <c r="L44" s="29"/>
      <c r="M44" s="62"/>
      <c r="N44" s="65"/>
      <c r="O44" s="29"/>
      <c r="P44" s="62"/>
      <c r="Q44" s="65"/>
      <c r="R44" s="27"/>
      <c r="S44" s="62"/>
      <c r="T44" s="65"/>
      <c r="U44" s="30"/>
      <c r="V44" s="69"/>
      <c r="W44" s="70"/>
      <c r="Y44" s="30"/>
      <c r="Z44" s="69"/>
      <c r="AA44" s="70"/>
    </row>
    <row r="45" spans="2:32" x14ac:dyDescent="0.2">
      <c r="B45" s="16" t="s">
        <v>83</v>
      </c>
      <c r="C45" s="45">
        <f>C33+C39</f>
        <v>24519.850908661629</v>
      </c>
      <c r="D45" s="64">
        <f>E45/C45</f>
        <v>199.11504424778761</v>
      </c>
      <c r="E45" s="65">
        <f>E33+E39</f>
        <v>4882271.1986273155</v>
      </c>
      <c r="F45" s="45">
        <f>F33+F39</f>
        <v>13374.464131997251</v>
      </c>
      <c r="G45" s="64">
        <f>H45/F45</f>
        <v>199.11504424778761</v>
      </c>
      <c r="H45" s="65">
        <f>H33+H39</f>
        <v>2663057.0174330808</v>
      </c>
      <c r="I45" s="45">
        <f>I33+I39</f>
        <v>24519.850908661629</v>
      </c>
      <c r="J45" s="64">
        <f>K45/I45</f>
        <v>199.11504424778761</v>
      </c>
      <c r="K45" s="65">
        <f>K33+K39</f>
        <v>4882271.1986273155</v>
      </c>
      <c r="L45" s="45">
        <f>L33+L39</f>
        <v>23405.31223099519</v>
      </c>
      <c r="M45" s="64">
        <f>N45/L45</f>
        <v>199.11504424778764</v>
      </c>
      <c r="N45" s="65">
        <f>N33+N39</f>
        <v>4660349.7805078924</v>
      </c>
      <c r="O45" s="45">
        <f>O33+O39</f>
        <v>23405.31223099519</v>
      </c>
      <c r="P45" s="64">
        <f>Q45/O45</f>
        <v>199.11504424778764</v>
      </c>
      <c r="Q45" s="65">
        <f>Q33+Q39</f>
        <v>4660349.7805078924</v>
      </c>
      <c r="R45" s="45">
        <f>R33+R39</f>
        <v>13374.464131997251</v>
      </c>
      <c r="S45" s="64">
        <f>T45/R45</f>
        <v>199.11504424778761</v>
      </c>
      <c r="T45" s="65">
        <f>T33+T39</f>
        <v>2663057.0174330808</v>
      </c>
      <c r="U45" s="37">
        <f>C45+F45+I45+L45+O45+R45</f>
        <v>122599.25454330814</v>
      </c>
      <c r="V45" s="67">
        <f>IFERROR(W45/U45,0)</f>
        <v>199.11504424778761</v>
      </c>
      <c r="W45" s="70">
        <f>E45+H45+K45+N45+Q45+T45</f>
        <v>24411355.993136577</v>
      </c>
      <c r="Y45" s="37">
        <f>U21+U45</f>
        <v>261916.58925161284</v>
      </c>
      <c r="Z45" s="67">
        <f>IFERROR(AA45/Y45,0)</f>
        <v>199.11504424778764</v>
      </c>
      <c r="AA45" s="70">
        <f>W21+W45</f>
        <v>52151533.258064508</v>
      </c>
    </row>
    <row r="46" spans="2:32" x14ac:dyDescent="0.2">
      <c r="B46" s="16" t="s">
        <v>84</v>
      </c>
      <c r="C46" s="45">
        <f t="shared" ref="C46:C47" si="19">C34+C40</f>
        <v>40493.451725768318</v>
      </c>
      <c r="D46" s="64">
        <f>E46/C46</f>
        <v>180</v>
      </c>
      <c r="E46" s="65">
        <f t="shared" ref="E46:F47" si="20">E34+E40</f>
        <v>7288821.3106382973</v>
      </c>
      <c r="F46" s="45">
        <f t="shared" si="20"/>
        <v>22087.337304964538</v>
      </c>
      <c r="G46" s="64">
        <f>H46/F46</f>
        <v>180</v>
      </c>
      <c r="H46" s="65">
        <f t="shared" ref="H46:I47" si="21">H34+H40</f>
        <v>3975720.7148936167</v>
      </c>
      <c r="I46" s="45">
        <f t="shared" si="21"/>
        <v>40493.451725768318</v>
      </c>
      <c r="J46" s="64">
        <f>K46/I46</f>
        <v>180</v>
      </c>
      <c r="K46" s="65">
        <f t="shared" ref="K46:L47" si="22">K34+K40</f>
        <v>7288821.3106382973</v>
      </c>
      <c r="L46" s="45">
        <f t="shared" si="22"/>
        <v>38652.84028368794</v>
      </c>
      <c r="M46" s="64">
        <f>N46/L46</f>
        <v>180</v>
      </c>
      <c r="N46" s="65">
        <f t="shared" ref="N46:O47" si="23">N34+N40</f>
        <v>6957511.2510638293</v>
      </c>
      <c r="O46" s="45">
        <f t="shared" si="23"/>
        <v>38652.84028368794</v>
      </c>
      <c r="P46" s="64">
        <f>Q46/O46</f>
        <v>180</v>
      </c>
      <c r="Q46" s="65">
        <f t="shared" ref="Q46:R47" si="24">Q34+Q40</f>
        <v>6957511.2510638293</v>
      </c>
      <c r="R46" s="45">
        <f t="shared" si="24"/>
        <v>22087.337304964538</v>
      </c>
      <c r="S46" s="64">
        <f>T46/R46</f>
        <v>180</v>
      </c>
      <c r="T46" s="65">
        <f t="shared" ref="T46" si="25">T34+T40</f>
        <v>3975720.7148936167</v>
      </c>
      <c r="U46" s="37">
        <f>C46+F46+I46+L46+O46+R46</f>
        <v>202467.25862884161</v>
      </c>
      <c r="V46" s="67">
        <f t="shared" ref="V46:V48" si="26">IFERROR(W46/U46,0)</f>
        <v>180</v>
      </c>
      <c r="W46" s="70">
        <f>E46+H46+K46+N46+Q46+T46</f>
        <v>36444106.55319149</v>
      </c>
      <c r="Y46" s="37">
        <f>U22+U46</f>
        <v>432543.68888888886</v>
      </c>
      <c r="Z46" s="67">
        <f t="shared" ref="Z46:Z48" si="27">IFERROR(AA46/Y46,0)</f>
        <v>180</v>
      </c>
      <c r="AA46" s="70">
        <f>W22+W46</f>
        <v>77857864</v>
      </c>
    </row>
    <row r="47" spans="2:32" x14ac:dyDescent="0.2">
      <c r="B47" s="39" t="s">
        <v>85</v>
      </c>
      <c r="C47" s="45">
        <f t="shared" si="19"/>
        <v>2813.5035460992913</v>
      </c>
      <c r="D47" s="64">
        <f>E47/C47</f>
        <v>459.18367346938771</v>
      </c>
      <c r="E47" s="65">
        <f t="shared" ref="E47" si="28">E35+E41</f>
        <v>1291914.8936170214</v>
      </c>
      <c r="F47" s="45">
        <f t="shared" si="20"/>
        <v>1534.6382978723407</v>
      </c>
      <c r="G47" s="64">
        <f>H47/F47</f>
        <v>459.18367346938771</v>
      </c>
      <c r="H47" s="65">
        <f t="shared" ref="H47" si="29">H35+H41</f>
        <v>704680.85106382985</v>
      </c>
      <c r="I47" s="45">
        <f t="shared" si="21"/>
        <v>2813.5035460992913</v>
      </c>
      <c r="J47" s="64">
        <f>K47/I47</f>
        <v>459.18367346938771</v>
      </c>
      <c r="K47" s="65">
        <f t="shared" ref="K47" si="30">K35+K41</f>
        <v>1291914.8936170214</v>
      </c>
      <c r="L47" s="45">
        <f t="shared" si="22"/>
        <v>2685.6170212765965</v>
      </c>
      <c r="M47" s="64">
        <f>N47/L47</f>
        <v>459.18367346938766</v>
      </c>
      <c r="N47" s="65">
        <f t="shared" ref="N47" si="31">N35+N41</f>
        <v>1233191.4893617022</v>
      </c>
      <c r="O47" s="45">
        <f t="shared" si="23"/>
        <v>2685.6170212765965</v>
      </c>
      <c r="P47" s="64">
        <f>Q47/O47</f>
        <v>459.18367346938766</v>
      </c>
      <c r="Q47" s="65">
        <f t="shared" ref="Q47" si="32">Q35+Q41</f>
        <v>1233191.4893617022</v>
      </c>
      <c r="R47" s="45">
        <f t="shared" si="24"/>
        <v>1534.6382978723407</v>
      </c>
      <c r="S47" s="64">
        <f>T47/R47</f>
        <v>459.18367346938771</v>
      </c>
      <c r="T47" s="65">
        <f t="shared" ref="T47" si="33">T35+T41</f>
        <v>704680.85106382985</v>
      </c>
      <c r="U47" s="37">
        <f>C47+F47+I47+L47+O47+R47</f>
        <v>14067.517730496456</v>
      </c>
      <c r="V47" s="67">
        <f t="shared" si="26"/>
        <v>459.18367346938777</v>
      </c>
      <c r="W47" s="70">
        <f>E47+H47+K47+N47+Q47+T47</f>
        <v>6459574.4680851074</v>
      </c>
      <c r="Y47" s="37">
        <f>U23+U47</f>
        <v>30053.333333333339</v>
      </c>
      <c r="Z47" s="67">
        <f t="shared" si="27"/>
        <v>459.18367346938777</v>
      </c>
      <c r="AA47" s="70">
        <f>W23+W47</f>
        <v>13800000.000000004</v>
      </c>
    </row>
    <row r="48" spans="2:32" ht="17" thickBot="1" x14ac:dyDescent="0.25">
      <c r="B48" s="40" t="s">
        <v>3</v>
      </c>
      <c r="C48" s="41">
        <f>SUM(C45:C47)</f>
        <v>67826.806180529238</v>
      </c>
      <c r="D48" s="63">
        <f>E48/C48</f>
        <v>198.49095307612174</v>
      </c>
      <c r="E48" s="66">
        <f>SUM(E45:E47)</f>
        <v>13463007.402882634</v>
      </c>
      <c r="F48" s="41">
        <f>SUM(F45:F47)</f>
        <v>36996.43973483413</v>
      </c>
      <c r="G48" s="63">
        <f>H48/F48</f>
        <v>198.49095307612174</v>
      </c>
      <c r="H48" s="66">
        <f>SUM(H45:H47)</f>
        <v>7343458.5833905274</v>
      </c>
      <c r="I48" s="41">
        <f>SUM(I45:I47)</f>
        <v>67826.806180529238</v>
      </c>
      <c r="J48" s="63">
        <f>K48/I48</f>
        <v>198.49095307612174</v>
      </c>
      <c r="K48" s="66">
        <f>SUM(K45:K47)</f>
        <v>13463007.402882634</v>
      </c>
      <c r="L48" s="41">
        <f>SUM(L45:L47)</f>
        <v>64743.76953595972</v>
      </c>
      <c r="M48" s="63">
        <f>N48/L48</f>
        <v>198.49095307612177</v>
      </c>
      <c r="N48" s="66">
        <f>SUM(N45:N47)</f>
        <v>12851052.520933423</v>
      </c>
      <c r="O48" s="41">
        <f>SUM(O45:O47)</f>
        <v>64743.76953595972</v>
      </c>
      <c r="P48" s="63">
        <f>Q48/O48</f>
        <v>198.49095307612177</v>
      </c>
      <c r="Q48" s="66">
        <f>SUM(Q45:Q47)</f>
        <v>12851052.520933423</v>
      </c>
      <c r="R48" s="41">
        <f>SUM(R45:R47)</f>
        <v>36996.43973483413</v>
      </c>
      <c r="S48" s="63">
        <f>T48/R48</f>
        <v>198.49095307612174</v>
      </c>
      <c r="T48" s="66">
        <f>SUM(T45:T47)</f>
        <v>7343458.5833905274</v>
      </c>
      <c r="U48" s="41">
        <f>SUM(U45:U47)</f>
        <v>339134.03090264625</v>
      </c>
      <c r="V48" s="68">
        <f t="shared" si="26"/>
        <v>198.49095307612174</v>
      </c>
      <c r="W48" s="71">
        <f>SUM(W45:W47)</f>
        <v>67315037.014413178</v>
      </c>
      <c r="Y48" s="41">
        <f>SUM(Y45:Y47)</f>
        <v>724513.61147383507</v>
      </c>
      <c r="Z48" s="68">
        <f t="shared" si="27"/>
        <v>198.49095307612177</v>
      </c>
      <c r="AA48" s="71">
        <f>SUM(AA45:AA47)</f>
        <v>143809397.25806451</v>
      </c>
    </row>
    <row r="50" spans="27:27" x14ac:dyDescent="0.2">
      <c r="AA50" s="82">
        <f>AA48-'Tab 2'!N16</f>
        <v>0</v>
      </c>
    </row>
  </sheetData>
  <mergeCells count="17">
    <mergeCell ref="L30:N30"/>
    <mergeCell ref="O30:Q30"/>
    <mergeCell ref="R30:T30"/>
    <mergeCell ref="U30:W30"/>
    <mergeCell ref="Y29:AA30"/>
    <mergeCell ref="C29:W29"/>
    <mergeCell ref="C30:E30"/>
    <mergeCell ref="F30:H30"/>
    <mergeCell ref="I30:K30"/>
    <mergeCell ref="C5:W5"/>
    <mergeCell ref="C6:E6"/>
    <mergeCell ref="F6:H6"/>
    <mergeCell ref="I6:K6"/>
    <mergeCell ref="L6:N6"/>
    <mergeCell ref="O6:Q6"/>
    <mergeCell ref="R6:T6"/>
    <mergeCell ref="U6:W6"/>
  </mergeCells>
  <phoneticPr fontId="4" type="noConversion"/>
  <pageMargins left="0.25" right="0.25" top="0.75" bottom="0.75" header="0.3" footer="0.3"/>
  <pageSetup paperSize="9" scale="43" orientation="landscape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S18"/>
  <sheetViews>
    <sheetView zoomScale="120" zoomScaleNormal="120" workbookViewId="0">
      <selection activeCell="T17" sqref="T17"/>
    </sheetView>
  </sheetViews>
  <sheetFormatPr baseColWidth="10" defaultColWidth="9.1640625" defaultRowHeight="16" x14ac:dyDescent="0.2"/>
  <cols>
    <col min="1" max="1" width="18.5" style="1" customWidth="1"/>
    <col min="2" max="13" width="8.6640625" style="1" customWidth="1"/>
    <col min="14" max="14" width="10" style="1" customWidth="1"/>
    <col min="15" max="15" width="3.33203125" style="1" customWidth="1"/>
    <col min="16" max="16" width="13.6640625" style="1" bestFit="1" customWidth="1"/>
    <col min="17" max="16384" width="9.1640625" style="1"/>
  </cols>
  <sheetData>
    <row r="2" spans="1:19" x14ac:dyDescent="0.2">
      <c r="A2" s="77" t="s">
        <v>81</v>
      </c>
    </row>
    <row r="3" spans="1:19" ht="17" thickBot="1" x14ac:dyDescent="0.25"/>
    <row r="4" spans="1:19" x14ac:dyDescent="0.2"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 t="s">
        <v>16</v>
      </c>
      <c r="M4" s="3" t="s">
        <v>17</v>
      </c>
    </row>
    <row r="5" spans="1:19" x14ac:dyDescent="0.2">
      <c r="B5" s="220">
        <v>18</v>
      </c>
      <c r="C5" s="220">
        <v>20</v>
      </c>
      <c r="D5" s="220">
        <v>23</v>
      </c>
      <c r="E5" s="220">
        <v>21</v>
      </c>
      <c r="F5" s="220">
        <v>21</v>
      </c>
      <c r="G5" s="220">
        <v>22</v>
      </c>
      <c r="H5" s="220">
        <v>22</v>
      </c>
      <c r="I5" s="220">
        <v>12</v>
      </c>
      <c r="J5" s="220">
        <v>22</v>
      </c>
      <c r="K5" s="220">
        <v>21</v>
      </c>
      <c r="L5" s="220">
        <v>21</v>
      </c>
      <c r="M5" s="220">
        <v>12</v>
      </c>
      <c r="N5" s="1">
        <f>SUM(B5:M5)</f>
        <v>235</v>
      </c>
      <c r="P5" s="220">
        <v>18</v>
      </c>
      <c r="Q5" s="220">
        <v>20</v>
      </c>
      <c r="R5" s="220">
        <v>23</v>
      </c>
      <c r="S5" s="220">
        <v>21</v>
      </c>
    </row>
    <row r="6" spans="1:19" ht="17" thickBot="1" x14ac:dyDescent="0.25"/>
    <row r="7" spans="1:19" x14ac:dyDescent="0.2">
      <c r="A7" s="2" t="s">
        <v>73</v>
      </c>
      <c r="B7" s="3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  <c r="L7" s="3" t="s">
        <v>16</v>
      </c>
      <c r="M7" s="3" t="s">
        <v>17</v>
      </c>
      <c r="N7" s="3" t="s">
        <v>5</v>
      </c>
      <c r="P7" s="3" t="s">
        <v>6</v>
      </c>
      <c r="Q7" s="3" t="s">
        <v>7</v>
      </c>
      <c r="R7" s="3" t="s">
        <v>8</v>
      </c>
      <c r="S7" s="3" t="s">
        <v>9</v>
      </c>
    </row>
    <row r="8" spans="1:19" x14ac:dyDescent="0.2">
      <c r="A8" s="4" t="s">
        <v>50</v>
      </c>
      <c r="B8" s="221">
        <f>IFERROR('Tab 2'!$C$14/$N$5*B$5,0)</f>
        <v>18863.320540150991</v>
      </c>
      <c r="C8" s="221">
        <f>IFERROR('Tab 2'!$C$14/$N$5*C$5,0)</f>
        <v>20959.245044612213</v>
      </c>
      <c r="D8" s="221">
        <f>IFERROR('Tab 2'!$C$14/$N$5*D$5,0)</f>
        <v>24103.131801304044</v>
      </c>
      <c r="E8" s="221">
        <f>IFERROR('Tab 2'!$C$14/$N$5*E$5,0)</f>
        <v>22007.207296842822</v>
      </c>
      <c r="F8" s="221">
        <f>IFERROR('Tab 2'!$C$14/$N$5*F$5,0)</f>
        <v>22007.207296842822</v>
      </c>
      <c r="G8" s="221">
        <f>IFERROR('Tab 2'!$C$14/$N$5*G$5,0)</f>
        <v>23055.169549073435</v>
      </c>
      <c r="H8" s="221">
        <f>IFERROR('Tab 2'!$C$14/$N$5*H$5,0)</f>
        <v>23055.169549073435</v>
      </c>
      <c r="I8" s="221">
        <f>IFERROR('Tab 2'!$C$14/$N$5*I$5,0)</f>
        <v>12575.547026767326</v>
      </c>
      <c r="J8" s="221">
        <f>IFERROR('Tab 2'!$C$14/$N$5*J$5,0)</f>
        <v>23055.169549073435</v>
      </c>
      <c r="K8" s="221">
        <f>IFERROR('Tab 2'!$C$14/$N$5*K$5,0)</f>
        <v>22007.207296842822</v>
      </c>
      <c r="L8" s="221">
        <f>IFERROR('Tab 2'!$C$14/$N$5*L$5,0)</f>
        <v>22007.207296842822</v>
      </c>
      <c r="M8" s="221">
        <f>IFERROR('Tab 2'!$C$14/$N$5*M$5,0)</f>
        <v>12575.547026767326</v>
      </c>
      <c r="N8" s="5">
        <f>SUM(B8:M8)</f>
        <v>246271.12927419355</v>
      </c>
      <c r="P8" s="221">
        <f>IFERROR('Tab 2'!$C$22/$N$5*P$5,0)</f>
        <v>19240.586950954017</v>
      </c>
      <c r="Q8" s="221">
        <f>IFERROR('Tab 2'!$C$22/$N$5*Q$5,0)</f>
        <v>21378.429945504464</v>
      </c>
      <c r="R8" s="221">
        <f>IFERROR('Tab 2'!$C$22/$N$5*R$5,0)</f>
        <v>24585.194437330134</v>
      </c>
      <c r="S8" s="221">
        <f>IFERROR('Tab 2'!$C$22/$N$5*S$5,0)</f>
        <v>22447.351442779687</v>
      </c>
    </row>
    <row r="9" spans="1:19" x14ac:dyDescent="0.2">
      <c r="A9" s="4" t="s">
        <v>82</v>
      </c>
      <c r="B9" s="221">
        <f>IFERROR('Tab 2'!$F$14/$N$5*B$5,0)</f>
        <v>33131.005957446803</v>
      </c>
      <c r="C9" s="221">
        <f>IFERROR('Tab 2'!$F$14/$N$5*C$5,0)</f>
        <v>36812.228841607561</v>
      </c>
      <c r="D9" s="221">
        <f>IFERROR('Tab 2'!$F$14/$N$5*D$5,0)</f>
        <v>42334.063167848697</v>
      </c>
      <c r="E9" s="221">
        <f>IFERROR('Tab 2'!$F$14/$N$5*E$5,0)</f>
        <v>38652.84028368794</v>
      </c>
      <c r="F9" s="221">
        <f>IFERROR('Tab 2'!$F$14/$N$5*F$5,0)</f>
        <v>38652.84028368794</v>
      </c>
      <c r="G9" s="221">
        <f>IFERROR('Tab 2'!$F$14/$N$5*G$5,0)</f>
        <v>40493.451725768318</v>
      </c>
      <c r="H9" s="221">
        <f>IFERROR('Tab 2'!$F$14/$N$5*H$5,0)</f>
        <v>40493.451725768318</v>
      </c>
      <c r="I9" s="221">
        <f>IFERROR('Tab 2'!$F$14/$N$5*I$5,0)</f>
        <v>22087.337304964538</v>
      </c>
      <c r="J9" s="221">
        <f>IFERROR('Tab 2'!$F$14/$N$5*J$5,0)</f>
        <v>40493.451725768318</v>
      </c>
      <c r="K9" s="221">
        <f>IFERROR('Tab 2'!$F$14/$N$5*K$5,0)</f>
        <v>38652.84028368794</v>
      </c>
      <c r="L9" s="221">
        <f>IFERROR('Tab 2'!$F$14/$N$5*L$5,0)</f>
        <v>38652.84028368794</v>
      </c>
      <c r="M9" s="221">
        <f>IFERROR('Tab 2'!$F$14/$N$5*M$5,0)</f>
        <v>22087.337304964538</v>
      </c>
      <c r="N9" s="5">
        <f>SUM(B9:M9)</f>
        <v>432543.68888888886</v>
      </c>
      <c r="P9" s="221">
        <f>IFERROR('Tab 2'!$F$22/$N$5*P$5,0)</f>
        <v>31805.765719148934</v>
      </c>
      <c r="Q9" s="221">
        <f>IFERROR('Tab 2'!$F$22/$N$5*Q$5,0)</f>
        <v>35339.739687943264</v>
      </c>
      <c r="R9" s="221">
        <f>IFERROR('Tab 2'!$F$22/$N$5*R$5,0)</f>
        <v>40640.700641134747</v>
      </c>
      <c r="S9" s="221">
        <f>IFERROR('Tab 2'!$F$22/$N$5*S$5,0)</f>
        <v>37106.726672340425</v>
      </c>
    </row>
    <row r="10" spans="1:19" x14ac:dyDescent="0.2">
      <c r="A10" s="4" t="s">
        <v>52</v>
      </c>
      <c r="B10" s="221">
        <f>IFERROR('Tab 2'!$I$14/$N$5*B$5,0)</f>
        <v>293.61702127659601</v>
      </c>
      <c r="C10" s="221">
        <f>IFERROR('Tab 2'!$I$14/$N$5*C$5,0)</f>
        <v>326.2411347517733</v>
      </c>
      <c r="D10" s="221">
        <f>IFERROR('Tab 2'!$I$14/$N$5*D$5,0)</f>
        <v>375.1773049645393</v>
      </c>
      <c r="E10" s="221">
        <f>IFERROR('Tab 2'!$I$14/$N$5*E$5,0)</f>
        <v>342.55319148936201</v>
      </c>
      <c r="F10" s="221">
        <f>IFERROR('Tab 2'!$I$14/$N$5*F$5,0)</f>
        <v>342.55319148936201</v>
      </c>
      <c r="G10" s="221">
        <f>IFERROR('Tab 2'!$I$14/$N$5*G$5,0)</f>
        <v>358.86524822695065</v>
      </c>
      <c r="H10" s="221">
        <f>IFERROR('Tab 2'!$I$14/$N$5*H$5,0)</f>
        <v>358.86524822695065</v>
      </c>
      <c r="I10" s="221">
        <f>IFERROR('Tab 2'!$I$14/$N$5*I$5,0)</f>
        <v>195.744680851064</v>
      </c>
      <c r="J10" s="221">
        <f>IFERROR('Tab 2'!$I$14/$N$5*J$5,0)</f>
        <v>358.86524822695065</v>
      </c>
      <c r="K10" s="221">
        <f>IFERROR('Tab 2'!$I$14/$N$5*K$5,0)</f>
        <v>342.55319148936201</v>
      </c>
      <c r="L10" s="221">
        <f>IFERROR('Tab 2'!$I$14/$N$5*L$5,0)</f>
        <v>342.55319148936201</v>
      </c>
      <c r="M10" s="221">
        <f>IFERROR('Tab 2'!$I$14/$N$5*M$5,0)</f>
        <v>195.744680851064</v>
      </c>
      <c r="N10" s="5">
        <f>SUM(B10:M10)</f>
        <v>3833.3333333333367</v>
      </c>
      <c r="P10" s="221">
        <f>IFERROR('Tab 2'!$I$22/$N$5*P$5,0)</f>
        <v>317.10638297872367</v>
      </c>
      <c r="Q10" s="221">
        <f>IFERROR('Tab 2'!$I$22/$N$5*Q$5,0)</f>
        <v>352.34042553191523</v>
      </c>
      <c r="R10" s="221">
        <f>IFERROR('Tab 2'!$I$22/$N$5*R$5,0)</f>
        <v>405.19148936170251</v>
      </c>
      <c r="S10" s="221">
        <f>IFERROR('Tab 2'!$I$22/$N$5*S$5,0)</f>
        <v>369.95744680851095</v>
      </c>
    </row>
    <row r="11" spans="1:19" ht="17" thickBot="1" x14ac:dyDescent="0.25">
      <c r="A11" s="6" t="s">
        <v>3</v>
      </c>
      <c r="B11" s="7">
        <f>SUM(B8:B10)</f>
        <v>52287.943518874388</v>
      </c>
      <c r="C11" s="7">
        <f t="shared" ref="C11:P11" si="0">SUM(C8:C10)</f>
        <v>58097.71502097154</v>
      </c>
      <c r="D11" s="7">
        <f t="shared" si="0"/>
        <v>66812.372274117282</v>
      </c>
      <c r="E11" s="7">
        <f t="shared" si="0"/>
        <v>61002.600772020131</v>
      </c>
      <c r="F11" s="7">
        <f t="shared" si="0"/>
        <v>61002.600772020131</v>
      </c>
      <c r="G11" s="7">
        <f t="shared" si="0"/>
        <v>63907.486523068706</v>
      </c>
      <c r="H11" s="7">
        <f t="shared" si="0"/>
        <v>63907.486523068706</v>
      </c>
      <c r="I11" s="7">
        <f t="shared" si="0"/>
        <v>34858.629012582933</v>
      </c>
      <c r="J11" s="7">
        <f t="shared" si="0"/>
        <v>63907.486523068706</v>
      </c>
      <c r="K11" s="7">
        <f t="shared" si="0"/>
        <v>61002.600772020131</v>
      </c>
      <c r="L11" s="7">
        <f t="shared" si="0"/>
        <v>61002.600772020131</v>
      </c>
      <c r="M11" s="7">
        <f t="shared" si="0"/>
        <v>34858.629012582933</v>
      </c>
      <c r="N11" s="7">
        <f t="shared" si="0"/>
        <v>682648.15149641584</v>
      </c>
      <c r="P11" s="7">
        <f t="shared" si="0"/>
        <v>51363.459053081671</v>
      </c>
      <c r="Q11" s="7">
        <f t="shared" ref="Q11:R11" si="1">SUM(Q8:Q10)</f>
        <v>57070.510058979649</v>
      </c>
      <c r="R11" s="7">
        <f t="shared" si="1"/>
        <v>65631.086567826584</v>
      </c>
      <c r="S11" s="7">
        <f t="shared" ref="S11" si="2">SUM(S8:S10)</f>
        <v>59924.03556192862</v>
      </c>
    </row>
    <row r="12" spans="1:19" x14ac:dyDescent="0.2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9" ht="17" thickBot="1" x14ac:dyDescent="0.25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9" x14ac:dyDescent="0.2">
      <c r="A14" s="2" t="s">
        <v>74</v>
      </c>
      <c r="B14" s="3" t="s">
        <v>6</v>
      </c>
      <c r="C14" s="3" t="s">
        <v>7</v>
      </c>
      <c r="D14" s="3" t="s">
        <v>8</v>
      </c>
      <c r="E14" s="3" t="s">
        <v>9</v>
      </c>
      <c r="F14" s="3" t="s">
        <v>10</v>
      </c>
      <c r="G14" s="3" t="s">
        <v>11</v>
      </c>
      <c r="H14" s="3" t="s">
        <v>12</v>
      </c>
      <c r="I14" s="3" t="s">
        <v>13</v>
      </c>
      <c r="J14" s="3" t="s">
        <v>14</v>
      </c>
      <c r="K14" s="3" t="s">
        <v>15</v>
      </c>
      <c r="L14" s="3" t="s">
        <v>16</v>
      </c>
      <c r="M14" s="3" t="s">
        <v>17</v>
      </c>
      <c r="N14" s="3" t="s">
        <v>5</v>
      </c>
      <c r="P14" s="3" t="s">
        <v>6</v>
      </c>
      <c r="Q14" s="3" t="s">
        <v>7</v>
      </c>
      <c r="R14" s="3" t="s">
        <v>8</v>
      </c>
      <c r="S14" s="3" t="s">
        <v>9</v>
      </c>
    </row>
    <row r="15" spans="1:19" x14ac:dyDescent="0.2">
      <c r="A15" s="4" t="s">
        <v>50</v>
      </c>
      <c r="B15" s="221">
        <f>'Tab 2'!$C$15/$N$5*B$5</f>
        <v>1198.375657844887</v>
      </c>
      <c r="C15" s="221">
        <f>'Tab 2'!$C$15/$N$5*C$5</f>
        <v>1331.528508716541</v>
      </c>
      <c r="D15" s="221">
        <f>'Tab 2'!$C$15/$N$5*D$5</f>
        <v>1531.257785024022</v>
      </c>
      <c r="E15" s="221">
        <f>'Tab 2'!$C$15/$N$5*E$5</f>
        <v>1398.1049341523681</v>
      </c>
      <c r="F15" s="221">
        <f>'Tab 2'!$C$15/$N$5*F$5</f>
        <v>1398.1049341523681</v>
      </c>
      <c r="G15" s="221">
        <f>'Tab 2'!$C$15/$N$5*G$5</f>
        <v>1464.6813595881949</v>
      </c>
      <c r="H15" s="221">
        <f>'Tab 2'!$C$15/$N$5*H$5</f>
        <v>1464.6813595881949</v>
      </c>
      <c r="I15" s="221">
        <f>'Tab 2'!$C$15/$N$5*I$5</f>
        <v>798.91710522992457</v>
      </c>
      <c r="J15" s="221">
        <f>'Tab 2'!$C$15/$N$5*J$5</f>
        <v>1464.6813595881949</v>
      </c>
      <c r="K15" s="221">
        <f>'Tab 2'!$C$15/$N$5*K$5</f>
        <v>1398.1049341523681</v>
      </c>
      <c r="L15" s="221">
        <f>'Tab 2'!$C$15/$N$5*L$5</f>
        <v>1398.1049341523681</v>
      </c>
      <c r="M15" s="221">
        <f>'Tab 2'!$C$15/$N$5*M$5</f>
        <v>798.91710522992457</v>
      </c>
      <c r="N15" s="5">
        <f>SUM(B15:M15)</f>
        <v>15645.459977419356</v>
      </c>
      <c r="P15" s="221">
        <f>'Tab 2'!$C$23/$N$5*P$5</f>
        <v>1222.3431710017846</v>
      </c>
      <c r="Q15" s="221">
        <f>'Tab 2'!$C$23/$N$5*Q$5</f>
        <v>1358.1590788908718</v>
      </c>
      <c r="R15" s="221">
        <f>'Tab 2'!$C$23/$N$5*R$5</f>
        <v>1561.8829407245025</v>
      </c>
      <c r="S15" s="221">
        <f>'Tab 2'!$C$23/$N$5*S$5</f>
        <v>1426.0670328354154</v>
      </c>
    </row>
    <row r="16" spans="1:19" x14ac:dyDescent="0.2">
      <c r="A16" s="4" t="s">
        <v>82</v>
      </c>
      <c r="B16" s="221">
        <f>'Tab 2'!$F$15/$N$5*B$5</f>
        <v>0</v>
      </c>
      <c r="C16" s="221">
        <f>'Tab 2'!$F$15/$N$5*C$5</f>
        <v>0</v>
      </c>
      <c r="D16" s="221">
        <f>'Tab 2'!$F$15/$N$5*D$5</f>
        <v>0</v>
      </c>
      <c r="E16" s="221">
        <f>'Tab 2'!$F$15/$N$5*E$5</f>
        <v>0</v>
      </c>
      <c r="F16" s="221">
        <f>'Tab 2'!$F$15/$N$5*F$5</f>
        <v>0</v>
      </c>
      <c r="G16" s="221">
        <f>'Tab 2'!$F$15/$N$5*G$5</f>
        <v>0</v>
      </c>
      <c r="H16" s="221">
        <f>'Tab 2'!$F$15/$N$5*H$5</f>
        <v>0</v>
      </c>
      <c r="I16" s="221">
        <f>'Tab 2'!$F$15/$N$5*I$5</f>
        <v>0</v>
      </c>
      <c r="J16" s="221">
        <f>'Tab 2'!$F$15/$N$5*J$5</f>
        <v>0</v>
      </c>
      <c r="K16" s="221">
        <f>'Tab 2'!$F$15/$N$5*K$5</f>
        <v>0</v>
      </c>
      <c r="L16" s="221">
        <f>'Tab 2'!$F$15/$N$5*L$5</f>
        <v>0</v>
      </c>
      <c r="M16" s="221">
        <f>'Tab 2'!$F$15/$N$5*M$5</f>
        <v>0</v>
      </c>
      <c r="N16" s="5">
        <f>SUM(B16:M16)</f>
        <v>0</v>
      </c>
      <c r="P16" s="221">
        <f>'Tab 2'!$F$23/$N$5*P$5</f>
        <v>0</v>
      </c>
      <c r="Q16" s="221">
        <f>'Tab 2'!$F$23/$N$5*Q$5</f>
        <v>0</v>
      </c>
      <c r="R16" s="221">
        <f>'Tab 2'!$F$23/$N$5*R$5</f>
        <v>0</v>
      </c>
      <c r="S16" s="221">
        <f>'Tab 2'!$F$23/$N$5*S$5</f>
        <v>0</v>
      </c>
    </row>
    <row r="17" spans="1:19" x14ac:dyDescent="0.2">
      <c r="A17" s="4" t="s">
        <v>52</v>
      </c>
      <c r="B17" s="221">
        <f>'Tab 2'!$I$15/$N$5*B$5</f>
        <v>2008.3404255319151</v>
      </c>
      <c r="C17" s="221">
        <f>'Tab 2'!$I$15/$N$5*C$5</f>
        <v>2231.489361702128</v>
      </c>
      <c r="D17" s="221">
        <f>'Tab 2'!$I$15/$N$5*D$5</f>
        <v>2566.2127659574471</v>
      </c>
      <c r="E17" s="221">
        <f>'Tab 2'!$I$15/$N$5*E$5</f>
        <v>2343.0638297872342</v>
      </c>
      <c r="F17" s="221">
        <f>'Tab 2'!$I$15/$N$5*F$5</f>
        <v>2343.0638297872342</v>
      </c>
      <c r="G17" s="221">
        <f>'Tab 2'!$I$15/$N$5*G$5</f>
        <v>2454.6382978723404</v>
      </c>
      <c r="H17" s="221">
        <f>'Tab 2'!$I$15/$N$5*H$5</f>
        <v>2454.6382978723404</v>
      </c>
      <c r="I17" s="221">
        <f>'Tab 2'!$I$15/$N$5*I$5</f>
        <v>1338.8936170212767</v>
      </c>
      <c r="J17" s="221">
        <f>'Tab 2'!$I$15/$N$5*J$5</f>
        <v>2454.6382978723404</v>
      </c>
      <c r="K17" s="221">
        <f>'Tab 2'!$I$15/$N$5*K$5</f>
        <v>2343.0638297872342</v>
      </c>
      <c r="L17" s="221">
        <f>'Tab 2'!$I$15/$N$5*L$5</f>
        <v>2343.0638297872342</v>
      </c>
      <c r="M17" s="221">
        <f>'Tab 2'!$I$15/$N$5*M$5</f>
        <v>1338.8936170212767</v>
      </c>
      <c r="N17" s="5">
        <f>SUM(B17:M17)</f>
        <v>26220.000000000004</v>
      </c>
      <c r="P17" s="221">
        <f>'Tab 2'!$I$23/$N$5*P$5</f>
        <v>2169.0076595744681</v>
      </c>
      <c r="Q17" s="221">
        <f>'Tab 2'!$I$23/$N$5*Q$5</f>
        <v>2410.0085106382976</v>
      </c>
      <c r="R17" s="221">
        <f>'Tab 2'!$I$23/$N$5*R$5</f>
        <v>2771.5097872340425</v>
      </c>
      <c r="S17" s="221">
        <f>'Tab 2'!$I$23/$N$5*S$5</f>
        <v>2530.5089361702126</v>
      </c>
    </row>
    <row r="18" spans="1:19" ht="17" thickBot="1" x14ac:dyDescent="0.25">
      <c r="A18" s="6" t="s">
        <v>3</v>
      </c>
      <c r="B18" s="7">
        <f t="shared" ref="B18:R18" si="3">SUM(B15:B17)</f>
        <v>3206.7160833768021</v>
      </c>
      <c r="C18" s="7">
        <f t="shared" si="3"/>
        <v>3563.0178704186692</v>
      </c>
      <c r="D18" s="7">
        <f t="shared" si="3"/>
        <v>4097.4705509814694</v>
      </c>
      <c r="E18" s="7">
        <f t="shared" si="3"/>
        <v>3741.1687639396023</v>
      </c>
      <c r="F18" s="7">
        <f t="shared" si="3"/>
        <v>3741.1687639396023</v>
      </c>
      <c r="G18" s="7">
        <f t="shared" si="3"/>
        <v>3919.3196574605354</v>
      </c>
      <c r="H18" s="7">
        <f t="shared" si="3"/>
        <v>3919.3196574605354</v>
      </c>
      <c r="I18" s="7">
        <f t="shared" si="3"/>
        <v>2137.8107222512012</v>
      </c>
      <c r="J18" s="7">
        <f t="shared" si="3"/>
        <v>3919.3196574605354</v>
      </c>
      <c r="K18" s="7">
        <f t="shared" si="3"/>
        <v>3741.1687639396023</v>
      </c>
      <c r="L18" s="7">
        <f t="shared" si="3"/>
        <v>3741.1687639396023</v>
      </c>
      <c r="M18" s="7">
        <f t="shared" si="3"/>
        <v>2137.8107222512012</v>
      </c>
      <c r="N18" s="7">
        <f t="shared" si="3"/>
        <v>41865.459977419363</v>
      </c>
      <c r="P18" s="7">
        <f t="shared" si="3"/>
        <v>3391.3508305762525</v>
      </c>
      <c r="Q18" s="7">
        <f t="shared" si="3"/>
        <v>3768.1675895291692</v>
      </c>
      <c r="R18" s="7">
        <f t="shared" si="3"/>
        <v>4333.392727958545</v>
      </c>
      <c r="S18" s="7">
        <f t="shared" ref="S18" si="4">SUM(S15:S17)</f>
        <v>3956.5759690056279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5838C-D911-D347-B649-C01EDEEC66D0}">
  <sheetPr>
    <tabColor indexed="13"/>
  </sheetPr>
  <dimension ref="A2:M14"/>
  <sheetViews>
    <sheetView zoomScale="120" zoomScaleNormal="120" workbookViewId="0">
      <selection activeCell="M36" sqref="M36"/>
    </sheetView>
  </sheetViews>
  <sheetFormatPr baseColWidth="10" defaultRowHeight="13" x14ac:dyDescent="0.15"/>
  <sheetData>
    <row r="2" spans="1:13" ht="21" x14ac:dyDescent="0.25">
      <c r="A2" s="59" t="s">
        <v>33</v>
      </c>
    </row>
    <row r="3" spans="1:13" ht="14" thickBot="1" x14ac:dyDescent="0.2"/>
    <row r="4" spans="1:13" ht="16" x14ac:dyDescent="0.2">
      <c r="A4" s="222" t="s">
        <v>73</v>
      </c>
      <c r="B4" s="223" t="s">
        <v>6</v>
      </c>
      <c r="C4" s="223" t="s">
        <v>7</v>
      </c>
      <c r="D4" s="223" t="s">
        <v>8</v>
      </c>
      <c r="E4" s="223" t="s">
        <v>9</v>
      </c>
      <c r="F4" s="223" t="s">
        <v>10</v>
      </c>
      <c r="G4" s="223" t="s">
        <v>11</v>
      </c>
      <c r="H4" s="223" t="s">
        <v>12</v>
      </c>
      <c r="I4" s="223" t="s">
        <v>13</v>
      </c>
      <c r="J4" s="223" t="s">
        <v>14</v>
      </c>
      <c r="K4" s="223" t="s">
        <v>15</v>
      </c>
      <c r="L4" s="223" t="s">
        <v>16</v>
      </c>
      <c r="M4" s="224" t="s">
        <v>17</v>
      </c>
    </row>
    <row r="5" spans="1:13" ht="16" x14ac:dyDescent="0.2">
      <c r="A5" s="225" t="s">
        <v>50</v>
      </c>
      <c r="B5" s="60">
        <f>+'Tab 2'!$D$14</f>
        <v>180</v>
      </c>
      <c r="C5" s="60">
        <f>+'Tab 2'!$D$14</f>
        <v>180</v>
      </c>
      <c r="D5" s="60">
        <f>+'Tab 2'!$D$14</f>
        <v>180</v>
      </c>
      <c r="E5" s="60">
        <f>+'Tab 2'!$D$14</f>
        <v>180</v>
      </c>
      <c r="F5" s="60">
        <f>+'Tab 2'!$D$14</f>
        <v>180</v>
      </c>
      <c r="G5" s="60">
        <f>+'Tab 2'!$D$14</f>
        <v>180</v>
      </c>
      <c r="H5" s="60">
        <f>+'Tab 2'!$D$14</f>
        <v>180</v>
      </c>
      <c r="I5" s="60">
        <f>+'Tab 2'!$D$14</f>
        <v>180</v>
      </c>
      <c r="J5" s="60">
        <f>+'Tab 2'!$D$14</f>
        <v>180</v>
      </c>
      <c r="K5" s="60">
        <f>+'Tab 2'!$D$14</f>
        <v>180</v>
      </c>
      <c r="L5" s="60">
        <f>+'Tab 2'!$D$14</f>
        <v>180</v>
      </c>
      <c r="M5" s="227">
        <f>+'Tab 2'!$D$14</f>
        <v>180</v>
      </c>
    </row>
    <row r="6" spans="1:13" ht="16" x14ac:dyDescent="0.2">
      <c r="A6" s="225" t="s">
        <v>82</v>
      </c>
      <c r="B6" s="60">
        <f>'Tab 2'!$G$14</f>
        <v>180</v>
      </c>
      <c r="C6" s="60">
        <f>'Tab 2'!$G$14</f>
        <v>180</v>
      </c>
      <c r="D6" s="60">
        <f>'Tab 2'!$G$14</f>
        <v>180</v>
      </c>
      <c r="E6" s="60">
        <f>'Tab 2'!$G$14</f>
        <v>180</v>
      </c>
      <c r="F6" s="60">
        <f>'Tab 2'!$G$14</f>
        <v>180</v>
      </c>
      <c r="G6" s="60">
        <f>'Tab 2'!$G$14</f>
        <v>180</v>
      </c>
      <c r="H6" s="60">
        <f>'Tab 2'!$G$14</f>
        <v>180</v>
      </c>
      <c r="I6" s="60">
        <f>'Tab 2'!$G$14</f>
        <v>180</v>
      </c>
      <c r="J6" s="60">
        <f>'Tab 2'!$G$14</f>
        <v>180</v>
      </c>
      <c r="K6" s="60">
        <f>'Tab 2'!$G$14</f>
        <v>180</v>
      </c>
      <c r="L6" s="60">
        <f>'Tab 2'!$G$14</f>
        <v>180</v>
      </c>
      <c r="M6" s="227">
        <f>'Tab 2'!$G$14</f>
        <v>180</v>
      </c>
    </row>
    <row r="7" spans="1:13" ht="17" thickBot="1" x14ac:dyDescent="0.25">
      <c r="A7" s="226" t="s">
        <v>52</v>
      </c>
      <c r="B7" s="61">
        <f>'Tab 2'!$J$14</f>
        <v>180</v>
      </c>
      <c r="C7" s="61">
        <f>'Tab 2'!$J$14</f>
        <v>180</v>
      </c>
      <c r="D7" s="61">
        <f>'Tab 2'!$J$14</f>
        <v>180</v>
      </c>
      <c r="E7" s="61">
        <f>'Tab 2'!$J$14</f>
        <v>180</v>
      </c>
      <c r="F7" s="61">
        <f>'Tab 2'!$J$14</f>
        <v>180</v>
      </c>
      <c r="G7" s="61">
        <f>'Tab 2'!$J$14</f>
        <v>180</v>
      </c>
      <c r="H7" s="61">
        <f>'Tab 2'!$J$14</f>
        <v>180</v>
      </c>
      <c r="I7" s="61">
        <f>'Tab 2'!$J$14</f>
        <v>180</v>
      </c>
      <c r="J7" s="61">
        <f>'Tab 2'!$J$14</f>
        <v>180</v>
      </c>
      <c r="K7" s="61">
        <f>'Tab 2'!$J$14</f>
        <v>180</v>
      </c>
      <c r="L7" s="61">
        <f>'Tab 2'!$J$14</f>
        <v>180</v>
      </c>
      <c r="M7" s="228">
        <f>'Tab 2'!$J$14</f>
        <v>180</v>
      </c>
    </row>
    <row r="8" spans="1:13" ht="16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 ht="1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7" thickBo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16" x14ac:dyDescent="0.2">
      <c r="A11" s="222" t="s">
        <v>74</v>
      </c>
      <c r="B11" s="223" t="s">
        <v>6</v>
      </c>
      <c r="C11" s="223" t="s">
        <v>7</v>
      </c>
      <c r="D11" s="223" t="s">
        <v>8</v>
      </c>
      <c r="E11" s="223" t="s">
        <v>9</v>
      </c>
      <c r="F11" s="223" t="s">
        <v>10</v>
      </c>
      <c r="G11" s="223" t="s">
        <v>11</v>
      </c>
      <c r="H11" s="223" t="s">
        <v>12</v>
      </c>
      <c r="I11" s="223" t="s">
        <v>13</v>
      </c>
      <c r="J11" s="223" t="s">
        <v>14</v>
      </c>
      <c r="K11" s="223" t="s">
        <v>15</v>
      </c>
      <c r="L11" s="223" t="s">
        <v>16</v>
      </c>
      <c r="M11" s="224" t="s">
        <v>17</v>
      </c>
    </row>
    <row r="12" spans="1:13" ht="16" x14ac:dyDescent="0.2">
      <c r="A12" s="225" t="s">
        <v>50</v>
      </c>
      <c r="B12" s="60">
        <f>'Tab 2'!$D$15</f>
        <v>500</v>
      </c>
      <c r="C12" s="60">
        <f>'Tab 2'!$D$15</f>
        <v>500</v>
      </c>
      <c r="D12" s="60">
        <f>'Tab 2'!$D$15</f>
        <v>500</v>
      </c>
      <c r="E12" s="60">
        <f>'Tab 2'!$D$15</f>
        <v>500</v>
      </c>
      <c r="F12" s="60">
        <f>'Tab 2'!$D$15</f>
        <v>500</v>
      </c>
      <c r="G12" s="60">
        <f>'Tab 2'!$D$15</f>
        <v>500</v>
      </c>
      <c r="H12" s="60">
        <f>'Tab 2'!$D$15</f>
        <v>500</v>
      </c>
      <c r="I12" s="60">
        <f>'Tab 2'!$D$15</f>
        <v>500</v>
      </c>
      <c r="J12" s="60">
        <f>'Tab 2'!$D$15</f>
        <v>500</v>
      </c>
      <c r="K12" s="60">
        <f>'Tab 2'!$D$15</f>
        <v>500</v>
      </c>
      <c r="L12" s="60">
        <f>'Tab 2'!$D$15</f>
        <v>500</v>
      </c>
      <c r="M12" s="227">
        <f>'Tab 2'!$D$15</f>
        <v>500</v>
      </c>
    </row>
    <row r="13" spans="1:13" ht="16" x14ac:dyDescent="0.2">
      <c r="A13" s="225" t="s">
        <v>82</v>
      </c>
      <c r="B13" s="60">
        <f>'Tab 2'!$G$15</f>
        <v>500</v>
      </c>
      <c r="C13" s="60">
        <f>'Tab 2'!$G$15</f>
        <v>500</v>
      </c>
      <c r="D13" s="60">
        <f>'Tab 2'!$G$15</f>
        <v>500</v>
      </c>
      <c r="E13" s="60">
        <f>'Tab 2'!$G$15</f>
        <v>500</v>
      </c>
      <c r="F13" s="60">
        <f>'Tab 2'!$G$15</f>
        <v>500</v>
      </c>
      <c r="G13" s="60">
        <f>'Tab 2'!$G$15</f>
        <v>500</v>
      </c>
      <c r="H13" s="60">
        <f>'Tab 2'!$G$15</f>
        <v>500</v>
      </c>
      <c r="I13" s="60">
        <f>'Tab 2'!$G$15</f>
        <v>500</v>
      </c>
      <c r="J13" s="60">
        <f>'Tab 2'!$G$15</f>
        <v>500</v>
      </c>
      <c r="K13" s="60">
        <f>'Tab 2'!$G$15</f>
        <v>500</v>
      </c>
      <c r="L13" s="60">
        <f>'Tab 2'!$G$15</f>
        <v>500</v>
      </c>
      <c r="M13" s="227">
        <f>'Tab 2'!$G$15</f>
        <v>500</v>
      </c>
    </row>
    <row r="14" spans="1:13" ht="17" thickBot="1" x14ac:dyDescent="0.25">
      <c r="A14" s="226" t="s">
        <v>52</v>
      </c>
      <c r="B14" s="61">
        <f>'Tab 2'!$J$15</f>
        <v>500</v>
      </c>
      <c r="C14" s="61">
        <f>'Tab 2'!$J$15</f>
        <v>500</v>
      </c>
      <c r="D14" s="61">
        <f>'Tab 2'!$J$15</f>
        <v>500</v>
      </c>
      <c r="E14" s="61">
        <f>'Tab 2'!$J$15</f>
        <v>500</v>
      </c>
      <c r="F14" s="61">
        <f>'Tab 2'!$J$15</f>
        <v>500</v>
      </c>
      <c r="G14" s="61">
        <f>'Tab 2'!$J$15</f>
        <v>500</v>
      </c>
      <c r="H14" s="61">
        <f>'Tab 2'!$J$15</f>
        <v>500</v>
      </c>
      <c r="I14" s="61">
        <f>'Tab 2'!$J$15</f>
        <v>500</v>
      </c>
      <c r="J14" s="61">
        <f>'Tab 2'!$J$15</f>
        <v>500</v>
      </c>
      <c r="K14" s="61">
        <f>'Tab 2'!$J$15</f>
        <v>500</v>
      </c>
      <c r="L14" s="61">
        <f>'Tab 2'!$J$15</f>
        <v>500</v>
      </c>
      <c r="M14" s="228">
        <f>'Tab 2'!$J$15</f>
        <v>500</v>
      </c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2:P79"/>
  <sheetViews>
    <sheetView topLeftCell="A40" zoomScale="140" zoomScaleNormal="140" workbookViewId="0">
      <selection activeCell="M10" sqref="M10"/>
    </sheetView>
  </sheetViews>
  <sheetFormatPr baseColWidth="10" defaultColWidth="9.1640625" defaultRowHeight="16" x14ac:dyDescent="0.2"/>
  <cols>
    <col min="1" max="1" width="22.6640625" style="1" customWidth="1"/>
    <col min="2" max="2" width="11.1640625" style="1" bestFit="1" customWidth="1"/>
    <col min="3" max="13" width="12.83203125" style="1" customWidth="1"/>
    <col min="14" max="14" width="12.6640625" style="1" customWidth="1"/>
    <col min="15" max="15" width="9.1640625" style="1"/>
    <col min="16" max="16" width="12.33203125" style="1" customWidth="1"/>
    <col min="17" max="16384" width="9.1640625" style="1"/>
  </cols>
  <sheetData>
    <row r="2" spans="1:16" ht="17" thickBot="1" x14ac:dyDescent="0.25"/>
    <row r="3" spans="1:16" x14ac:dyDescent="0.2">
      <c r="A3" s="3" t="s">
        <v>91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 t="s">
        <v>17</v>
      </c>
      <c r="N3" s="53" t="s">
        <v>5</v>
      </c>
    </row>
    <row r="4" spans="1:16" x14ac:dyDescent="0.2">
      <c r="A4" s="1" t="s">
        <v>30</v>
      </c>
      <c r="B4" s="54">
        <f>B29+B77+B52</f>
        <v>52287.943518874396</v>
      </c>
      <c r="C4" s="54">
        <f t="shared" ref="C4:M4" si="0">C29+C77+C52</f>
        <v>58097.715020971547</v>
      </c>
      <c r="D4" s="54">
        <f t="shared" si="0"/>
        <v>66812.372274117282</v>
      </c>
      <c r="E4" s="54">
        <f t="shared" si="0"/>
        <v>61002.600772020123</v>
      </c>
      <c r="F4" s="54">
        <f t="shared" si="0"/>
        <v>61002.600772020123</v>
      </c>
      <c r="G4" s="54">
        <f t="shared" si="0"/>
        <v>63907.486523068699</v>
      </c>
      <c r="H4" s="54">
        <f t="shared" si="0"/>
        <v>63907.486523068699</v>
      </c>
      <c r="I4" s="54">
        <f t="shared" si="0"/>
        <v>34858.629012582925</v>
      </c>
      <c r="J4" s="54">
        <f t="shared" si="0"/>
        <v>63907.486523068699</v>
      </c>
      <c r="K4" s="54">
        <f t="shared" si="0"/>
        <v>61002.600772020123</v>
      </c>
      <c r="L4" s="54">
        <f t="shared" si="0"/>
        <v>61002.600772020123</v>
      </c>
      <c r="M4" s="54">
        <f t="shared" si="0"/>
        <v>34858.629012582925</v>
      </c>
      <c r="N4" s="55">
        <f>SUM(B4:M4)</f>
        <v>682648.15149641572</v>
      </c>
    </row>
    <row r="5" spans="1:16" x14ac:dyDescent="0.2">
      <c r="A5" s="1" t="s">
        <v>31</v>
      </c>
      <c r="B5" s="72">
        <f>B6/B4</f>
        <v>179.99999999999997</v>
      </c>
      <c r="C5" s="72">
        <f t="shared" ref="C5:M5" si="1">C6/C4</f>
        <v>180</v>
      </c>
      <c r="D5" s="72">
        <f t="shared" si="1"/>
        <v>179.99999999999997</v>
      </c>
      <c r="E5" s="72">
        <f t="shared" si="1"/>
        <v>180</v>
      </c>
      <c r="F5" s="72">
        <f t="shared" si="1"/>
        <v>180</v>
      </c>
      <c r="G5" s="72">
        <f t="shared" si="1"/>
        <v>180</v>
      </c>
      <c r="H5" s="72">
        <f t="shared" si="1"/>
        <v>180</v>
      </c>
      <c r="I5" s="72">
        <f t="shared" si="1"/>
        <v>180</v>
      </c>
      <c r="J5" s="72">
        <f t="shared" si="1"/>
        <v>180</v>
      </c>
      <c r="K5" s="72">
        <f t="shared" si="1"/>
        <v>180</v>
      </c>
      <c r="L5" s="72">
        <f t="shared" si="1"/>
        <v>180</v>
      </c>
      <c r="M5" s="72">
        <f t="shared" si="1"/>
        <v>180</v>
      </c>
      <c r="N5" s="73">
        <f>N6/N4</f>
        <v>180</v>
      </c>
      <c r="P5" s="1" t="s">
        <v>86</v>
      </c>
    </row>
    <row r="6" spans="1:16" x14ac:dyDescent="0.2">
      <c r="A6" s="10" t="s">
        <v>32</v>
      </c>
      <c r="B6" s="56">
        <f>B31+B79+B54</f>
        <v>9411829.8333973903</v>
      </c>
      <c r="C6" s="56">
        <f t="shared" ref="C6:M6" si="2">C31+C79+C54</f>
        <v>10457588.703774879</v>
      </c>
      <c r="D6" s="56">
        <f t="shared" si="2"/>
        <v>12026227.00934111</v>
      </c>
      <c r="E6" s="56">
        <f t="shared" si="2"/>
        <v>10980468.138963623</v>
      </c>
      <c r="F6" s="56">
        <f t="shared" si="2"/>
        <v>10980468.138963623</v>
      </c>
      <c r="G6" s="56">
        <f t="shared" si="2"/>
        <v>11503347.574152365</v>
      </c>
      <c r="H6" s="56">
        <f t="shared" si="2"/>
        <v>11503347.574152365</v>
      </c>
      <c r="I6" s="56">
        <f t="shared" si="2"/>
        <v>6274553.2222649269</v>
      </c>
      <c r="J6" s="56">
        <f t="shared" si="2"/>
        <v>11503347.574152365</v>
      </c>
      <c r="K6" s="56">
        <f t="shared" si="2"/>
        <v>10980468.138963623</v>
      </c>
      <c r="L6" s="56">
        <f t="shared" si="2"/>
        <v>10980468.138963623</v>
      </c>
      <c r="M6" s="56">
        <f t="shared" si="2"/>
        <v>6274553.2222649269</v>
      </c>
      <c r="N6" s="57">
        <f>SUM(B6:M6)</f>
        <v>122876667.26935484</v>
      </c>
      <c r="P6" s="82">
        <f>+N6-'Tab 3'!AA36</f>
        <v>0</v>
      </c>
    </row>
    <row r="27" spans="1:14" ht="17" thickBot="1" x14ac:dyDescent="0.25"/>
    <row r="28" spans="1:14" x14ac:dyDescent="0.2">
      <c r="A28" s="3" t="s">
        <v>92</v>
      </c>
      <c r="B28" s="3" t="s">
        <v>6</v>
      </c>
      <c r="C28" s="3" t="s">
        <v>7</v>
      </c>
      <c r="D28" s="3" t="s">
        <v>8</v>
      </c>
      <c r="E28" s="3" t="s">
        <v>9</v>
      </c>
      <c r="F28" s="3" t="s">
        <v>10</v>
      </c>
      <c r="G28" s="3" t="s">
        <v>11</v>
      </c>
      <c r="H28" s="3" t="s">
        <v>12</v>
      </c>
      <c r="I28" s="3" t="s">
        <v>13</v>
      </c>
      <c r="J28" s="3" t="s">
        <v>14</v>
      </c>
      <c r="K28" s="3" t="s">
        <v>15</v>
      </c>
      <c r="L28" s="3" t="s">
        <v>16</v>
      </c>
      <c r="M28" s="3" t="s">
        <v>17</v>
      </c>
      <c r="N28" s="53" t="s">
        <v>5</v>
      </c>
    </row>
    <row r="29" spans="1:14" x14ac:dyDescent="0.2">
      <c r="A29" s="1" t="s">
        <v>30</v>
      </c>
      <c r="B29" s="54">
        <f>QUANTITÀ!B8</f>
        <v>18863.320540150991</v>
      </c>
      <c r="C29" s="54">
        <f>QUANTITÀ!C8</f>
        <v>20959.245044612213</v>
      </c>
      <c r="D29" s="54">
        <f>QUANTITÀ!D8</f>
        <v>24103.131801304044</v>
      </c>
      <c r="E29" s="54">
        <f>QUANTITÀ!E8</f>
        <v>22007.207296842822</v>
      </c>
      <c r="F29" s="54">
        <f>QUANTITÀ!F8</f>
        <v>22007.207296842822</v>
      </c>
      <c r="G29" s="54">
        <f>QUANTITÀ!G8</f>
        <v>23055.169549073435</v>
      </c>
      <c r="H29" s="54">
        <f>QUANTITÀ!H8</f>
        <v>23055.169549073435</v>
      </c>
      <c r="I29" s="54">
        <f>QUANTITÀ!I8</f>
        <v>12575.547026767326</v>
      </c>
      <c r="J29" s="54">
        <f>QUANTITÀ!J8</f>
        <v>23055.169549073435</v>
      </c>
      <c r="K29" s="54">
        <f>QUANTITÀ!K8</f>
        <v>22007.207296842822</v>
      </c>
      <c r="L29" s="54">
        <f>QUANTITÀ!L8</f>
        <v>22007.207296842822</v>
      </c>
      <c r="M29" s="54">
        <f>QUANTITÀ!M8</f>
        <v>12575.547026767326</v>
      </c>
      <c r="N29" s="55">
        <f>SUM(B29:M29)</f>
        <v>246271.12927419355</v>
      </c>
    </row>
    <row r="30" spans="1:14" x14ac:dyDescent="0.2">
      <c r="A30" s="1" t="s">
        <v>31</v>
      </c>
      <c r="B30" s="72">
        <f>PREZZI!B5</f>
        <v>180</v>
      </c>
      <c r="C30" s="72">
        <f>PREZZI!C5</f>
        <v>180</v>
      </c>
      <c r="D30" s="72">
        <f>PREZZI!D5</f>
        <v>180</v>
      </c>
      <c r="E30" s="72">
        <f>PREZZI!E5</f>
        <v>180</v>
      </c>
      <c r="F30" s="72">
        <f>PREZZI!F5</f>
        <v>180</v>
      </c>
      <c r="G30" s="72">
        <f>PREZZI!G5</f>
        <v>180</v>
      </c>
      <c r="H30" s="72">
        <f>PREZZI!H5</f>
        <v>180</v>
      </c>
      <c r="I30" s="72">
        <f>PREZZI!I5</f>
        <v>180</v>
      </c>
      <c r="J30" s="72">
        <f>PREZZI!J5</f>
        <v>180</v>
      </c>
      <c r="K30" s="72">
        <f>PREZZI!K5</f>
        <v>180</v>
      </c>
      <c r="L30" s="72">
        <f>PREZZI!L5</f>
        <v>180</v>
      </c>
      <c r="M30" s="72">
        <f>PREZZI!M5</f>
        <v>180</v>
      </c>
      <c r="N30" s="73">
        <f>(N31)/N29</f>
        <v>180.00000000000003</v>
      </c>
    </row>
    <row r="31" spans="1:14" x14ac:dyDescent="0.2">
      <c r="A31" s="10" t="s">
        <v>32</v>
      </c>
      <c r="B31" s="56">
        <f>B29*B30</f>
        <v>3395397.6972271786</v>
      </c>
      <c r="C31" s="56">
        <f t="shared" ref="C31:M31" si="3">C29*C30</f>
        <v>3772664.1080301981</v>
      </c>
      <c r="D31" s="56">
        <f t="shared" si="3"/>
        <v>4338563.7242347281</v>
      </c>
      <c r="E31" s="56">
        <f t="shared" si="3"/>
        <v>3961297.3134317081</v>
      </c>
      <c r="F31" s="56">
        <f t="shared" si="3"/>
        <v>3961297.3134317081</v>
      </c>
      <c r="G31" s="56">
        <f t="shared" si="3"/>
        <v>4149930.5188332181</v>
      </c>
      <c r="H31" s="56">
        <f t="shared" si="3"/>
        <v>4149930.5188332181</v>
      </c>
      <c r="I31" s="56">
        <f t="shared" si="3"/>
        <v>2263598.4648181186</v>
      </c>
      <c r="J31" s="56">
        <f t="shared" si="3"/>
        <v>4149930.5188332181</v>
      </c>
      <c r="K31" s="56">
        <f t="shared" si="3"/>
        <v>3961297.3134317081</v>
      </c>
      <c r="L31" s="56">
        <f t="shared" si="3"/>
        <v>3961297.3134317081</v>
      </c>
      <c r="M31" s="56">
        <f t="shared" si="3"/>
        <v>2263598.4648181186</v>
      </c>
      <c r="N31" s="57">
        <f>SUM(B31:M31)</f>
        <v>44328803.269354843</v>
      </c>
    </row>
    <row r="50" spans="1:14" ht="17" thickBot="1" x14ac:dyDescent="0.25"/>
    <row r="51" spans="1:14" x14ac:dyDescent="0.2">
      <c r="A51" s="3" t="s">
        <v>93</v>
      </c>
      <c r="B51" s="3" t="s">
        <v>6</v>
      </c>
      <c r="C51" s="3" t="s">
        <v>7</v>
      </c>
      <c r="D51" s="3" t="s">
        <v>8</v>
      </c>
      <c r="E51" s="3" t="s">
        <v>9</v>
      </c>
      <c r="F51" s="3" t="s">
        <v>10</v>
      </c>
      <c r="G51" s="3" t="s">
        <v>11</v>
      </c>
      <c r="H51" s="3" t="s">
        <v>12</v>
      </c>
      <c r="I51" s="3" t="s">
        <v>13</v>
      </c>
      <c r="J51" s="3" t="s">
        <v>14</v>
      </c>
      <c r="K51" s="3" t="s">
        <v>15</v>
      </c>
      <c r="L51" s="3" t="s">
        <v>16</v>
      </c>
      <c r="M51" s="3" t="s">
        <v>17</v>
      </c>
      <c r="N51" s="53" t="s">
        <v>5</v>
      </c>
    </row>
    <row r="52" spans="1:14" x14ac:dyDescent="0.2">
      <c r="A52" s="1" t="s">
        <v>30</v>
      </c>
      <c r="B52" s="54">
        <f>+QUANTITÀ!B9</f>
        <v>33131.005957446803</v>
      </c>
      <c r="C52" s="54">
        <f>+QUANTITÀ!C9</f>
        <v>36812.228841607561</v>
      </c>
      <c r="D52" s="54">
        <f>+QUANTITÀ!D9</f>
        <v>42334.063167848697</v>
      </c>
      <c r="E52" s="54">
        <f>+QUANTITÀ!E9</f>
        <v>38652.84028368794</v>
      </c>
      <c r="F52" s="54">
        <f>+QUANTITÀ!F9</f>
        <v>38652.84028368794</v>
      </c>
      <c r="G52" s="54">
        <f>+QUANTITÀ!G9</f>
        <v>40493.451725768318</v>
      </c>
      <c r="H52" s="54">
        <f>+QUANTITÀ!H9</f>
        <v>40493.451725768318</v>
      </c>
      <c r="I52" s="54">
        <f>+QUANTITÀ!I9</f>
        <v>22087.337304964538</v>
      </c>
      <c r="J52" s="54">
        <f>+QUANTITÀ!J9</f>
        <v>40493.451725768318</v>
      </c>
      <c r="K52" s="54">
        <f>+QUANTITÀ!K9</f>
        <v>38652.84028368794</v>
      </c>
      <c r="L52" s="54">
        <f>+QUANTITÀ!L9</f>
        <v>38652.84028368794</v>
      </c>
      <c r="M52" s="54">
        <f>+QUANTITÀ!M9</f>
        <v>22087.337304964538</v>
      </c>
      <c r="N52" s="55">
        <f>SUM(B52:M52)</f>
        <v>432543.68888888886</v>
      </c>
    </row>
    <row r="53" spans="1:14" x14ac:dyDescent="0.2">
      <c r="A53" s="1" t="s">
        <v>31</v>
      </c>
      <c r="B53" s="72">
        <f>+PREZZI!B6</f>
        <v>180</v>
      </c>
      <c r="C53" s="72">
        <f>+PREZZI!C6</f>
        <v>180</v>
      </c>
      <c r="D53" s="72">
        <f>+PREZZI!D6</f>
        <v>180</v>
      </c>
      <c r="E53" s="72">
        <f>+PREZZI!E6</f>
        <v>180</v>
      </c>
      <c r="F53" s="72">
        <f>+PREZZI!F6</f>
        <v>180</v>
      </c>
      <c r="G53" s="72">
        <f>+PREZZI!G6</f>
        <v>180</v>
      </c>
      <c r="H53" s="72">
        <f>+PREZZI!H6</f>
        <v>180</v>
      </c>
      <c r="I53" s="72">
        <f>+PREZZI!I6</f>
        <v>180</v>
      </c>
      <c r="J53" s="72">
        <f>+PREZZI!J6</f>
        <v>180</v>
      </c>
      <c r="K53" s="72">
        <f>+PREZZI!K6</f>
        <v>180</v>
      </c>
      <c r="L53" s="72">
        <f>+PREZZI!L6</f>
        <v>180</v>
      </c>
      <c r="M53" s="72">
        <f>+PREZZI!M6</f>
        <v>180</v>
      </c>
      <c r="N53" s="73">
        <f>(N54)/N52</f>
        <v>180</v>
      </c>
    </row>
    <row r="54" spans="1:14" x14ac:dyDescent="0.2">
      <c r="A54" s="10" t="s">
        <v>32</v>
      </c>
      <c r="B54" s="56">
        <f>B52*B53</f>
        <v>5963581.0723404242</v>
      </c>
      <c r="C54" s="56">
        <f t="shared" ref="C54:M54" si="4">C52*C53</f>
        <v>6626201.1914893612</v>
      </c>
      <c r="D54" s="56">
        <f t="shared" si="4"/>
        <v>7620131.3702127654</v>
      </c>
      <c r="E54" s="56">
        <f t="shared" si="4"/>
        <v>6957511.2510638293</v>
      </c>
      <c r="F54" s="56">
        <f t="shared" si="4"/>
        <v>6957511.2510638293</v>
      </c>
      <c r="G54" s="56">
        <f t="shared" si="4"/>
        <v>7288821.3106382973</v>
      </c>
      <c r="H54" s="56">
        <f t="shared" si="4"/>
        <v>7288821.3106382973</v>
      </c>
      <c r="I54" s="56">
        <f t="shared" si="4"/>
        <v>3975720.7148936167</v>
      </c>
      <c r="J54" s="56">
        <f t="shared" si="4"/>
        <v>7288821.3106382973</v>
      </c>
      <c r="K54" s="56">
        <f t="shared" si="4"/>
        <v>6957511.2510638293</v>
      </c>
      <c r="L54" s="56">
        <f t="shared" si="4"/>
        <v>6957511.2510638293</v>
      </c>
      <c r="M54" s="56">
        <f t="shared" si="4"/>
        <v>3975720.7148936167</v>
      </c>
      <c r="N54" s="57">
        <f>SUM(B54:M54)</f>
        <v>77857864</v>
      </c>
    </row>
    <row r="75" spans="1:14" ht="17" thickBot="1" x14ac:dyDescent="0.25"/>
    <row r="76" spans="1:14" x14ac:dyDescent="0.2">
      <c r="A76" s="3" t="s">
        <v>94</v>
      </c>
      <c r="B76" s="3" t="s">
        <v>6</v>
      </c>
      <c r="C76" s="3" t="s">
        <v>7</v>
      </c>
      <c r="D76" s="3" t="s">
        <v>8</v>
      </c>
      <c r="E76" s="3" t="s">
        <v>9</v>
      </c>
      <c r="F76" s="3" t="s">
        <v>10</v>
      </c>
      <c r="G76" s="3" t="s">
        <v>11</v>
      </c>
      <c r="H76" s="3" t="s">
        <v>12</v>
      </c>
      <c r="I76" s="3" t="s">
        <v>13</v>
      </c>
      <c r="J76" s="3" t="s">
        <v>14</v>
      </c>
      <c r="K76" s="3" t="s">
        <v>15</v>
      </c>
      <c r="L76" s="3" t="s">
        <v>16</v>
      </c>
      <c r="M76" s="3" t="s">
        <v>17</v>
      </c>
      <c r="N76" s="53" t="s">
        <v>5</v>
      </c>
    </row>
    <row r="77" spans="1:14" x14ac:dyDescent="0.2">
      <c r="A77" s="1" t="s">
        <v>30</v>
      </c>
      <c r="B77" s="54">
        <f>QUANTITÀ!B10</f>
        <v>293.61702127659601</v>
      </c>
      <c r="C77" s="54">
        <f>QUANTITÀ!C10</f>
        <v>326.2411347517733</v>
      </c>
      <c r="D77" s="54">
        <f>QUANTITÀ!D10</f>
        <v>375.1773049645393</v>
      </c>
      <c r="E77" s="54">
        <f>QUANTITÀ!E10</f>
        <v>342.55319148936201</v>
      </c>
      <c r="F77" s="54">
        <f>QUANTITÀ!F10</f>
        <v>342.55319148936201</v>
      </c>
      <c r="G77" s="54">
        <f>QUANTITÀ!G10</f>
        <v>358.86524822695065</v>
      </c>
      <c r="H77" s="54">
        <f>QUANTITÀ!H10</f>
        <v>358.86524822695065</v>
      </c>
      <c r="I77" s="54">
        <f>QUANTITÀ!I10</f>
        <v>195.744680851064</v>
      </c>
      <c r="J77" s="54">
        <f>QUANTITÀ!J10</f>
        <v>358.86524822695065</v>
      </c>
      <c r="K77" s="54">
        <f>QUANTITÀ!K10</f>
        <v>342.55319148936201</v>
      </c>
      <c r="L77" s="54">
        <f>QUANTITÀ!L10</f>
        <v>342.55319148936201</v>
      </c>
      <c r="M77" s="54">
        <f>QUANTITÀ!M10</f>
        <v>195.744680851064</v>
      </c>
      <c r="N77" s="55">
        <f>SUM(B77:M77)</f>
        <v>3833.3333333333367</v>
      </c>
    </row>
    <row r="78" spans="1:14" x14ac:dyDescent="0.2">
      <c r="A78" s="1" t="s">
        <v>31</v>
      </c>
      <c r="B78" s="72">
        <f>PREZZI!B7</f>
        <v>180</v>
      </c>
      <c r="C78" s="72">
        <f>PREZZI!C7</f>
        <v>180</v>
      </c>
      <c r="D78" s="72">
        <f>PREZZI!D7</f>
        <v>180</v>
      </c>
      <c r="E78" s="72">
        <f>PREZZI!E7</f>
        <v>180</v>
      </c>
      <c r="F78" s="72">
        <f>PREZZI!F7</f>
        <v>180</v>
      </c>
      <c r="G78" s="72">
        <f>PREZZI!G7</f>
        <v>180</v>
      </c>
      <c r="H78" s="72">
        <f>PREZZI!H7</f>
        <v>180</v>
      </c>
      <c r="I78" s="72">
        <f>PREZZI!I7</f>
        <v>180</v>
      </c>
      <c r="J78" s="72">
        <f>PREZZI!J7</f>
        <v>180</v>
      </c>
      <c r="K78" s="72">
        <f>PREZZI!K7</f>
        <v>180</v>
      </c>
      <c r="L78" s="72">
        <f>PREZZI!L7</f>
        <v>180</v>
      </c>
      <c r="M78" s="72">
        <f>PREZZI!M7</f>
        <v>180</v>
      </c>
      <c r="N78" s="73">
        <f>(N79*1000)/N77</f>
        <v>180000.00000000003</v>
      </c>
    </row>
    <row r="79" spans="1:14" x14ac:dyDescent="0.2">
      <c r="A79" s="10" t="s">
        <v>32</v>
      </c>
      <c r="B79" s="56">
        <f>B77*B78</f>
        <v>52851.063829787279</v>
      </c>
      <c r="C79" s="56">
        <f t="shared" ref="C79:M79" si="5">C77*C78</f>
        <v>58723.404255319198</v>
      </c>
      <c r="D79" s="56">
        <f t="shared" si="5"/>
        <v>67531.914893617068</v>
      </c>
      <c r="E79" s="56">
        <f t="shared" si="5"/>
        <v>61659.574468085164</v>
      </c>
      <c r="F79" s="56">
        <f t="shared" si="5"/>
        <v>61659.574468085164</v>
      </c>
      <c r="G79" s="56">
        <f t="shared" si="5"/>
        <v>64595.744680851116</v>
      </c>
      <c r="H79" s="56">
        <f t="shared" si="5"/>
        <v>64595.744680851116</v>
      </c>
      <c r="I79" s="56">
        <f t="shared" si="5"/>
        <v>35234.042553191524</v>
      </c>
      <c r="J79" s="56">
        <f t="shared" si="5"/>
        <v>64595.744680851116</v>
      </c>
      <c r="K79" s="56">
        <f t="shared" si="5"/>
        <v>61659.574468085164</v>
      </c>
      <c r="L79" s="56">
        <f t="shared" si="5"/>
        <v>61659.574468085164</v>
      </c>
      <c r="M79" s="56">
        <f t="shared" si="5"/>
        <v>35234.042553191524</v>
      </c>
      <c r="N79" s="57">
        <f>SUM(B79:M79)</f>
        <v>690000.0000000007</v>
      </c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2:P84"/>
  <sheetViews>
    <sheetView topLeftCell="A65" zoomScale="140" zoomScaleNormal="140" workbookViewId="0">
      <selection activeCell="O16" sqref="O16"/>
    </sheetView>
  </sheetViews>
  <sheetFormatPr baseColWidth="10" defaultColWidth="9.1640625" defaultRowHeight="16" x14ac:dyDescent="0.2"/>
  <cols>
    <col min="1" max="1" width="23.5" style="75" bestFit="1" customWidth="1"/>
    <col min="2" max="5" width="11.5" style="1" bestFit="1" customWidth="1"/>
    <col min="6" max="13" width="10.5" style="1" bestFit="1" customWidth="1"/>
    <col min="14" max="14" width="13.5" style="1" bestFit="1" customWidth="1"/>
    <col min="15" max="16384" width="9.1640625" style="1"/>
  </cols>
  <sheetData>
    <row r="2" spans="1:16" ht="17" thickBot="1" x14ac:dyDescent="0.25"/>
    <row r="3" spans="1:16" x14ac:dyDescent="0.2">
      <c r="A3" s="222" t="s">
        <v>87</v>
      </c>
      <c r="B3" s="223" t="s">
        <v>6</v>
      </c>
      <c r="C3" s="223" t="s">
        <v>7</v>
      </c>
      <c r="D3" s="223" t="s">
        <v>8</v>
      </c>
      <c r="E3" s="223" t="s">
        <v>9</v>
      </c>
      <c r="F3" s="223" t="s">
        <v>10</v>
      </c>
      <c r="G3" s="223" t="s">
        <v>11</v>
      </c>
      <c r="H3" s="223" t="s">
        <v>12</v>
      </c>
      <c r="I3" s="223" t="s">
        <v>13</v>
      </c>
      <c r="J3" s="223" t="s">
        <v>14</v>
      </c>
      <c r="K3" s="223" t="s">
        <v>15</v>
      </c>
      <c r="L3" s="223" t="s">
        <v>16</v>
      </c>
      <c r="M3" s="223" t="s">
        <v>17</v>
      </c>
      <c r="N3" s="229" t="s">
        <v>5</v>
      </c>
    </row>
    <row r="4" spans="1:16" x14ac:dyDescent="0.2">
      <c r="A4" s="230" t="s">
        <v>30</v>
      </c>
      <c r="B4" s="80">
        <f t="shared" ref="B4:M4" si="0">B29+B54+B79</f>
        <v>3206.7160833768021</v>
      </c>
      <c r="C4" s="80">
        <f t="shared" si="0"/>
        <v>3563.0178704186692</v>
      </c>
      <c r="D4" s="80">
        <f t="shared" si="0"/>
        <v>4097.4705509814694</v>
      </c>
      <c r="E4" s="80">
        <f t="shared" si="0"/>
        <v>3741.1687639396023</v>
      </c>
      <c r="F4" s="80">
        <f t="shared" si="0"/>
        <v>3741.1687639396023</v>
      </c>
      <c r="G4" s="80">
        <f t="shared" si="0"/>
        <v>3919.3196574605354</v>
      </c>
      <c r="H4" s="80">
        <f t="shared" si="0"/>
        <v>3919.3196574605354</v>
      </c>
      <c r="I4" s="80">
        <f t="shared" si="0"/>
        <v>2137.8107222512012</v>
      </c>
      <c r="J4" s="80">
        <f t="shared" si="0"/>
        <v>3919.3196574605354</v>
      </c>
      <c r="K4" s="80">
        <f t="shared" si="0"/>
        <v>3741.1687639396023</v>
      </c>
      <c r="L4" s="80">
        <f t="shared" si="0"/>
        <v>3741.1687639396023</v>
      </c>
      <c r="M4" s="80">
        <f t="shared" si="0"/>
        <v>2137.8107222512012</v>
      </c>
      <c r="N4" s="231">
        <f>SUM(B4:M4)</f>
        <v>41865.459977419363</v>
      </c>
    </row>
    <row r="5" spans="1:16" x14ac:dyDescent="0.2">
      <c r="A5" s="230" t="s">
        <v>31</v>
      </c>
      <c r="B5" s="62">
        <f>B6/B4</f>
        <v>500</v>
      </c>
      <c r="C5" s="62">
        <f t="shared" ref="C5:M5" si="1">C6/C4</f>
        <v>499.99999999999994</v>
      </c>
      <c r="D5" s="62">
        <f t="shared" si="1"/>
        <v>500</v>
      </c>
      <c r="E5" s="62">
        <f t="shared" si="1"/>
        <v>500</v>
      </c>
      <c r="F5" s="62">
        <f t="shared" si="1"/>
        <v>500</v>
      </c>
      <c r="G5" s="62">
        <f t="shared" si="1"/>
        <v>499.99999999999994</v>
      </c>
      <c r="H5" s="62">
        <f t="shared" si="1"/>
        <v>499.99999999999994</v>
      </c>
      <c r="I5" s="62">
        <f t="shared" si="1"/>
        <v>499.99999999999994</v>
      </c>
      <c r="J5" s="62">
        <f t="shared" si="1"/>
        <v>499.99999999999994</v>
      </c>
      <c r="K5" s="62">
        <f t="shared" si="1"/>
        <v>500</v>
      </c>
      <c r="L5" s="62">
        <f t="shared" si="1"/>
        <v>500</v>
      </c>
      <c r="M5" s="62">
        <f t="shared" si="1"/>
        <v>499.99999999999994</v>
      </c>
      <c r="N5" s="232">
        <f>N6/N4</f>
        <v>499.99999999999989</v>
      </c>
      <c r="P5" s="1" t="s">
        <v>86</v>
      </c>
    </row>
    <row r="6" spans="1:16" ht="17" thickBot="1" x14ac:dyDescent="0.25">
      <c r="A6" s="40" t="s">
        <v>32</v>
      </c>
      <c r="B6" s="233">
        <f t="shared" ref="B6:M6" si="2">B31+B56+B81</f>
        <v>1603358.041688401</v>
      </c>
      <c r="C6" s="233">
        <f t="shared" si="2"/>
        <v>1781508.9352093344</v>
      </c>
      <c r="D6" s="233">
        <f t="shared" si="2"/>
        <v>2048735.2754907347</v>
      </c>
      <c r="E6" s="233">
        <f t="shared" si="2"/>
        <v>1870584.3819698012</v>
      </c>
      <c r="F6" s="233">
        <f t="shared" si="2"/>
        <v>1870584.3819698012</v>
      </c>
      <c r="G6" s="233">
        <f t="shared" si="2"/>
        <v>1959659.8287302675</v>
      </c>
      <c r="H6" s="233">
        <f t="shared" si="2"/>
        <v>1959659.8287302675</v>
      </c>
      <c r="I6" s="233">
        <f t="shared" si="2"/>
        <v>1068905.3611256005</v>
      </c>
      <c r="J6" s="233">
        <f t="shared" si="2"/>
        <v>1959659.8287302675</v>
      </c>
      <c r="K6" s="233">
        <f t="shared" si="2"/>
        <v>1870584.3819698012</v>
      </c>
      <c r="L6" s="233">
        <f t="shared" si="2"/>
        <v>1870584.3819698012</v>
      </c>
      <c r="M6" s="233">
        <f t="shared" si="2"/>
        <v>1068905.3611256005</v>
      </c>
      <c r="N6" s="234">
        <f>SUM(B6:M6)</f>
        <v>20932729.988709677</v>
      </c>
      <c r="P6" s="82">
        <f>+N6-'Tab 3'!AA42</f>
        <v>0</v>
      </c>
    </row>
    <row r="25" spans="1:14" ht="17" thickBot="1" x14ac:dyDescent="0.25">
      <c r="A25" s="76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</row>
    <row r="26" spans="1:14" ht="17" thickTop="1" x14ac:dyDescent="0.2"/>
    <row r="27" spans="1:14" ht="17" thickBot="1" x14ac:dyDescent="0.25"/>
    <row r="28" spans="1:14" x14ac:dyDescent="0.2">
      <c r="A28" s="222" t="s">
        <v>88</v>
      </c>
      <c r="B28" s="223" t="s">
        <v>6</v>
      </c>
      <c r="C28" s="223" t="s">
        <v>7</v>
      </c>
      <c r="D28" s="223" t="s">
        <v>8</v>
      </c>
      <c r="E28" s="223" t="s">
        <v>9</v>
      </c>
      <c r="F28" s="223" t="s">
        <v>10</v>
      </c>
      <c r="G28" s="223" t="s">
        <v>11</v>
      </c>
      <c r="H28" s="223" t="s">
        <v>12</v>
      </c>
      <c r="I28" s="223" t="s">
        <v>13</v>
      </c>
      <c r="J28" s="223" t="s">
        <v>14</v>
      </c>
      <c r="K28" s="223" t="s">
        <v>15</v>
      </c>
      <c r="L28" s="223" t="s">
        <v>16</v>
      </c>
      <c r="M28" s="223" t="s">
        <v>17</v>
      </c>
      <c r="N28" s="229" t="s">
        <v>5</v>
      </c>
    </row>
    <row r="29" spans="1:14" x14ac:dyDescent="0.2">
      <c r="A29" s="230" t="s">
        <v>30</v>
      </c>
      <c r="B29" s="80">
        <f>QUANTITÀ!B15</f>
        <v>1198.375657844887</v>
      </c>
      <c r="C29" s="80">
        <f>QUANTITÀ!C15</f>
        <v>1331.528508716541</v>
      </c>
      <c r="D29" s="80">
        <f>QUANTITÀ!D15</f>
        <v>1531.257785024022</v>
      </c>
      <c r="E29" s="80">
        <f>QUANTITÀ!E15</f>
        <v>1398.1049341523681</v>
      </c>
      <c r="F29" s="80">
        <f>QUANTITÀ!F15</f>
        <v>1398.1049341523681</v>
      </c>
      <c r="G29" s="80">
        <f>QUANTITÀ!G15</f>
        <v>1464.6813595881949</v>
      </c>
      <c r="H29" s="80">
        <f>QUANTITÀ!H15</f>
        <v>1464.6813595881949</v>
      </c>
      <c r="I29" s="80">
        <f>QUANTITÀ!I15</f>
        <v>798.91710522992457</v>
      </c>
      <c r="J29" s="80">
        <f>QUANTITÀ!J15</f>
        <v>1464.6813595881949</v>
      </c>
      <c r="K29" s="80">
        <f>QUANTITÀ!K15</f>
        <v>1398.1049341523681</v>
      </c>
      <c r="L29" s="80">
        <f>QUANTITÀ!L15</f>
        <v>1398.1049341523681</v>
      </c>
      <c r="M29" s="80">
        <f>QUANTITÀ!M15</f>
        <v>798.91710522992457</v>
      </c>
      <c r="N29" s="231">
        <f>SUM(B29:M29)</f>
        <v>15645.459977419356</v>
      </c>
    </row>
    <row r="30" spans="1:14" x14ac:dyDescent="0.2">
      <c r="A30" s="230" t="s">
        <v>31</v>
      </c>
      <c r="B30" s="62">
        <f>PREZZI!B12</f>
        <v>500</v>
      </c>
      <c r="C30" s="62">
        <f>PREZZI!C12</f>
        <v>500</v>
      </c>
      <c r="D30" s="62">
        <f>PREZZI!D12</f>
        <v>500</v>
      </c>
      <c r="E30" s="62">
        <f>PREZZI!E12</f>
        <v>500</v>
      </c>
      <c r="F30" s="62">
        <f>PREZZI!F12</f>
        <v>500</v>
      </c>
      <c r="G30" s="62">
        <f>PREZZI!G12</f>
        <v>500</v>
      </c>
      <c r="H30" s="62">
        <f>PREZZI!H12</f>
        <v>500</v>
      </c>
      <c r="I30" s="62">
        <f>PREZZI!I12</f>
        <v>500</v>
      </c>
      <c r="J30" s="62">
        <f>PREZZI!J12</f>
        <v>500</v>
      </c>
      <c r="K30" s="62">
        <f>PREZZI!K12</f>
        <v>500</v>
      </c>
      <c r="L30" s="62">
        <f>PREZZI!L12</f>
        <v>500</v>
      </c>
      <c r="M30" s="62">
        <f>PREZZI!M12</f>
        <v>500</v>
      </c>
      <c r="N30" s="232">
        <f>N31/N29</f>
        <v>500.00000000000006</v>
      </c>
    </row>
    <row r="31" spans="1:14" ht="17" thickBot="1" x14ac:dyDescent="0.25">
      <c r="A31" s="40" t="s">
        <v>32</v>
      </c>
      <c r="B31" s="233">
        <f>B29*B30</f>
        <v>599187.82892244344</v>
      </c>
      <c r="C31" s="233">
        <f t="shared" ref="C31:M31" si="3">C29*C30</f>
        <v>665764.25435827044</v>
      </c>
      <c r="D31" s="233">
        <f t="shared" si="3"/>
        <v>765628.89251201099</v>
      </c>
      <c r="E31" s="233">
        <f t="shared" si="3"/>
        <v>699052.467076184</v>
      </c>
      <c r="F31" s="233">
        <f t="shared" si="3"/>
        <v>699052.467076184</v>
      </c>
      <c r="G31" s="233">
        <f t="shared" si="3"/>
        <v>732340.67979409744</v>
      </c>
      <c r="H31" s="233">
        <f t="shared" si="3"/>
        <v>732340.67979409744</v>
      </c>
      <c r="I31" s="233">
        <f t="shared" si="3"/>
        <v>399458.55261496227</v>
      </c>
      <c r="J31" s="233">
        <f t="shared" si="3"/>
        <v>732340.67979409744</v>
      </c>
      <c r="K31" s="233">
        <f t="shared" si="3"/>
        <v>699052.467076184</v>
      </c>
      <c r="L31" s="233">
        <f t="shared" si="3"/>
        <v>699052.467076184</v>
      </c>
      <c r="M31" s="233">
        <f t="shared" si="3"/>
        <v>399458.55261496227</v>
      </c>
      <c r="N31" s="234">
        <f>SUM(B31:M31)</f>
        <v>7822729.9887096789</v>
      </c>
    </row>
    <row r="52" spans="1:14" ht="17" thickBot="1" x14ac:dyDescent="0.25"/>
    <row r="53" spans="1:14" x14ac:dyDescent="0.2">
      <c r="A53" s="235" t="s">
        <v>89</v>
      </c>
      <c r="B53" s="223" t="s">
        <v>6</v>
      </c>
      <c r="C53" s="223" t="s">
        <v>7</v>
      </c>
      <c r="D53" s="223" t="s">
        <v>8</v>
      </c>
      <c r="E53" s="223" t="s">
        <v>9</v>
      </c>
      <c r="F53" s="223" t="s">
        <v>10</v>
      </c>
      <c r="G53" s="223" t="s">
        <v>11</v>
      </c>
      <c r="H53" s="223" t="s">
        <v>12</v>
      </c>
      <c r="I53" s="223" t="s">
        <v>13</v>
      </c>
      <c r="J53" s="223" t="s">
        <v>14</v>
      </c>
      <c r="K53" s="223" t="s">
        <v>15</v>
      </c>
      <c r="L53" s="223" t="s">
        <v>16</v>
      </c>
      <c r="M53" s="223" t="s">
        <v>17</v>
      </c>
      <c r="N53" s="229" t="s">
        <v>5</v>
      </c>
    </row>
    <row r="54" spans="1:14" x14ac:dyDescent="0.2">
      <c r="A54" s="230" t="s">
        <v>30</v>
      </c>
      <c r="B54" s="80">
        <f>QUANTITÀ!B16</f>
        <v>0</v>
      </c>
      <c r="C54" s="80">
        <f>QUANTITÀ!C16</f>
        <v>0</v>
      </c>
      <c r="D54" s="80">
        <f>QUANTITÀ!D16</f>
        <v>0</v>
      </c>
      <c r="E54" s="80">
        <f>QUANTITÀ!E16</f>
        <v>0</v>
      </c>
      <c r="F54" s="80">
        <f>QUANTITÀ!F16</f>
        <v>0</v>
      </c>
      <c r="G54" s="80">
        <f>QUANTITÀ!G16</f>
        <v>0</v>
      </c>
      <c r="H54" s="80">
        <f>QUANTITÀ!H16</f>
        <v>0</v>
      </c>
      <c r="I54" s="80">
        <f>QUANTITÀ!I16</f>
        <v>0</v>
      </c>
      <c r="J54" s="80">
        <f>QUANTITÀ!J16</f>
        <v>0</v>
      </c>
      <c r="K54" s="80">
        <f>QUANTITÀ!K16</f>
        <v>0</v>
      </c>
      <c r="L54" s="80">
        <f>QUANTITÀ!L16</f>
        <v>0</v>
      </c>
      <c r="M54" s="80">
        <f>QUANTITÀ!M16</f>
        <v>0</v>
      </c>
      <c r="N54" s="231">
        <f>SUM(B54:M54)</f>
        <v>0</v>
      </c>
    </row>
    <row r="55" spans="1:14" x14ac:dyDescent="0.2">
      <c r="A55" s="230" t="s">
        <v>31</v>
      </c>
      <c r="B55" s="62">
        <f>PREZZI!B13</f>
        <v>500</v>
      </c>
      <c r="C55" s="62">
        <f>PREZZI!C13</f>
        <v>500</v>
      </c>
      <c r="D55" s="62">
        <f>PREZZI!D13</f>
        <v>500</v>
      </c>
      <c r="E55" s="62">
        <f>PREZZI!E13</f>
        <v>500</v>
      </c>
      <c r="F55" s="62">
        <f>PREZZI!F13</f>
        <v>500</v>
      </c>
      <c r="G55" s="62">
        <f>PREZZI!G13</f>
        <v>500</v>
      </c>
      <c r="H55" s="62">
        <f>PREZZI!H13</f>
        <v>500</v>
      </c>
      <c r="I55" s="62">
        <f>PREZZI!I13</f>
        <v>500</v>
      </c>
      <c r="J55" s="62">
        <f>PREZZI!J13</f>
        <v>500</v>
      </c>
      <c r="K55" s="62">
        <f>PREZZI!K13</f>
        <v>500</v>
      </c>
      <c r="L55" s="62">
        <f>PREZZI!L13</f>
        <v>500</v>
      </c>
      <c r="M55" s="62">
        <f>PREZZI!M13</f>
        <v>500</v>
      </c>
      <c r="N55" s="232">
        <f>IFERROR(N56/N54,0)</f>
        <v>0</v>
      </c>
    </row>
    <row r="56" spans="1:14" ht="17" thickBot="1" x14ac:dyDescent="0.25">
      <c r="A56" s="40" t="s">
        <v>32</v>
      </c>
      <c r="B56" s="233">
        <f>B54*B55</f>
        <v>0</v>
      </c>
      <c r="C56" s="233">
        <f t="shared" ref="C56:M56" si="4">C54*C55</f>
        <v>0</v>
      </c>
      <c r="D56" s="233">
        <f t="shared" si="4"/>
        <v>0</v>
      </c>
      <c r="E56" s="233">
        <f t="shared" si="4"/>
        <v>0</v>
      </c>
      <c r="F56" s="233">
        <f t="shared" si="4"/>
        <v>0</v>
      </c>
      <c r="G56" s="233">
        <f t="shared" si="4"/>
        <v>0</v>
      </c>
      <c r="H56" s="233">
        <f t="shared" si="4"/>
        <v>0</v>
      </c>
      <c r="I56" s="233">
        <f t="shared" si="4"/>
        <v>0</v>
      </c>
      <c r="J56" s="233">
        <f t="shared" si="4"/>
        <v>0</v>
      </c>
      <c r="K56" s="233">
        <f t="shared" si="4"/>
        <v>0</v>
      </c>
      <c r="L56" s="233">
        <f t="shared" si="4"/>
        <v>0</v>
      </c>
      <c r="M56" s="233">
        <f t="shared" si="4"/>
        <v>0</v>
      </c>
      <c r="N56" s="234">
        <f>SUM(B56:M56)</f>
        <v>0</v>
      </c>
    </row>
    <row r="77" spans="1:14" ht="17" thickBot="1" x14ac:dyDescent="0.25"/>
    <row r="78" spans="1:14" x14ac:dyDescent="0.2">
      <c r="A78" s="235" t="s">
        <v>90</v>
      </c>
      <c r="B78" s="223" t="s">
        <v>6</v>
      </c>
      <c r="C78" s="223" t="s">
        <v>7</v>
      </c>
      <c r="D78" s="223" t="s">
        <v>8</v>
      </c>
      <c r="E78" s="223" t="s">
        <v>9</v>
      </c>
      <c r="F78" s="223" t="s">
        <v>10</v>
      </c>
      <c r="G78" s="223" t="s">
        <v>11</v>
      </c>
      <c r="H78" s="223" t="s">
        <v>12</v>
      </c>
      <c r="I78" s="223" t="s">
        <v>13</v>
      </c>
      <c r="J78" s="223" t="s">
        <v>14</v>
      </c>
      <c r="K78" s="223" t="s">
        <v>15</v>
      </c>
      <c r="L78" s="223" t="s">
        <v>16</v>
      </c>
      <c r="M78" s="223" t="s">
        <v>17</v>
      </c>
      <c r="N78" s="229" t="s">
        <v>5</v>
      </c>
    </row>
    <row r="79" spans="1:14" x14ac:dyDescent="0.2">
      <c r="A79" s="230" t="s">
        <v>30</v>
      </c>
      <c r="B79" s="80">
        <f>QUANTITÀ!B17</f>
        <v>2008.3404255319151</v>
      </c>
      <c r="C79" s="80">
        <f>QUANTITÀ!C17</f>
        <v>2231.489361702128</v>
      </c>
      <c r="D79" s="80">
        <f>QUANTITÀ!D17</f>
        <v>2566.2127659574471</v>
      </c>
      <c r="E79" s="80">
        <f>QUANTITÀ!E17</f>
        <v>2343.0638297872342</v>
      </c>
      <c r="F79" s="80">
        <f>QUANTITÀ!F17</f>
        <v>2343.0638297872342</v>
      </c>
      <c r="G79" s="80">
        <f>QUANTITÀ!G17</f>
        <v>2454.6382978723404</v>
      </c>
      <c r="H79" s="80">
        <f>QUANTITÀ!H17</f>
        <v>2454.6382978723404</v>
      </c>
      <c r="I79" s="80">
        <f>QUANTITÀ!I17</f>
        <v>1338.8936170212767</v>
      </c>
      <c r="J79" s="80">
        <f>QUANTITÀ!J17</f>
        <v>2454.6382978723404</v>
      </c>
      <c r="K79" s="80">
        <f>QUANTITÀ!K17</f>
        <v>2343.0638297872342</v>
      </c>
      <c r="L79" s="80">
        <f>QUANTITÀ!L17</f>
        <v>2343.0638297872342</v>
      </c>
      <c r="M79" s="80">
        <f>QUANTITÀ!M17</f>
        <v>1338.8936170212767</v>
      </c>
      <c r="N79" s="231">
        <f>SUM(B79:M79)</f>
        <v>26220.000000000004</v>
      </c>
    </row>
    <row r="80" spans="1:14" x14ac:dyDescent="0.2">
      <c r="A80" s="230" t="s">
        <v>31</v>
      </c>
      <c r="B80" s="62">
        <f>PREZZI!B14</f>
        <v>500</v>
      </c>
      <c r="C80" s="62">
        <f>PREZZI!C14</f>
        <v>500</v>
      </c>
      <c r="D80" s="62">
        <f>PREZZI!D14</f>
        <v>500</v>
      </c>
      <c r="E80" s="62">
        <f>PREZZI!E14</f>
        <v>500</v>
      </c>
      <c r="F80" s="62">
        <f>PREZZI!F14</f>
        <v>500</v>
      </c>
      <c r="G80" s="62">
        <f>PREZZI!G14</f>
        <v>500</v>
      </c>
      <c r="H80" s="62">
        <f>PREZZI!H14</f>
        <v>500</v>
      </c>
      <c r="I80" s="62">
        <f>PREZZI!I14</f>
        <v>500</v>
      </c>
      <c r="J80" s="62">
        <f>PREZZI!J14</f>
        <v>500</v>
      </c>
      <c r="K80" s="62">
        <f>PREZZI!K14</f>
        <v>500</v>
      </c>
      <c r="L80" s="62">
        <f>PREZZI!L14</f>
        <v>500</v>
      </c>
      <c r="M80" s="62">
        <f>PREZZI!M14</f>
        <v>500</v>
      </c>
      <c r="N80" s="232">
        <f>(N81*1000)/N79</f>
        <v>500000.00000000006</v>
      </c>
    </row>
    <row r="81" spans="1:14" ht="17" thickBot="1" x14ac:dyDescent="0.25">
      <c r="A81" s="40" t="s">
        <v>32</v>
      </c>
      <c r="B81" s="233">
        <f>B79*B80</f>
        <v>1004170.2127659576</v>
      </c>
      <c r="C81" s="233">
        <f t="shared" ref="C81:M81" si="5">C79*C80</f>
        <v>1115744.6808510639</v>
      </c>
      <c r="D81" s="233">
        <f t="shared" si="5"/>
        <v>1283106.3829787236</v>
      </c>
      <c r="E81" s="233">
        <f t="shared" si="5"/>
        <v>1171531.9148936172</v>
      </c>
      <c r="F81" s="233">
        <f t="shared" si="5"/>
        <v>1171531.9148936172</v>
      </c>
      <c r="G81" s="233">
        <f t="shared" si="5"/>
        <v>1227319.1489361702</v>
      </c>
      <c r="H81" s="233">
        <f t="shared" si="5"/>
        <v>1227319.1489361702</v>
      </c>
      <c r="I81" s="233">
        <f t="shared" si="5"/>
        <v>669446.80851063831</v>
      </c>
      <c r="J81" s="233">
        <f t="shared" si="5"/>
        <v>1227319.1489361702</v>
      </c>
      <c r="K81" s="233">
        <f t="shared" si="5"/>
        <v>1171531.9148936172</v>
      </c>
      <c r="L81" s="233">
        <f t="shared" si="5"/>
        <v>1171531.9148936172</v>
      </c>
      <c r="M81" s="233">
        <f t="shared" si="5"/>
        <v>669446.80851063831</v>
      </c>
      <c r="N81" s="234">
        <f>SUM(B81:M81)</f>
        <v>13110000.000000004</v>
      </c>
    </row>
    <row r="84" spans="1:14" x14ac:dyDescent="0.2">
      <c r="N84" s="58"/>
    </row>
  </sheetData>
  <phoneticPr fontId="4" type="noConversion"/>
  <pageMargins left="0.75" right="0.75" top="1" bottom="1" header="0.5" footer="0.5"/>
  <pageSetup paperSize="9" orientation="portrait" horizontalDpi="0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6B88E-9545-244E-8F0A-82F16023F649}">
  <sheetPr>
    <pageSetUpPr fitToPage="1"/>
  </sheetPr>
  <dimension ref="B2:O13"/>
  <sheetViews>
    <sheetView zoomScale="180" zoomScaleNormal="180" workbookViewId="0">
      <selection activeCell="C5" sqref="C5"/>
    </sheetView>
  </sheetViews>
  <sheetFormatPr baseColWidth="10" defaultRowHeight="16" x14ac:dyDescent="0.2"/>
  <cols>
    <col min="1" max="1" width="10.83203125" style="1"/>
    <col min="2" max="2" width="19" style="1" customWidth="1"/>
    <col min="3" max="14" width="12.33203125" style="1" customWidth="1"/>
    <col min="15" max="15" width="15" style="1" customWidth="1"/>
    <col min="16" max="16384" width="10.83203125" style="1"/>
  </cols>
  <sheetData>
    <row r="2" spans="2:15" x14ac:dyDescent="0.2">
      <c r="B2" s="1" t="s">
        <v>108</v>
      </c>
    </row>
    <row r="3" spans="2:15" ht="17" thickBot="1" x14ac:dyDescent="0.25"/>
    <row r="4" spans="2:15" x14ac:dyDescent="0.2">
      <c r="B4" s="12"/>
      <c r="C4" s="390" t="s">
        <v>80</v>
      </c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9"/>
    </row>
    <row r="5" spans="2:15" x14ac:dyDescent="0.2">
      <c r="B5" s="240"/>
      <c r="C5" s="88" t="s">
        <v>95</v>
      </c>
      <c r="D5" s="89" t="s">
        <v>96</v>
      </c>
      <c r="E5" s="89" t="s">
        <v>97</v>
      </c>
      <c r="F5" s="89" t="s">
        <v>98</v>
      </c>
      <c r="G5" s="89" t="s">
        <v>99</v>
      </c>
      <c r="H5" s="89" t="s">
        <v>100</v>
      </c>
      <c r="I5" s="89" t="s">
        <v>101</v>
      </c>
      <c r="J5" s="89" t="s">
        <v>102</v>
      </c>
      <c r="K5" s="89" t="s">
        <v>103</v>
      </c>
      <c r="L5" s="89" t="s">
        <v>104</v>
      </c>
      <c r="M5" s="89" t="s">
        <v>105</v>
      </c>
      <c r="N5" s="89" t="s">
        <v>106</v>
      </c>
      <c r="O5" s="241" t="s">
        <v>63</v>
      </c>
    </row>
    <row r="6" spans="2:15" x14ac:dyDescent="0.2">
      <c r="B6" s="242" t="s">
        <v>83</v>
      </c>
      <c r="C6" s="237">
        <f>MOLLE!B31+POLIUR!B31</f>
        <v>3994585.5261496222</v>
      </c>
      <c r="D6" s="200">
        <f>MOLLE!C31+POLIUR!C31</f>
        <v>4438428.3623884683</v>
      </c>
      <c r="E6" s="200">
        <f>MOLLE!D31+POLIUR!D31</f>
        <v>5104192.6167467395</v>
      </c>
      <c r="F6" s="200">
        <f>MOLLE!E31+POLIUR!E31</f>
        <v>4660349.7805078924</v>
      </c>
      <c r="G6" s="200">
        <f>MOLLE!F31+POLIUR!F31</f>
        <v>4660349.7805078924</v>
      </c>
      <c r="H6" s="200">
        <f>MOLLE!G31+POLIUR!G31</f>
        <v>4882271.1986273155</v>
      </c>
      <c r="I6" s="200">
        <f>MOLLE!H31+POLIUR!H31</f>
        <v>4882271.1986273155</v>
      </c>
      <c r="J6" s="200">
        <f>MOLLE!I31+POLIUR!I31</f>
        <v>2663057.0174330808</v>
      </c>
      <c r="K6" s="200">
        <f>MOLLE!J31+POLIUR!J31</f>
        <v>4882271.1986273155</v>
      </c>
      <c r="L6" s="200">
        <f>MOLLE!K31+POLIUR!K31</f>
        <v>4660349.7805078924</v>
      </c>
      <c r="M6" s="200">
        <f>MOLLE!L31+POLIUR!L31</f>
        <v>4660349.7805078924</v>
      </c>
      <c r="N6" s="200">
        <f>MOLLE!M31+POLIUR!M31</f>
        <v>2663057.0174330808</v>
      </c>
      <c r="O6" s="243">
        <f>SUM(C6:N6)</f>
        <v>52151533.258064508</v>
      </c>
    </row>
    <row r="7" spans="2:15" x14ac:dyDescent="0.2">
      <c r="B7" s="86" t="s">
        <v>84</v>
      </c>
      <c r="C7" s="236">
        <f>MOLLE!B54+POLIUR!B56</f>
        <v>5963581.0723404242</v>
      </c>
      <c r="D7" s="81">
        <f>MOLLE!C54+POLIUR!C56</f>
        <v>6626201.1914893612</v>
      </c>
      <c r="E7" s="81">
        <f>MOLLE!D54+POLIUR!D56</f>
        <v>7620131.3702127654</v>
      </c>
      <c r="F7" s="81">
        <f>MOLLE!E54+POLIUR!E56</f>
        <v>6957511.2510638293</v>
      </c>
      <c r="G7" s="81">
        <f>MOLLE!F54+POLIUR!F56</f>
        <v>6957511.2510638293</v>
      </c>
      <c r="H7" s="81">
        <f>MOLLE!G54+POLIUR!G56</f>
        <v>7288821.3106382973</v>
      </c>
      <c r="I7" s="81">
        <f>MOLLE!H54+POLIUR!H56</f>
        <v>7288821.3106382973</v>
      </c>
      <c r="J7" s="81">
        <f>MOLLE!I54+POLIUR!I56</f>
        <v>3975720.7148936167</v>
      </c>
      <c r="K7" s="81">
        <f>MOLLE!J54+POLIUR!J56</f>
        <v>7288821.3106382973</v>
      </c>
      <c r="L7" s="81">
        <f>MOLLE!K54+POLIUR!K56</f>
        <v>6957511.2510638293</v>
      </c>
      <c r="M7" s="81">
        <f>MOLLE!L54+POLIUR!L56</f>
        <v>6957511.2510638293</v>
      </c>
      <c r="N7" s="81">
        <f>MOLLE!M54+POLIUR!M56</f>
        <v>3975720.7148936167</v>
      </c>
      <c r="O7" s="244">
        <f t="shared" ref="O7:O8" si="0">SUM(C7:N7)</f>
        <v>77857864</v>
      </c>
    </row>
    <row r="8" spans="2:15" x14ac:dyDescent="0.2">
      <c r="B8" s="16" t="s">
        <v>85</v>
      </c>
      <c r="C8" s="238">
        <f>MOLLE!B79+POLIUR!B81</f>
        <v>1057021.2765957448</v>
      </c>
      <c r="D8" s="239">
        <f>MOLLE!C79+POLIUR!C81</f>
        <v>1174468.0851063831</v>
      </c>
      <c r="E8" s="239">
        <f>MOLLE!D79+POLIUR!D81</f>
        <v>1350638.2978723408</v>
      </c>
      <c r="F8" s="239">
        <f>MOLLE!E79+POLIUR!E81</f>
        <v>1233191.4893617022</v>
      </c>
      <c r="G8" s="239">
        <f>MOLLE!F79+POLIUR!F81</f>
        <v>1233191.4893617022</v>
      </c>
      <c r="H8" s="239">
        <f>MOLLE!G79+POLIUR!G81</f>
        <v>1291914.8936170214</v>
      </c>
      <c r="I8" s="239">
        <f>MOLLE!H79+POLIUR!H81</f>
        <v>1291914.8936170214</v>
      </c>
      <c r="J8" s="239">
        <f>MOLLE!I79+POLIUR!I81</f>
        <v>704680.85106382985</v>
      </c>
      <c r="K8" s="239">
        <f>MOLLE!J79+POLIUR!J81</f>
        <v>1291914.8936170214</v>
      </c>
      <c r="L8" s="239">
        <f>MOLLE!K79+POLIUR!K81</f>
        <v>1233191.4893617022</v>
      </c>
      <c r="M8" s="239">
        <f>MOLLE!L79+POLIUR!L81</f>
        <v>1233191.4893617022</v>
      </c>
      <c r="N8" s="239">
        <f>MOLLE!M79+POLIUR!M81</f>
        <v>704680.85106382985</v>
      </c>
      <c r="O8" s="245">
        <f t="shared" si="0"/>
        <v>13800000</v>
      </c>
    </row>
    <row r="9" spans="2:15" ht="17" thickBot="1" x14ac:dyDescent="0.25">
      <c r="B9" s="246" t="s">
        <v>32</v>
      </c>
      <c r="C9" s="247">
        <f>SUM(C6:C8)</f>
        <v>11015187.875085792</v>
      </c>
      <c r="D9" s="233">
        <f t="shared" ref="D9:O9" si="1">SUM(D6:D8)</f>
        <v>12239097.638984215</v>
      </c>
      <c r="E9" s="233">
        <f t="shared" si="1"/>
        <v>14074962.284831846</v>
      </c>
      <c r="F9" s="233">
        <f t="shared" si="1"/>
        <v>12851052.520933423</v>
      </c>
      <c r="G9" s="233">
        <f t="shared" si="1"/>
        <v>12851052.520933423</v>
      </c>
      <c r="H9" s="233">
        <f t="shared" si="1"/>
        <v>13463007.402882634</v>
      </c>
      <c r="I9" s="233">
        <f t="shared" si="1"/>
        <v>13463007.402882634</v>
      </c>
      <c r="J9" s="233">
        <f t="shared" si="1"/>
        <v>7343458.5833905274</v>
      </c>
      <c r="K9" s="233">
        <f t="shared" si="1"/>
        <v>13463007.402882634</v>
      </c>
      <c r="L9" s="233">
        <f t="shared" si="1"/>
        <v>12851052.520933423</v>
      </c>
      <c r="M9" s="233">
        <f t="shared" si="1"/>
        <v>12851052.520933423</v>
      </c>
      <c r="N9" s="233">
        <f t="shared" si="1"/>
        <v>7343458.5833905274</v>
      </c>
      <c r="O9" s="248">
        <f t="shared" si="1"/>
        <v>143809397.25806451</v>
      </c>
    </row>
    <row r="10" spans="2:15" x14ac:dyDescent="0.2">
      <c r="B10" s="242" t="s">
        <v>83</v>
      </c>
      <c r="C10" s="237">
        <f>C6*'Tab 0'!$B$46</f>
        <v>39945.855261496225</v>
      </c>
      <c r="D10" s="200">
        <f>D6*'Tab 0'!$B$46</f>
        <v>44384.283623884687</v>
      </c>
      <c r="E10" s="200">
        <f>E6*'Tab 0'!$B$46</f>
        <v>51041.926167467398</v>
      </c>
      <c r="F10" s="200">
        <f>F6*'Tab 0'!$B$46</f>
        <v>46603.497805078921</v>
      </c>
      <c r="G10" s="200">
        <f>G6*'Tab 0'!$B$46</f>
        <v>46603.497805078921</v>
      </c>
      <c r="H10" s="200">
        <f>H6*'Tab 0'!$B$46</f>
        <v>48822.711986273156</v>
      </c>
      <c r="I10" s="200">
        <f>I6*'Tab 0'!$B$46</f>
        <v>48822.711986273156</v>
      </c>
      <c r="J10" s="200">
        <f>J6*'Tab 0'!$B$46</f>
        <v>26630.570174330809</v>
      </c>
      <c r="K10" s="200">
        <f>K6*'Tab 0'!$B$46</f>
        <v>48822.711986273156</v>
      </c>
      <c r="L10" s="200">
        <f>L6*'Tab 0'!$B$46</f>
        <v>46603.497805078921</v>
      </c>
      <c r="M10" s="200">
        <f>M6*'Tab 0'!$B$46</f>
        <v>46603.497805078921</v>
      </c>
      <c r="N10" s="200">
        <f>N6*'Tab 0'!$B$46</f>
        <v>26630.570174330809</v>
      </c>
      <c r="O10" s="243">
        <f>SUM(C10:N10)</f>
        <v>521515.3325806451</v>
      </c>
    </row>
    <row r="11" spans="2:15" x14ac:dyDescent="0.2">
      <c r="B11" s="86" t="s">
        <v>84</v>
      </c>
      <c r="C11" s="236">
        <f>C7*'Tab 0'!$C$46</f>
        <v>0</v>
      </c>
      <c r="D11" s="81">
        <f>D7*'Tab 0'!$C$46</f>
        <v>0</v>
      </c>
      <c r="E11" s="81">
        <f>E7*'Tab 0'!$C$46</f>
        <v>0</v>
      </c>
      <c r="F11" s="81">
        <f>F7*'Tab 0'!$C$46</f>
        <v>0</v>
      </c>
      <c r="G11" s="81">
        <f>G7*'Tab 0'!$C$46</f>
        <v>0</v>
      </c>
      <c r="H11" s="81">
        <f>H7*'Tab 0'!$C$46</f>
        <v>0</v>
      </c>
      <c r="I11" s="81">
        <f>I7*'Tab 0'!$C$46</f>
        <v>0</v>
      </c>
      <c r="J11" s="81">
        <f>J7*'Tab 0'!$C$46</f>
        <v>0</v>
      </c>
      <c r="K11" s="81">
        <f>K7*'Tab 0'!$C$46</f>
        <v>0</v>
      </c>
      <c r="L11" s="81">
        <f>L7*'Tab 0'!$C$46</f>
        <v>0</v>
      </c>
      <c r="M11" s="81">
        <f>M7*'Tab 0'!$C$46</f>
        <v>0</v>
      </c>
      <c r="N11" s="81">
        <f>N7*'Tab 0'!$C$46</f>
        <v>0</v>
      </c>
      <c r="O11" s="244">
        <f t="shared" ref="O11:O12" si="2">SUM(C11:N11)</f>
        <v>0</v>
      </c>
    </row>
    <row r="12" spans="2:15" x14ac:dyDescent="0.2">
      <c r="B12" s="16" t="s">
        <v>85</v>
      </c>
      <c r="C12" s="238">
        <f>C8*'Tab 0'!$D$46</f>
        <v>105702.12765957449</v>
      </c>
      <c r="D12" s="239">
        <f>D8*'Tab 0'!$D$46</f>
        <v>117446.80851063831</v>
      </c>
      <c r="E12" s="239">
        <f>E8*'Tab 0'!$D$46</f>
        <v>135063.82978723408</v>
      </c>
      <c r="F12" s="239">
        <f>F8*'Tab 0'!$D$46</f>
        <v>123319.14893617023</v>
      </c>
      <c r="G12" s="239">
        <f>G8*'Tab 0'!$D$46</f>
        <v>123319.14893617023</v>
      </c>
      <c r="H12" s="239">
        <f>H8*'Tab 0'!$D$46</f>
        <v>129191.48936170214</v>
      </c>
      <c r="I12" s="239">
        <f>I8*'Tab 0'!$D$46</f>
        <v>129191.48936170214</v>
      </c>
      <c r="J12" s="239">
        <f>J8*'Tab 0'!$D$46</f>
        <v>70468.08510638299</v>
      </c>
      <c r="K12" s="239">
        <f>K8*'Tab 0'!$D$46</f>
        <v>129191.48936170214</v>
      </c>
      <c r="L12" s="239">
        <f>L8*'Tab 0'!$D$46</f>
        <v>123319.14893617023</v>
      </c>
      <c r="M12" s="239">
        <f>M8*'Tab 0'!$D$46</f>
        <v>123319.14893617023</v>
      </c>
      <c r="N12" s="239">
        <f>N8*'Tab 0'!$D$46</f>
        <v>70468.08510638299</v>
      </c>
      <c r="O12" s="245">
        <f t="shared" si="2"/>
        <v>1380000</v>
      </c>
    </row>
    <row r="13" spans="2:15" ht="17" thickBot="1" x14ac:dyDescent="0.25">
      <c r="B13" s="246" t="s">
        <v>107</v>
      </c>
      <c r="C13" s="247">
        <f>SUM(C10:C12)</f>
        <v>145647.98292107071</v>
      </c>
      <c r="D13" s="233">
        <f t="shared" ref="D13" si="3">SUM(D10:D12)</f>
        <v>161831.092134523</v>
      </c>
      <c r="E13" s="233">
        <f t="shared" ref="E13" si="4">SUM(E10:E12)</f>
        <v>186105.75595470148</v>
      </c>
      <c r="F13" s="233">
        <f t="shared" ref="F13" si="5">SUM(F10:F12)</f>
        <v>169922.64674124913</v>
      </c>
      <c r="G13" s="233">
        <f t="shared" ref="G13" si="6">SUM(G10:G12)</f>
        <v>169922.64674124913</v>
      </c>
      <c r="H13" s="233">
        <f t="shared" ref="H13" si="7">SUM(H10:H12)</f>
        <v>178014.20134797529</v>
      </c>
      <c r="I13" s="233">
        <f t="shared" ref="I13" si="8">SUM(I10:I12)</f>
        <v>178014.20134797529</v>
      </c>
      <c r="J13" s="233">
        <f t="shared" ref="J13" si="9">SUM(J10:J12)</f>
        <v>97098.655280713807</v>
      </c>
      <c r="K13" s="233">
        <f t="shared" ref="K13" si="10">SUM(K10:K12)</f>
        <v>178014.20134797529</v>
      </c>
      <c r="L13" s="233">
        <f t="shared" ref="L13" si="11">SUM(L10:L12)</f>
        <v>169922.64674124913</v>
      </c>
      <c r="M13" s="233">
        <f t="shared" ref="M13" si="12">SUM(M10:M12)</f>
        <v>169922.64674124913</v>
      </c>
      <c r="N13" s="233">
        <f t="shared" ref="N13" si="13">SUM(N10:N12)</f>
        <v>97098.655280713807</v>
      </c>
      <c r="O13" s="248">
        <f t="shared" ref="O13" si="14">SUM(O10:O12)</f>
        <v>1901515.3325806451</v>
      </c>
    </row>
  </sheetData>
  <mergeCells count="1">
    <mergeCell ref="C4:O4"/>
  </mergeCells>
  <phoneticPr fontId="4" type="noConversion"/>
  <pageMargins left="0.25" right="0.25" top="0.75" bottom="0.75" header="0.3" footer="0.3"/>
  <pageSetup paperSize="9" scale="6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Tab 0</vt:lpstr>
      <vt:lpstr>Tab 1</vt:lpstr>
      <vt:lpstr>Tab 2</vt:lpstr>
      <vt:lpstr>Tab 3</vt:lpstr>
      <vt:lpstr>QUANTITÀ</vt:lpstr>
      <vt:lpstr>PREZZI</vt:lpstr>
      <vt:lpstr>MOLLE</vt:lpstr>
      <vt:lpstr>POLIUR</vt:lpstr>
      <vt:lpstr>Tab. 4</vt:lpstr>
      <vt:lpstr>Tab 5</vt:lpstr>
      <vt:lpstr>All. B1-B2-B3 (2)</vt:lpstr>
      <vt:lpstr>Tab. 6</vt:lpstr>
      <vt:lpstr>Tab. 7</vt:lpstr>
      <vt:lpstr>Tab. 8</vt:lpstr>
      <vt:lpstr>Tab.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01) Mozart vendite</dc:title>
  <dc:subject>budget vendite- provv - costo vend - premi</dc:subject>
  <dc:creator>barbara</dc:creator>
  <cp:lastModifiedBy>Federica Marini</cp:lastModifiedBy>
  <cp:lastPrinted>2022-03-21T18:18:28Z</cp:lastPrinted>
  <dcterms:created xsi:type="dcterms:W3CDTF">2004-01-02T13:31:21Z</dcterms:created>
  <dcterms:modified xsi:type="dcterms:W3CDTF">2022-05-10T10:19:38Z</dcterms:modified>
</cp:coreProperties>
</file>