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2024/Caso Mozart/"/>
    </mc:Choice>
  </mc:AlternateContent>
  <xr:revisionPtr revIDLastSave="0" documentId="13_ncr:1_{D7E01604-D5DF-1245-8EAC-78F842E33F78}" xr6:coauthVersionLast="47" xr6:coauthVersionMax="47" xr10:uidLastSave="{00000000-0000-0000-0000-000000000000}"/>
  <bookViews>
    <workbookView xWindow="940" yWindow="520" windowWidth="35840" windowHeight="19580" tabRatio="704" activeTab="17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  <sheet name="Tab 5" sheetId="89" r:id="rId10"/>
    <sheet name="All. 1-2-3" sheetId="91" r:id="rId11"/>
    <sheet name="Tab. 6" sheetId="56" r:id="rId12"/>
    <sheet name="Tab. 7" sheetId="90" r:id="rId13"/>
    <sheet name="Tab. 8" sheetId="92" r:id="rId14"/>
    <sheet name="Tab. 9" sheetId="93" r:id="rId15"/>
    <sheet name="All. 4" sheetId="94" r:id="rId16"/>
    <sheet name="Tab. 10" sheetId="95" r:id="rId17"/>
    <sheet name="Tab. 11" sheetId="9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96" l="1"/>
  <c r="K42" i="95" l="1"/>
  <c r="F42" i="95"/>
  <c r="P13" i="94"/>
  <c r="P12" i="94"/>
  <c r="C61" i="92" l="1"/>
  <c r="C55" i="92"/>
  <c r="C48" i="92"/>
  <c r="C41" i="92"/>
  <c r="C34" i="92"/>
  <c r="C27" i="92"/>
  <c r="C20" i="92"/>
  <c r="D13" i="92"/>
  <c r="C13" i="92"/>
  <c r="Q11" i="96"/>
  <c r="S8" i="86"/>
  <c r="S23" i="87"/>
  <c r="S22" i="87"/>
  <c r="S15" i="87"/>
  <c r="S14" i="87"/>
  <c r="N57" i="96"/>
  <c r="K59" i="96"/>
  <c r="L59" i="96"/>
  <c r="I61" i="96"/>
  <c r="J61" i="96"/>
  <c r="D8" i="96"/>
  <c r="E8" i="96"/>
  <c r="F8" i="96"/>
  <c r="G8" i="96"/>
  <c r="H8" i="96"/>
  <c r="I8" i="96"/>
  <c r="J8" i="96"/>
  <c r="K8" i="96"/>
  <c r="L8" i="96"/>
  <c r="M8" i="96"/>
  <c r="N8" i="96"/>
  <c r="C8" i="96"/>
  <c r="O7" i="96"/>
  <c r="O6" i="96"/>
  <c r="H56" i="96" s="1"/>
  <c r="I42" i="95"/>
  <c r="J42" i="95" s="1"/>
  <c r="G42" i="95"/>
  <c r="H42" i="95" s="1"/>
  <c r="C42" i="95"/>
  <c r="M57" i="96" l="1"/>
  <c r="G56" i="96"/>
  <c r="F56" i="96"/>
  <c r="H61" i="96"/>
  <c r="J59" i="96"/>
  <c r="L57" i="96"/>
  <c r="N55" i="96"/>
  <c r="G61" i="96"/>
  <c r="I59" i="96"/>
  <c r="K57" i="96"/>
  <c r="M55" i="96"/>
  <c r="F61" i="96"/>
  <c r="H59" i="96"/>
  <c r="J57" i="96"/>
  <c r="L55" i="96"/>
  <c r="E55" i="96"/>
  <c r="N60" i="96"/>
  <c r="G59" i="96"/>
  <c r="I57" i="96"/>
  <c r="K55" i="96"/>
  <c r="E56" i="96"/>
  <c r="M60" i="96"/>
  <c r="F59" i="96"/>
  <c r="H57" i="96"/>
  <c r="J55" i="96"/>
  <c r="E57" i="96"/>
  <c r="L60" i="96"/>
  <c r="N58" i="96"/>
  <c r="G57" i="96"/>
  <c r="I55" i="96"/>
  <c r="E58" i="96"/>
  <c r="K60" i="96"/>
  <c r="M58" i="96"/>
  <c r="F57" i="96"/>
  <c r="H55" i="96"/>
  <c r="E59" i="96"/>
  <c r="J60" i="96"/>
  <c r="L58" i="96"/>
  <c r="N56" i="96"/>
  <c r="G55" i="96"/>
  <c r="E60" i="96"/>
  <c r="I60" i="96"/>
  <c r="K58" i="96"/>
  <c r="M56" i="96"/>
  <c r="F55" i="96"/>
  <c r="E61" i="96"/>
  <c r="H60" i="96"/>
  <c r="J58" i="96"/>
  <c r="L56" i="96"/>
  <c r="O8" i="96"/>
  <c r="N61" i="96"/>
  <c r="G60" i="96"/>
  <c r="I58" i="96"/>
  <c r="K56" i="96"/>
  <c r="M61" i="96"/>
  <c r="F60" i="96"/>
  <c r="H58" i="96"/>
  <c r="J56" i="96"/>
  <c r="L61" i="96"/>
  <c r="N59" i="96"/>
  <c r="G58" i="96"/>
  <c r="I56" i="96"/>
  <c r="K61" i="96"/>
  <c r="M59" i="96"/>
  <c r="F58" i="96"/>
  <c r="L42" i="95"/>
  <c r="M42" i="95" s="1"/>
  <c r="C29" i="95"/>
  <c r="D29" i="95"/>
  <c r="C30" i="95"/>
  <c r="D30" i="95"/>
  <c r="C31" i="95"/>
  <c r="D31" i="95"/>
  <c r="C32" i="95"/>
  <c r="D32" i="95"/>
  <c r="D28" i="95"/>
  <c r="C28" i="95"/>
  <c r="C23" i="95"/>
  <c r="D23" i="95"/>
  <c r="C24" i="95"/>
  <c r="D24" i="95"/>
  <c r="C25" i="95"/>
  <c r="D25" i="95"/>
  <c r="D22" i="95"/>
  <c r="C22" i="95"/>
  <c r="D19" i="95"/>
  <c r="C19" i="95"/>
  <c r="D18" i="95"/>
  <c r="C18" i="95"/>
  <c r="D17" i="95"/>
  <c r="C17" i="95"/>
  <c r="D16" i="95"/>
  <c r="C16" i="95"/>
  <c r="D15" i="95"/>
  <c r="C15" i="95"/>
  <c r="D14" i="95"/>
  <c r="C14" i="95"/>
  <c r="D13" i="95"/>
  <c r="C13" i="95"/>
  <c r="C9" i="95"/>
  <c r="D9" i="95"/>
  <c r="C10" i="95"/>
  <c r="D10" i="95"/>
  <c r="D8" i="95"/>
  <c r="C8" i="95"/>
  <c r="D6" i="95"/>
  <c r="O11" i="96" s="1"/>
  <c r="C6" i="95"/>
  <c r="I11" i="96" l="1"/>
  <c r="H11" i="96"/>
  <c r="J11" i="96"/>
  <c r="C11" i="96"/>
  <c r="K11" i="96"/>
  <c r="L11" i="96"/>
  <c r="M11" i="96"/>
  <c r="G11" i="96"/>
  <c r="D11" i="96"/>
  <c r="E11" i="96"/>
  <c r="F11" i="96"/>
  <c r="C33" i="95"/>
  <c r="C26" i="95"/>
  <c r="D26" i="95"/>
  <c r="O38" i="96" s="1"/>
  <c r="D33" i="95"/>
  <c r="O47" i="96" s="1"/>
  <c r="C20" i="95"/>
  <c r="D20" i="95"/>
  <c r="O29" i="96" s="1"/>
  <c r="C11" i="95"/>
  <c r="D11" i="95"/>
  <c r="O20" i="96" s="1"/>
  <c r="N47" i="96" l="1"/>
  <c r="C47" i="96"/>
  <c r="I47" i="96"/>
  <c r="K47" i="96"/>
  <c r="Q47" i="96"/>
  <c r="M47" i="96"/>
  <c r="J47" i="96"/>
  <c r="G47" i="96"/>
  <c r="E47" i="96"/>
  <c r="H47" i="96"/>
  <c r="D47" i="96"/>
  <c r="L47" i="96"/>
  <c r="F47" i="96"/>
  <c r="I29" i="96"/>
  <c r="K29" i="96"/>
  <c r="J29" i="96"/>
  <c r="C29" i="96"/>
  <c r="F29" i="96"/>
  <c r="M29" i="96"/>
  <c r="L29" i="96"/>
  <c r="E29" i="96"/>
  <c r="Q29" i="96"/>
  <c r="D29" i="96"/>
  <c r="G29" i="96"/>
  <c r="N29" i="96"/>
  <c r="H29" i="96"/>
  <c r="M20" i="96"/>
  <c r="N20" i="96"/>
  <c r="E20" i="96"/>
  <c r="Q20" i="96"/>
  <c r="H20" i="96"/>
  <c r="L20" i="96"/>
  <c r="D20" i="96"/>
  <c r="C20" i="96"/>
  <c r="I20" i="96"/>
  <c r="G20" i="96"/>
  <c r="J20" i="96"/>
  <c r="K20" i="96"/>
  <c r="F20" i="96"/>
  <c r="E38" i="96"/>
  <c r="F38" i="96"/>
  <c r="G38" i="96"/>
  <c r="C38" i="96"/>
  <c r="J38" i="96"/>
  <c r="H38" i="96"/>
  <c r="I38" i="96"/>
  <c r="K38" i="96"/>
  <c r="M38" i="96"/>
  <c r="D38" i="96"/>
  <c r="Q38" i="96"/>
  <c r="L38" i="96"/>
  <c r="N38" i="96"/>
  <c r="D35" i="95"/>
  <c r="C35" i="95"/>
  <c r="F195" i="94"/>
  <c r="G194" i="94"/>
  <c r="E6" i="95" s="1"/>
  <c r="O14" i="96" s="1"/>
  <c r="H194" i="94"/>
  <c r="J194" i="94"/>
  <c r="L194" i="94"/>
  <c r="J6" i="95" s="1"/>
  <c r="O17" i="96" s="1"/>
  <c r="G193" i="94"/>
  <c r="H193" i="94"/>
  <c r="I193" i="94" s="1"/>
  <c r="J193" i="94"/>
  <c r="K193" i="94" s="1"/>
  <c r="L193" i="94"/>
  <c r="G192" i="94"/>
  <c r="E32" i="95" s="1"/>
  <c r="H192" i="94"/>
  <c r="J192" i="94"/>
  <c r="L192" i="94"/>
  <c r="G191" i="94"/>
  <c r="E29" i="95" s="1"/>
  <c r="H191" i="94"/>
  <c r="J191" i="94"/>
  <c r="L191" i="94"/>
  <c r="J29" i="95" s="1"/>
  <c r="G190" i="94"/>
  <c r="E30" i="95" s="1"/>
  <c r="H190" i="94"/>
  <c r="J190" i="94"/>
  <c r="L190" i="94"/>
  <c r="J30" i="95" s="1"/>
  <c r="G189" i="94"/>
  <c r="E31" i="95" s="1"/>
  <c r="H189" i="94"/>
  <c r="J189" i="94"/>
  <c r="L189" i="94"/>
  <c r="J31" i="95" s="1"/>
  <c r="G188" i="94"/>
  <c r="E28" i="95" s="1"/>
  <c r="H188" i="94"/>
  <c r="J188" i="94"/>
  <c r="L188" i="94"/>
  <c r="J28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6" i="95" s="1"/>
  <c r="H145" i="94"/>
  <c r="J145" i="94"/>
  <c r="L145" i="94"/>
  <c r="J16" i="95" s="1"/>
  <c r="G146" i="94"/>
  <c r="E22" i="95" s="1"/>
  <c r="H146" i="94"/>
  <c r="J146" i="94"/>
  <c r="L146" i="94"/>
  <c r="J22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18" i="95" s="1"/>
  <c r="H140" i="94"/>
  <c r="J140" i="94"/>
  <c r="H18" i="95" s="1"/>
  <c r="L140" i="94"/>
  <c r="J18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3" i="95" s="1"/>
  <c r="H13" i="94"/>
  <c r="J13" i="94"/>
  <c r="L13" i="94"/>
  <c r="J13" i="95" s="1"/>
  <c r="G14" i="94"/>
  <c r="H14" i="94"/>
  <c r="J14" i="94"/>
  <c r="L14" i="94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F63" i="96" l="1"/>
  <c r="L63" i="96"/>
  <c r="H63" i="96"/>
  <c r="E63" i="96"/>
  <c r="G63" i="96"/>
  <c r="J63" i="96"/>
  <c r="M63" i="96"/>
  <c r="K63" i="96"/>
  <c r="I63" i="96"/>
  <c r="N63" i="96"/>
  <c r="H14" i="96"/>
  <c r="I14" i="96"/>
  <c r="L14" i="96"/>
  <c r="M14" i="96"/>
  <c r="J14" i="96"/>
  <c r="K14" i="96"/>
  <c r="N14" i="96"/>
  <c r="G14" i="96"/>
  <c r="C14" i="96"/>
  <c r="D14" i="96"/>
  <c r="F14" i="96"/>
  <c r="Q14" i="96"/>
  <c r="E14" i="96"/>
  <c r="Q17" i="96"/>
  <c r="G17" i="96"/>
  <c r="E17" i="96"/>
  <c r="H17" i="96"/>
  <c r="I17" i="96"/>
  <c r="K17" i="96"/>
  <c r="F17" i="96"/>
  <c r="J17" i="96"/>
  <c r="M17" i="96"/>
  <c r="L17" i="96"/>
  <c r="N17" i="96"/>
  <c r="C17" i="96"/>
  <c r="D17" i="96"/>
  <c r="J19" i="95"/>
  <c r="J24" i="95"/>
  <c r="J23" i="95"/>
  <c r="J25" i="95"/>
  <c r="E23" i="95"/>
  <c r="E24" i="95"/>
  <c r="K188" i="94"/>
  <c r="I28" i="95" s="1"/>
  <c r="H28" i="95"/>
  <c r="K192" i="94"/>
  <c r="I32" i="95" s="1"/>
  <c r="H32" i="95"/>
  <c r="I188" i="94"/>
  <c r="G28" i="95" s="1"/>
  <c r="F28" i="95"/>
  <c r="I192" i="94"/>
  <c r="G32" i="95" s="1"/>
  <c r="F32" i="95"/>
  <c r="E33" i="95"/>
  <c r="O50" i="96" s="1"/>
  <c r="K147" i="94"/>
  <c r="I23" i="95" s="1"/>
  <c r="H23" i="95"/>
  <c r="K185" i="94"/>
  <c r="I24" i="95" s="1"/>
  <c r="H24" i="95"/>
  <c r="K189" i="94"/>
  <c r="I31" i="95" s="1"/>
  <c r="H31" i="95"/>
  <c r="I147" i="94"/>
  <c r="G23" i="95" s="1"/>
  <c r="F23" i="95"/>
  <c r="I185" i="94"/>
  <c r="G24" i="95" s="1"/>
  <c r="F24" i="95"/>
  <c r="I189" i="94"/>
  <c r="G31" i="95" s="1"/>
  <c r="F31" i="95"/>
  <c r="K146" i="94"/>
  <c r="I22" i="95" s="1"/>
  <c r="H22" i="95"/>
  <c r="K190" i="94"/>
  <c r="I30" i="95" s="1"/>
  <c r="H30" i="95"/>
  <c r="I146" i="94"/>
  <c r="G22" i="95" s="1"/>
  <c r="F22" i="95"/>
  <c r="I190" i="94"/>
  <c r="G30" i="95" s="1"/>
  <c r="F30" i="95"/>
  <c r="K145" i="94"/>
  <c r="I16" i="95" s="1"/>
  <c r="H16" i="95"/>
  <c r="K155" i="94"/>
  <c r="I25" i="95" s="1"/>
  <c r="H25" i="95"/>
  <c r="K191" i="94"/>
  <c r="I29" i="95" s="1"/>
  <c r="H29" i="95"/>
  <c r="I145" i="94"/>
  <c r="G16" i="95" s="1"/>
  <c r="F16" i="95"/>
  <c r="I155" i="94"/>
  <c r="G25" i="95" s="1"/>
  <c r="F25" i="95"/>
  <c r="I191" i="94"/>
  <c r="G29" i="95" s="1"/>
  <c r="F29" i="95"/>
  <c r="E25" i="95"/>
  <c r="J32" i="95"/>
  <c r="J33" i="95" s="1"/>
  <c r="O53" i="96" s="1"/>
  <c r="K140" i="94"/>
  <c r="I18" i="95" s="1"/>
  <c r="J17" i="95"/>
  <c r="E11" i="95"/>
  <c r="O23" i="96" s="1"/>
  <c r="K14" i="94"/>
  <c r="I14" i="95" s="1"/>
  <c r="H14" i="95"/>
  <c r="K141" i="94"/>
  <c r="I19" i="95" s="1"/>
  <c r="H19" i="95"/>
  <c r="I14" i="94"/>
  <c r="G14" i="95" s="1"/>
  <c r="F14" i="95"/>
  <c r="I141" i="94"/>
  <c r="G19" i="95" s="1"/>
  <c r="F19" i="95"/>
  <c r="J14" i="95"/>
  <c r="E19" i="95"/>
  <c r="E14" i="95"/>
  <c r="K13" i="94"/>
  <c r="I13" i="95" s="1"/>
  <c r="H13" i="95"/>
  <c r="I13" i="94"/>
  <c r="G13" i="95" s="1"/>
  <c r="F13" i="95"/>
  <c r="K194" i="94"/>
  <c r="I6" i="95" s="1"/>
  <c r="O16" i="96" s="1"/>
  <c r="H6" i="95"/>
  <c r="O13" i="96" s="1"/>
  <c r="K12" i="94"/>
  <c r="I10" i="95" s="1"/>
  <c r="H10" i="95"/>
  <c r="K143" i="94"/>
  <c r="I17" i="95" s="1"/>
  <c r="H17" i="95"/>
  <c r="I194" i="94"/>
  <c r="G6" i="95" s="1"/>
  <c r="O15" i="96" s="1"/>
  <c r="F6" i="95"/>
  <c r="O12" i="96" s="1"/>
  <c r="I12" i="94"/>
  <c r="G10" i="95" s="1"/>
  <c r="F10" i="95"/>
  <c r="I143" i="94"/>
  <c r="G17" i="95" s="1"/>
  <c r="F17" i="95"/>
  <c r="J15" i="95"/>
  <c r="E17" i="95"/>
  <c r="I10" i="94"/>
  <c r="G8" i="95" s="1"/>
  <c r="F8" i="95"/>
  <c r="K124" i="94"/>
  <c r="I15" i="95" s="1"/>
  <c r="H15" i="95"/>
  <c r="K10" i="94"/>
  <c r="I8" i="95" s="1"/>
  <c r="H8" i="95"/>
  <c r="K11" i="94"/>
  <c r="I9" i="95" s="1"/>
  <c r="H9" i="95"/>
  <c r="I124" i="94"/>
  <c r="G15" i="95" s="1"/>
  <c r="F15" i="95"/>
  <c r="J11" i="95"/>
  <c r="O26" i="96" s="1"/>
  <c r="I11" i="94"/>
  <c r="G9" i="95" s="1"/>
  <c r="F9" i="95"/>
  <c r="E15" i="95"/>
  <c r="I140" i="94"/>
  <c r="G18" i="95" s="1"/>
  <c r="F18" i="95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K54" i="92" s="1"/>
  <c r="C43" i="92"/>
  <c r="K47" i="92" s="1"/>
  <c r="C36" i="92"/>
  <c r="K40" i="92" s="1"/>
  <c r="C29" i="92"/>
  <c r="K33" i="92" s="1"/>
  <c r="C22" i="92"/>
  <c r="K26" i="92" s="1"/>
  <c r="C15" i="92"/>
  <c r="L18" i="92" s="1"/>
  <c r="H15" i="90"/>
  <c r="C8" i="92"/>
  <c r="J11" i="92" s="1"/>
  <c r="Q67" i="90"/>
  <c r="N68" i="90" s="1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F69" i="90" s="1"/>
  <c r="E67" i="90"/>
  <c r="D68" i="90" s="1"/>
  <c r="E66" i="90" s="1"/>
  <c r="E69" i="90" s="1"/>
  <c r="D67" i="90"/>
  <c r="C67" i="90"/>
  <c r="C64" i="90"/>
  <c r="C68" i="90" s="1"/>
  <c r="D66" i="90" s="1"/>
  <c r="D69" i="90" s="1"/>
  <c r="C63" i="90"/>
  <c r="C62" i="90"/>
  <c r="C66" i="90" s="1"/>
  <c r="Q58" i="90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F60" i="90" s="1"/>
  <c r="E58" i="90"/>
  <c r="D59" i="90" s="1"/>
  <c r="E57" i="90" s="1"/>
  <c r="E60" i="90" s="1"/>
  <c r="D58" i="90"/>
  <c r="C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B30" i="89"/>
  <c r="Q49" i="90"/>
  <c r="N49" i="90"/>
  <c r="M49" i="90"/>
  <c r="L49" i="90"/>
  <c r="K49" i="90"/>
  <c r="J49" i="90"/>
  <c r="I49" i="90"/>
  <c r="H49" i="90"/>
  <c r="F49" i="90"/>
  <c r="E49" i="90"/>
  <c r="D49" i="90"/>
  <c r="C49" i="90"/>
  <c r="C46" i="90"/>
  <c r="C45" i="90"/>
  <c r="C44" i="90"/>
  <c r="C48" i="90" s="1"/>
  <c r="Q40" i="90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40" i="90"/>
  <c r="C37" i="90"/>
  <c r="C36" i="90"/>
  <c r="C35" i="90"/>
  <c r="C39" i="90" s="1"/>
  <c r="Q31" i="90"/>
  <c r="N32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1" i="90"/>
  <c r="C28" i="90"/>
  <c r="C27" i="90"/>
  <c r="C26" i="90"/>
  <c r="C30" i="90" s="1"/>
  <c r="Q22" i="90"/>
  <c r="N22" i="90"/>
  <c r="M23" i="90" s="1"/>
  <c r="M22" i="90"/>
  <c r="L23" i="90" s="1"/>
  <c r="L22" i="90"/>
  <c r="K22" i="90"/>
  <c r="J22" i="90"/>
  <c r="I22" i="90"/>
  <c r="H22" i="90"/>
  <c r="G22" i="90"/>
  <c r="F22" i="90"/>
  <c r="E22" i="90"/>
  <c r="D22" i="90"/>
  <c r="C22" i="90"/>
  <c r="C19" i="90"/>
  <c r="C18" i="90"/>
  <c r="C17" i="90"/>
  <c r="C21" i="90" s="1"/>
  <c r="Q13" i="90"/>
  <c r="D13" i="90"/>
  <c r="E13" i="90"/>
  <c r="F13" i="90"/>
  <c r="G13" i="90"/>
  <c r="H13" i="90"/>
  <c r="I13" i="90"/>
  <c r="J13" i="90"/>
  <c r="K13" i="90"/>
  <c r="L13" i="90"/>
  <c r="M13" i="90"/>
  <c r="N13" i="90"/>
  <c r="C13" i="90"/>
  <c r="Q27" i="89"/>
  <c r="Q28" i="89"/>
  <c r="T13" i="89"/>
  <c r="T26" i="89"/>
  <c r="S8" i="52"/>
  <c r="S9" i="52"/>
  <c r="S10" i="52"/>
  <c r="S11" i="52"/>
  <c r="S15" i="52"/>
  <c r="S16" i="52"/>
  <c r="S17" i="52"/>
  <c r="S18" i="52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K27" i="89"/>
  <c r="R26" i="89"/>
  <c r="S26" i="89"/>
  <c r="Q26" i="89"/>
  <c r="N27" i="89" s="1"/>
  <c r="Q25" i="89" s="1"/>
  <c r="D26" i="89"/>
  <c r="E26" i="89"/>
  <c r="D27" i="89" s="1"/>
  <c r="F26" i="89"/>
  <c r="G26" i="89"/>
  <c r="F27" i="89" s="1"/>
  <c r="H26" i="89"/>
  <c r="I26" i="89"/>
  <c r="H27" i="89" s="1"/>
  <c r="J26" i="89"/>
  <c r="K26" i="89"/>
  <c r="L26" i="89"/>
  <c r="M26" i="89"/>
  <c r="L27" i="89" s="1"/>
  <c r="N26" i="89"/>
  <c r="M27" i="89" s="1"/>
  <c r="C26" i="89"/>
  <c r="R13" i="89"/>
  <c r="S13" i="89"/>
  <c r="Q13" i="89"/>
  <c r="E14" i="89"/>
  <c r="F14" i="89"/>
  <c r="G14" i="89"/>
  <c r="H14" i="89"/>
  <c r="I14" i="89"/>
  <c r="J14" i="89"/>
  <c r="D13" i="89"/>
  <c r="E13" i="89"/>
  <c r="F13" i="89"/>
  <c r="G13" i="89"/>
  <c r="H13" i="89"/>
  <c r="I13" i="89"/>
  <c r="J13" i="89"/>
  <c r="K13" i="89"/>
  <c r="L13" i="89"/>
  <c r="K14" i="89" s="1"/>
  <c r="M13" i="89"/>
  <c r="L14" i="89" s="1"/>
  <c r="N13" i="89"/>
  <c r="C13" i="89"/>
  <c r="C25" i="89"/>
  <c r="C12" i="89"/>
  <c r="C23" i="89"/>
  <c r="R18" i="52"/>
  <c r="Q18" i="52"/>
  <c r="P18" i="52"/>
  <c r="Q15" i="52"/>
  <c r="R15" i="52"/>
  <c r="Q16" i="52"/>
  <c r="R16" i="52"/>
  <c r="Q17" i="52"/>
  <c r="R17" i="52"/>
  <c r="Q8" i="52"/>
  <c r="R8" i="52"/>
  <c r="Q9" i="52"/>
  <c r="R9" i="52"/>
  <c r="Q10" i="52"/>
  <c r="R10" i="52"/>
  <c r="P10" i="52"/>
  <c r="P17" i="52"/>
  <c r="P16" i="52"/>
  <c r="P15" i="52"/>
  <c r="Q11" i="52"/>
  <c r="R11" i="52"/>
  <c r="P11" i="52"/>
  <c r="P9" i="52"/>
  <c r="P8" i="52"/>
  <c r="K23" i="87"/>
  <c r="K22" i="87"/>
  <c r="H23" i="87"/>
  <c r="H22" i="87"/>
  <c r="K24" i="87"/>
  <c r="H24" i="87"/>
  <c r="E24" i="87"/>
  <c r="E23" i="87"/>
  <c r="E22" i="87"/>
  <c r="R22" i="87"/>
  <c r="R23" i="87"/>
  <c r="Q22" i="87"/>
  <c r="Q23" i="87"/>
  <c r="P23" i="87"/>
  <c r="P22" i="87"/>
  <c r="R12" i="86"/>
  <c r="R11" i="86" s="1"/>
  <c r="S12" i="86"/>
  <c r="S11" i="86" s="1"/>
  <c r="Q11" i="86"/>
  <c r="Q12" i="86"/>
  <c r="Q8" i="86"/>
  <c r="S7" i="86"/>
  <c r="R7" i="86"/>
  <c r="Q7" i="86"/>
  <c r="C10" i="89"/>
  <c r="I53" i="96" l="1"/>
  <c r="E53" i="96"/>
  <c r="H53" i="96"/>
  <c r="C53" i="96"/>
  <c r="M53" i="96"/>
  <c r="F53" i="96"/>
  <c r="N53" i="96"/>
  <c r="D53" i="96"/>
  <c r="L53" i="96"/>
  <c r="Q53" i="96"/>
  <c r="J53" i="96"/>
  <c r="K53" i="96"/>
  <c r="G53" i="96"/>
  <c r="I23" i="96"/>
  <c r="K23" i="96"/>
  <c r="J23" i="96"/>
  <c r="N23" i="96"/>
  <c r="E23" i="96"/>
  <c r="Q23" i="96"/>
  <c r="D23" i="96"/>
  <c r="G23" i="96"/>
  <c r="C23" i="96"/>
  <c r="H23" i="96"/>
  <c r="M23" i="96"/>
  <c r="L23" i="96"/>
  <c r="F23" i="96"/>
  <c r="M50" i="96"/>
  <c r="N50" i="96"/>
  <c r="F50" i="96"/>
  <c r="Q50" i="96"/>
  <c r="J50" i="96"/>
  <c r="I50" i="96"/>
  <c r="E50" i="96"/>
  <c r="H50" i="96"/>
  <c r="K50" i="96"/>
  <c r="C50" i="96"/>
  <c r="G50" i="96"/>
  <c r="L50" i="96"/>
  <c r="D50" i="96"/>
  <c r="J26" i="95"/>
  <c r="O44" i="96" s="1"/>
  <c r="E26" i="96"/>
  <c r="F26" i="96"/>
  <c r="G26" i="96"/>
  <c r="D26" i="96"/>
  <c r="J26" i="96"/>
  <c r="N26" i="96"/>
  <c r="I26" i="96"/>
  <c r="C26" i="96"/>
  <c r="H26" i="96"/>
  <c r="K26" i="96"/>
  <c r="M26" i="96"/>
  <c r="Q26" i="96"/>
  <c r="L26" i="96"/>
  <c r="D13" i="96"/>
  <c r="E13" i="96"/>
  <c r="G13" i="96"/>
  <c r="F13" i="96"/>
  <c r="H13" i="96"/>
  <c r="I13" i="96"/>
  <c r="J13" i="96"/>
  <c r="K13" i="96"/>
  <c r="L13" i="96"/>
  <c r="C13" i="96"/>
  <c r="M13" i="96"/>
  <c r="N13" i="96"/>
  <c r="Q13" i="96"/>
  <c r="M15" i="96"/>
  <c r="N15" i="96"/>
  <c r="K15" i="96"/>
  <c r="D15" i="96"/>
  <c r="E15" i="96"/>
  <c r="F15" i="96"/>
  <c r="G15" i="96"/>
  <c r="C15" i="96"/>
  <c r="H15" i="96"/>
  <c r="L15" i="96"/>
  <c r="I15" i="96"/>
  <c r="J15" i="96"/>
  <c r="Q15" i="96"/>
  <c r="F16" i="96"/>
  <c r="J16" i="96"/>
  <c r="D16" i="96"/>
  <c r="L16" i="96"/>
  <c r="E16" i="96"/>
  <c r="G16" i="96"/>
  <c r="H16" i="96"/>
  <c r="I16" i="96"/>
  <c r="K16" i="96"/>
  <c r="N16" i="96"/>
  <c r="M16" i="96"/>
  <c r="C16" i="96"/>
  <c r="Q16" i="96"/>
  <c r="N12" i="96"/>
  <c r="M12" i="96"/>
  <c r="H12" i="96"/>
  <c r="F12" i="96"/>
  <c r="C12" i="96"/>
  <c r="D12" i="96"/>
  <c r="E12" i="96"/>
  <c r="G12" i="96"/>
  <c r="Q12" i="96"/>
  <c r="I12" i="96"/>
  <c r="J12" i="96"/>
  <c r="K12" i="96"/>
  <c r="L12" i="96"/>
  <c r="O18" i="96"/>
  <c r="K28" i="95"/>
  <c r="L28" i="95" s="1"/>
  <c r="K24" i="95"/>
  <c r="L24" i="95" s="1"/>
  <c r="M188" i="94"/>
  <c r="M147" i="94"/>
  <c r="K23" i="95"/>
  <c r="L23" i="95" s="1"/>
  <c r="K31" i="95"/>
  <c r="L31" i="95" s="1"/>
  <c r="K30" i="95"/>
  <c r="L30" i="95" s="1"/>
  <c r="K32" i="95"/>
  <c r="L32" i="95" s="1"/>
  <c r="K16" i="95"/>
  <c r="L16" i="95" s="1"/>
  <c r="K29" i="95"/>
  <c r="L29" i="95" s="1"/>
  <c r="M191" i="94"/>
  <c r="M145" i="94"/>
  <c r="I26" i="95"/>
  <c r="O43" i="96" s="1"/>
  <c r="H26" i="95"/>
  <c r="O40" i="96" s="1"/>
  <c r="M146" i="94"/>
  <c r="F33" i="95"/>
  <c r="O48" i="96" s="1"/>
  <c r="M155" i="94"/>
  <c r="G33" i="95"/>
  <c r="O51" i="96" s="1"/>
  <c r="G26" i="95"/>
  <c r="O42" i="96" s="1"/>
  <c r="K19" i="95"/>
  <c r="L19" i="95" s="1"/>
  <c r="K25" i="95"/>
  <c r="L25" i="95" s="1"/>
  <c r="E26" i="95"/>
  <c r="O41" i="96" s="1"/>
  <c r="K22" i="95"/>
  <c r="M190" i="94"/>
  <c r="M194" i="94"/>
  <c r="M189" i="94"/>
  <c r="H33" i="95"/>
  <c r="O49" i="96" s="1"/>
  <c r="M185" i="94"/>
  <c r="F26" i="95"/>
  <c r="O39" i="96" s="1"/>
  <c r="I33" i="95"/>
  <c r="O52" i="96" s="1"/>
  <c r="K14" i="95"/>
  <c r="L14" i="95" s="1"/>
  <c r="I20" i="95"/>
  <c r="O34" i="96" s="1"/>
  <c r="K18" i="95"/>
  <c r="L18" i="95" s="1"/>
  <c r="K10" i="95"/>
  <c r="L10" i="95" s="1"/>
  <c r="K6" i="95"/>
  <c r="J20" i="95"/>
  <c r="M140" i="94"/>
  <c r="K9" i="95"/>
  <c r="L9" i="95" s="1"/>
  <c r="I11" i="95"/>
  <c r="O25" i="96" s="1"/>
  <c r="E20" i="95"/>
  <c r="I195" i="94"/>
  <c r="K13" i="95"/>
  <c r="K15" i="95"/>
  <c r="L15" i="95" s="1"/>
  <c r="M13" i="94"/>
  <c r="F11" i="95"/>
  <c r="O21" i="96" s="1"/>
  <c r="M10" i="94"/>
  <c r="M11" i="94"/>
  <c r="F20" i="95"/>
  <c r="O30" i="96" s="1"/>
  <c r="K17" i="95"/>
  <c r="L17" i="95" s="1"/>
  <c r="M14" i="94"/>
  <c r="M143" i="94"/>
  <c r="G20" i="95"/>
  <c r="O33" i="96" s="1"/>
  <c r="K8" i="95"/>
  <c r="H11" i="95"/>
  <c r="O22" i="96" s="1"/>
  <c r="K195" i="94"/>
  <c r="G11" i="95"/>
  <c r="O24" i="96" s="1"/>
  <c r="M12" i="94"/>
  <c r="M124" i="94"/>
  <c r="M141" i="94"/>
  <c r="H20" i="95"/>
  <c r="O31" i="96" s="1"/>
  <c r="M18" i="92"/>
  <c r="D19" i="92"/>
  <c r="N18" i="92"/>
  <c r="C19" i="92"/>
  <c r="M47" i="92"/>
  <c r="C47" i="92"/>
  <c r="J25" i="92"/>
  <c r="K25" i="92"/>
  <c r="N47" i="92"/>
  <c r="L25" i="92"/>
  <c r="L26" i="92"/>
  <c r="M26" i="92"/>
  <c r="N26" i="92"/>
  <c r="M33" i="92"/>
  <c r="L47" i="92"/>
  <c r="I25" i="92"/>
  <c r="M25" i="92"/>
  <c r="N33" i="92"/>
  <c r="I39" i="92"/>
  <c r="C17" i="92"/>
  <c r="I53" i="92"/>
  <c r="G19" i="92"/>
  <c r="J53" i="92"/>
  <c r="H19" i="92"/>
  <c r="M40" i="92"/>
  <c r="I19" i="92"/>
  <c r="L53" i="92"/>
  <c r="F18" i="92"/>
  <c r="J19" i="92"/>
  <c r="M53" i="92"/>
  <c r="G18" i="92"/>
  <c r="I46" i="92"/>
  <c r="K32" i="92"/>
  <c r="I18" i="92"/>
  <c r="M19" i="92"/>
  <c r="L32" i="92"/>
  <c r="K46" i="92"/>
  <c r="L54" i="92"/>
  <c r="J39" i="92"/>
  <c r="F19" i="92"/>
  <c r="J18" i="92"/>
  <c r="N19" i="92"/>
  <c r="M32" i="92"/>
  <c r="L46" i="92"/>
  <c r="M54" i="92"/>
  <c r="E19" i="92"/>
  <c r="E18" i="92"/>
  <c r="N40" i="92"/>
  <c r="I32" i="92"/>
  <c r="J32" i="92"/>
  <c r="L19" i="92"/>
  <c r="K18" i="92"/>
  <c r="N32" i="92"/>
  <c r="M46" i="92"/>
  <c r="N54" i="92"/>
  <c r="K39" i="92"/>
  <c r="C18" i="92"/>
  <c r="L40" i="92"/>
  <c r="D18" i="92"/>
  <c r="K53" i="92"/>
  <c r="K19" i="92"/>
  <c r="N53" i="92"/>
  <c r="H18" i="92"/>
  <c r="J46" i="92"/>
  <c r="C54" i="92"/>
  <c r="L33" i="92"/>
  <c r="N46" i="92"/>
  <c r="F54" i="92"/>
  <c r="E54" i="92"/>
  <c r="C53" i="92"/>
  <c r="F53" i="92"/>
  <c r="I54" i="92"/>
  <c r="C52" i="92"/>
  <c r="G53" i="92"/>
  <c r="J54" i="92"/>
  <c r="D54" i="92"/>
  <c r="D53" i="92"/>
  <c r="G54" i="92"/>
  <c r="E53" i="92"/>
  <c r="H54" i="92"/>
  <c r="H53" i="92"/>
  <c r="F46" i="92"/>
  <c r="I47" i="92"/>
  <c r="D47" i="92"/>
  <c r="E47" i="92"/>
  <c r="C46" i="92"/>
  <c r="G47" i="92"/>
  <c r="C45" i="92"/>
  <c r="D45" i="92" s="1"/>
  <c r="D48" i="92" s="1"/>
  <c r="G46" i="92"/>
  <c r="J47" i="92"/>
  <c r="F47" i="92"/>
  <c r="D46" i="92"/>
  <c r="E46" i="92"/>
  <c r="H47" i="92"/>
  <c r="H46" i="92"/>
  <c r="M39" i="92"/>
  <c r="N39" i="92"/>
  <c r="C40" i="92"/>
  <c r="D40" i="92"/>
  <c r="F40" i="92"/>
  <c r="E40" i="92"/>
  <c r="C39" i="92"/>
  <c r="D39" i="92"/>
  <c r="G40" i="92"/>
  <c r="E39" i="92"/>
  <c r="H40" i="92"/>
  <c r="L39" i="92"/>
  <c r="F39" i="92"/>
  <c r="C38" i="92"/>
  <c r="G39" i="92"/>
  <c r="J40" i="92"/>
  <c r="I40" i="92"/>
  <c r="H39" i="92"/>
  <c r="I33" i="92"/>
  <c r="C33" i="92"/>
  <c r="D33" i="92"/>
  <c r="E33" i="92"/>
  <c r="F33" i="92"/>
  <c r="C32" i="92"/>
  <c r="D32" i="92"/>
  <c r="G33" i="92"/>
  <c r="E32" i="92"/>
  <c r="H33" i="92"/>
  <c r="F32" i="92"/>
  <c r="C31" i="92"/>
  <c r="G32" i="92"/>
  <c r="J33" i="92"/>
  <c r="H32" i="92"/>
  <c r="N25" i="92"/>
  <c r="C26" i="92"/>
  <c r="D26" i="92"/>
  <c r="E26" i="92"/>
  <c r="C25" i="92"/>
  <c r="F26" i="92"/>
  <c r="D25" i="92"/>
  <c r="G26" i="92"/>
  <c r="E25" i="92"/>
  <c r="H26" i="92"/>
  <c r="F25" i="92"/>
  <c r="I26" i="92"/>
  <c r="C24" i="92"/>
  <c r="G25" i="92"/>
  <c r="J26" i="92"/>
  <c r="H25" i="92"/>
  <c r="M12" i="92"/>
  <c r="I11" i="92"/>
  <c r="F11" i="92"/>
  <c r="E11" i="92"/>
  <c r="L12" i="92"/>
  <c r="N12" i="92"/>
  <c r="G11" i="92"/>
  <c r="K12" i="92"/>
  <c r="J12" i="92"/>
  <c r="I12" i="92"/>
  <c r="H11" i="92"/>
  <c r="H12" i="92"/>
  <c r="G12" i="92"/>
  <c r="F12" i="92"/>
  <c r="F60" i="92" s="1"/>
  <c r="E12" i="92"/>
  <c r="E60" i="92" s="1"/>
  <c r="N11" i="92"/>
  <c r="C11" i="92"/>
  <c r="M11" i="92"/>
  <c r="C12" i="92"/>
  <c r="L11" i="92"/>
  <c r="D12" i="92"/>
  <c r="K11" i="92"/>
  <c r="D11" i="92"/>
  <c r="C10" i="92"/>
  <c r="C69" i="90"/>
  <c r="H66" i="90"/>
  <c r="G69" i="90"/>
  <c r="H69" i="90"/>
  <c r="I66" i="90"/>
  <c r="I69" i="90"/>
  <c r="J66" i="90"/>
  <c r="K66" i="90"/>
  <c r="J69" i="90"/>
  <c r="L66" i="90"/>
  <c r="K69" i="90"/>
  <c r="N69" i="90"/>
  <c r="O67" i="90"/>
  <c r="L69" i="90"/>
  <c r="M69" i="90"/>
  <c r="H59" i="90"/>
  <c r="N59" i="90"/>
  <c r="C59" i="90"/>
  <c r="D57" i="90" s="1"/>
  <c r="D60" i="90" s="1"/>
  <c r="O58" i="90"/>
  <c r="J57" i="90"/>
  <c r="J60" i="90"/>
  <c r="K57" i="90"/>
  <c r="L57" i="90"/>
  <c r="K60" i="90"/>
  <c r="M57" i="90"/>
  <c r="L60" i="90"/>
  <c r="I57" i="90"/>
  <c r="I60" i="90" s="1"/>
  <c r="M60" i="90"/>
  <c r="N57" i="90"/>
  <c r="N60" i="90" s="1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D51" i="90" s="1"/>
  <c r="E50" i="90"/>
  <c r="F48" i="90" s="1"/>
  <c r="N41" i="90"/>
  <c r="N42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H41" i="90"/>
  <c r="I39" i="90" s="1"/>
  <c r="I42" i="90" s="1"/>
  <c r="D41" i="90"/>
  <c r="E39" i="90" s="1"/>
  <c r="F41" i="90"/>
  <c r="G39" i="90" s="1"/>
  <c r="J50" i="90"/>
  <c r="K50" i="90"/>
  <c r="L50" i="90"/>
  <c r="M48" i="90" s="1"/>
  <c r="M50" i="90"/>
  <c r="N48" i="90" s="1"/>
  <c r="N50" i="90"/>
  <c r="H50" i="90"/>
  <c r="I48" i="90" s="1"/>
  <c r="K48" i="90"/>
  <c r="L48" i="90"/>
  <c r="O49" i="90"/>
  <c r="F50" i="90"/>
  <c r="G50" i="90"/>
  <c r="I23" i="90"/>
  <c r="J21" i="90" s="1"/>
  <c r="C23" i="90"/>
  <c r="D21" i="90" s="1"/>
  <c r="M41" i="90"/>
  <c r="J39" i="90"/>
  <c r="L39" i="90"/>
  <c r="N39" i="90"/>
  <c r="K39" i="90"/>
  <c r="K42" i="90" s="1"/>
  <c r="J42" i="90"/>
  <c r="L42" i="90"/>
  <c r="O40" i="90"/>
  <c r="K23" i="90"/>
  <c r="L21" i="90" s="1"/>
  <c r="L24" i="90" s="1"/>
  <c r="E23" i="90"/>
  <c r="F21" i="90" s="1"/>
  <c r="E32" i="90"/>
  <c r="F30" i="90" s="1"/>
  <c r="H23" i="90"/>
  <c r="I21" i="90" s="1"/>
  <c r="N14" i="90"/>
  <c r="N23" i="90"/>
  <c r="J23" i="90"/>
  <c r="O31" i="90"/>
  <c r="D32" i="90"/>
  <c r="E30" i="90" s="1"/>
  <c r="C32" i="90"/>
  <c r="D30" i="90" s="1"/>
  <c r="D33" i="90" s="1"/>
  <c r="I30" i="90"/>
  <c r="K30" i="90"/>
  <c r="K33" i="90" s="1"/>
  <c r="L30" i="90"/>
  <c r="L33" i="90" s="1"/>
  <c r="M30" i="90"/>
  <c r="M33" i="90" s="1"/>
  <c r="N30" i="90"/>
  <c r="N33" i="90" s="1"/>
  <c r="I32" i="90"/>
  <c r="N21" i="90"/>
  <c r="O22" i="90"/>
  <c r="M21" i="90"/>
  <c r="M24" i="90" s="1"/>
  <c r="C14" i="89"/>
  <c r="C15" i="89" s="1"/>
  <c r="J27" i="89"/>
  <c r="I27" i="89"/>
  <c r="C27" i="89"/>
  <c r="Q14" i="89"/>
  <c r="D14" i="89"/>
  <c r="C28" i="89"/>
  <c r="D25" i="89"/>
  <c r="D28" i="89" s="1"/>
  <c r="J28" i="89"/>
  <c r="I28" i="89"/>
  <c r="E27" i="89"/>
  <c r="E25" i="89"/>
  <c r="G27" i="89"/>
  <c r="H25" i="89" s="1"/>
  <c r="H28" i="89" s="1"/>
  <c r="M14" i="89"/>
  <c r="N14" i="89"/>
  <c r="F8" i="56"/>
  <c r="J25" i="89"/>
  <c r="I25" i="89"/>
  <c r="G25" i="89"/>
  <c r="K25" i="89"/>
  <c r="K28" i="89" s="1"/>
  <c r="L25" i="89"/>
  <c r="L28" i="89" s="1"/>
  <c r="M25" i="89"/>
  <c r="M28" i="89" s="1"/>
  <c r="O26" i="89"/>
  <c r="N25" i="89"/>
  <c r="N28" i="89" s="1"/>
  <c r="J12" i="77"/>
  <c r="K13" i="77"/>
  <c r="C14" i="77"/>
  <c r="D14" i="77"/>
  <c r="F5" i="77"/>
  <c r="K6" i="77"/>
  <c r="K53" i="53" s="1"/>
  <c r="I7" i="77"/>
  <c r="K7" i="77"/>
  <c r="L7" i="77"/>
  <c r="M7" i="77"/>
  <c r="B7" i="77"/>
  <c r="B5" i="77"/>
  <c r="N5" i="52"/>
  <c r="R14" i="87"/>
  <c r="P15" i="87"/>
  <c r="R7" i="87"/>
  <c r="R6" i="87"/>
  <c r="Q7" i="87"/>
  <c r="Q15" i="87" s="1"/>
  <c r="Q6" i="87"/>
  <c r="Q14" i="87" s="1"/>
  <c r="P7" i="87"/>
  <c r="P6" i="87"/>
  <c r="J7" i="87"/>
  <c r="J15" i="87" s="1"/>
  <c r="J23" i="87" s="1"/>
  <c r="J6" i="87"/>
  <c r="J14" i="87" s="1"/>
  <c r="J22" i="87" s="1"/>
  <c r="G7" i="87"/>
  <c r="G15" i="87" s="1"/>
  <c r="G23" i="87" s="1"/>
  <c r="G6" i="87"/>
  <c r="G14" i="87" s="1"/>
  <c r="G22" i="87" s="1"/>
  <c r="D7" i="87"/>
  <c r="D15" i="87" s="1"/>
  <c r="D23" i="87" s="1"/>
  <c r="D6" i="87"/>
  <c r="D14" i="87" s="1"/>
  <c r="D2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M40" i="96" l="1"/>
  <c r="N40" i="96"/>
  <c r="D40" i="96"/>
  <c r="G40" i="96"/>
  <c r="E40" i="96"/>
  <c r="L40" i="96"/>
  <c r="H40" i="96"/>
  <c r="K40" i="96"/>
  <c r="Q40" i="96"/>
  <c r="C40" i="96"/>
  <c r="I40" i="96"/>
  <c r="J40" i="96"/>
  <c r="F40" i="96"/>
  <c r="E42" i="96"/>
  <c r="F42" i="96"/>
  <c r="D42" i="96"/>
  <c r="C42" i="96"/>
  <c r="I42" i="96"/>
  <c r="J42" i="96"/>
  <c r="N42" i="96"/>
  <c r="G42" i="96"/>
  <c r="L42" i="96"/>
  <c r="M42" i="96"/>
  <c r="H42" i="96"/>
  <c r="Q42" i="96"/>
  <c r="K42" i="96"/>
  <c r="I39" i="96"/>
  <c r="K39" i="96"/>
  <c r="J39" i="96"/>
  <c r="D39" i="96"/>
  <c r="G39" i="96"/>
  <c r="G45" i="96" s="1"/>
  <c r="H39" i="96"/>
  <c r="H45" i="96" s="1"/>
  <c r="M39" i="96"/>
  <c r="L39" i="96"/>
  <c r="F39" i="96"/>
  <c r="N39" i="96"/>
  <c r="E39" i="96"/>
  <c r="Q39" i="96"/>
  <c r="C39" i="96"/>
  <c r="O45" i="96"/>
  <c r="K33" i="95"/>
  <c r="L33" i="95" s="1"/>
  <c r="M44" i="96"/>
  <c r="N44" i="96"/>
  <c r="C44" i="96"/>
  <c r="E44" i="96"/>
  <c r="L44" i="96"/>
  <c r="D44" i="96"/>
  <c r="I44" i="96"/>
  <c r="H44" i="96"/>
  <c r="K44" i="96"/>
  <c r="Q44" i="96"/>
  <c r="G44" i="96"/>
  <c r="J44" i="96"/>
  <c r="F44" i="96"/>
  <c r="J35" i="95"/>
  <c r="O35" i="96"/>
  <c r="E48" i="96"/>
  <c r="F48" i="96"/>
  <c r="G48" i="96"/>
  <c r="M48" i="96"/>
  <c r="M54" i="96" s="1"/>
  <c r="D48" i="96"/>
  <c r="D54" i="96" s="1"/>
  <c r="H48" i="96"/>
  <c r="H54" i="96" s="1"/>
  <c r="J48" i="96"/>
  <c r="N48" i="96"/>
  <c r="N54" i="96" s="1"/>
  <c r="K48" i="96"/>
  <c r="I48" i="96"/>
  <c r="L48" i="96"/>
  <c r="Q48" i="96"/>
  <c r="C48" i="96"/>
  <c r="O54" i="96"/>
  <c r="I43" i="96"/>
  <c r="J43" i="96"/>
  <c r="H43" i="96"/>
  <c r="K43" i="96"/>
  <c r="M43" i="96"/>
  <c r="G43" i="96"/>
  <c r="Q43" i="96"/>
  <c r="D43" i="96"/>
  <c r="C43" i="96"/>
  <c r="L43" i="96"/>
  <c r="F43" i="96"/>
  <c r="E43" i="96"/>
  <c r="N43" i="96"/>
  <c r="Q51" i="96"/>
  <c r="C51" i="96"/>
  <c r="F51" i="96"/>
  <c r="J51" i="96"/>
  <c r="H51" i="96"/>
  <c r="L51" i="96"/>
  <c r="M51" i="96"/>
  <c r="K51" i="96"/>
  <c r="I51" i="96"/>
  <c r="D51" i="96"/>
  <c r="N51" i="96"/>
  <c r="G51" i="96"/>
  <c r="E51" i="96"/>
  <c r="M21" i="96"/>
  <c r="C21" i="96"/>
  <c r="I21" i="96"/>
  <c r="D21" i="96"/>
  <c r="L21" i="96"/>
  <c r="K21" i="96"/>
  <c r="F21" i="96"/>
  <c r="J21" i="96"/>
  <c r="J27" i="96" s="1"/>
  <c r="G21" i="96"/>
  <c r="E21" i="96"/>
  <c r="N21" i="96"/>
  <c r="H21" i="96"/>
  <c r="H27" i="96" s="1"/>
  <c r="Q21" i="96"/>
  <c r="O27" i="96"/>
  <c r="Q18" i="96"/>
  <c r="M30" i="96"/>
  <c r="N30" i="96"/>
  <c r="G30" i="96"/>
  <c r="J30" i="96"/>
  <c r="H30" i="96"/>
  <c r="K30" i="96"/>
  <c r="Q30" i="96"/>
  <c r="F30" i="96"/>
  <c r="I30" i="96"/>
  <c r="L30" i="96"/>
  <c r="E30" i="96"/>
  <c r="D30" i="96"/>
  <c r="C30" i="96"/>
  <c r="M24" i="96"/>
  <c r="N24" i="96"/>
  <c r="F24" i="96"/>
  <c r="D24" i="96"/>
  <c r="J24" i="96"/>
  <c r="E24" i="96"/>
  <c r="K24" i="96"/>
  <c r="C24" i="96"/>
  <c r="Q24" i="96"/>
  <c r="L24" i="96"/>
  <c r="H24" i="96"/>
  <c r="I24" i="96"/>
  <c r="G24" i="96"/>
  <c r="E35" i="95"/>
  <c r="O32" i="96"/>
  <c r="I33" i="96"/>
  <c r="J33" i="96"/>
  <c r="N33" i="96"/>
  <c r="M33" i="96"/>
  <c r="L33" i="96"/>
  <c r="K33" i="96"/>
  <c r="C33" i="96"/>
  <c r="F33" i="96"/>
  <c r="H33" i="96"/>
  <c r="Q33" i="96"/>
  <c r="D33" i="96"/>
  <c r="G33" i="96"/>
  <c r="E33" i="96"/>
  <c r="M34" i="96"/>
  <c r="N34" i="96"/>
  <c r="C34" i="96"/>
  <c r="F34" i="96"/>
  <c r="I34" i="96"/>
  <c r="L34" i="96"/>
  <c r="H34" i="96"/>
  <c r="K34" i="96"/>
  <c r="Q34" i="96"/>
  <c r="G34" i="96"/>
  <c r="E34" i="96"/>
  <c r="J34" i="96"/>
  <c r="D34" i="96"/>
  <c r="Q31" i="96"/>
  <c r="C31" i="96"/>
  <c r="N31" i="96"/>
  <c r="I31" i="96"/>
  <c r="K31" i="96"/>
  <c r="H31" i="96"/>
  <c r="L31" i="96"/>
  <c r="G31" i="96"/>
  <c r="E31" i="96"/>
  <c r="F31" i="96"/>
  <c r="J31" i="96"/>
  <c r="M31" i="96"/>
  <c r="D31" i="96"/>
  <c r="E22" i="96"/>
  <c r="F22" i="96"/>
  <c r="G22" i="96"/>
  <c r="J22" i="96"/>
  <c r="N22" i="96"/>
  <c r="C22" i="96"/>
  <c r="M22" i="96"/>
  <c r="H22" i="96"/>
  <c r="D22" i="96"/>
  <c r="Q22" i="96"/>
  <c r="I22" i="96"/>
  <c r="L22" i="96"/>
  <c r="K22" i="96"/>
  <c r="Q52" i="96"/>
  <c r="E52" i="96"/>
  <c r="I52" i="96"/>
  <c r="C52" i="96"/>
  <c r="K52" i="96"/>
  <c r="J52" i="96"/>
  <c r="N52" i="96"/>
  <c r="L52" i="96"/>
  <c r="G52" i="96"/>
  <c r="M52" i="96"/>
  <c r="F52" i="96"/>
  <c r="D52" i="96"/>
  <c r="H52" i="96"/>
  <c r="I49" i="96"/>
  <c r="K49" i="96"/>
  <c r="J49" i="96"/>
  <c r="N49" i="96"/>
  <c r="E49" i="96"/>
  <c r="D49" i="96"/>
  <c r="G49" i="96"/>
  <c r="C49" i="96"/>
  <c r="H49" i="96"/>
  <c r="L49" i="96"/>
  <c r="F49" i="96"/>
  <c r="Q49" i="96"/>
  <c r="M49" i="96"/>
  <c r="M25" i="96"/>
  <c r="C25" i="96"/>
  <c r="Q25" i="96"/>
  <c r="N25" i="96"/>
  <c r="E25" i="96"/>
  <c r="G25" i="96"/>
  <c r="K25" i="96"/>
  <c r="F25" i="96"/>
  <c r="J25" i="96"/>
  <c r="I25" i="96"/>
  <c r="D25" i="96"/>
  <c r="L25" i="96"/>
  <c r="H25" i="96"/>
  <c r="N41" i="96"/>
  <c r="E41" i="96"/>
  <c r="H41" i="96"/>
  <c r="Q41" i="96"/>
  <c r="D41" i="96"/>
  <c r="L41" i="96"/>
  <c r="K41" i="96"/>
  <c r="M41" i="96"/>
  <c r="J41" i="96"/>
  <c r="F41" i="96"/>
  <c r="I41" i="96"/>
  <c r="C41" i="96"/>
  <c r="G41" i="96"/>
  <c r="K18" i="96"/>
  <c r="F18" i="96"/>
  <c r="H18" i="96"/>
  <c r="G18" i="96"/>
  <c r="I18" i="96"/>
  <c r="J18" i="96"/>
  <c r="L18" i="96"/>
  <c r="M18" i="96"/>
  <c r="N18" i="96"/>
  <c r="D18" i="96"/>
  <c r="C18" i="96"/>
  <c r="E18" i="96"/>
  <c r="G35" i="95"/>
  <c r="I35" i="95"/>
  <c r="F35" i="95"/>
  <c r="L22" i="95"/>
  <c r="K26" i="95"/>
  <c r="L26" i="95" s="1"/>
  <c r="H35" i="95"/>
  <c r="L6" i="95"/>
  <c r="M195" i="94"/>
  <c r="L8" i="95"/>
  <c r="K11" i="95"/>
  <c r="L11" i="95" s="1"/>
  <c r="L13" i="95"/>
  <c r="K20" i="95"/>
  <c r="L20" i="95" s="1"/>
  <c r="J59" i="92"/>
  <c r="C60" i="92"/>
  <c r="F59" i="92"/>
  <c r="M59" i="92"/>
  <c r="O18" i="92"/>
  <c r="C59" i="92"/>
  <c r="M60" i="92"/>
  <c r="J60" i="92"/>
  <c r="I59" i="92"/>
  <c r="N59" i="92"/>
  <c r="G60" i="92"/>
  <c r="H60" i="92"/>
  <c r="H59" i="92"/>
  <c r="I60" i="92"/>
  <c r="D52" i="92"/>
  <c r="C58" i="92"/>
  <c r="D58" i="92" s="1"/>
  <c r="D61" i="92" s="1"/>
  <c r="K60" i="92"/>
  <c r="D59" i="92"/>
  <c r="G59" i="92"/>
  <c r="K59" i="92"/>
  <c r="N60" i="92"/>
  <c r="D60" i="92"/>
  <c r="L60" i="92"/>
  <c r="L59" i="92"/>
  <c r="E59" i="92"/>
  <c r="D24" i="92"/>
  <c r="D27" i="92" s="1"/>
  <c r="E24" i="92" s="1"/>
  <c r="D31" i="92"/>
  <c r="D38" i="92"/>
  <c r="D17" i="92"/>
  <c r="O19" i="92"/>
  <c r="O59" i="92"/>
  <c r="O60" i="92"/>
  <c r="O54" i="92"/>
  <c r="O53" i="92"/>
  <c r="O46" i="92"/>
  <c r="E45" i="92"/>
  <c r="O47" i="92"/>
  <c r="O39" i="92"/>
  <c r="O40" i="92"/>
  <c r="O32" i="92"/>
  <c r="O33" i="92"/>
  <c r="O25" i="92"/>
  <c r="O26" i="92"/>
  <c r="O11" i="92"/>
  <c r="D10" i="92"/>
  <c r="E10" i="92" s="1"/>
  <c r="O12" i="92"/>
  <c r="O69" i="90"/>
  <c r="C60" i="90"/>
  <c r="H57" i="90"/>
  <c r="H60" i="90" s="1"/>
  <c r="G60" i="90"/>
  <c r="O60" i="90" s="1"/>
  <c r="K51" i="90"/>
  <c r="G33" i="90"/>
  <c r="J51" i="90"/>
  <c r="C51" i="90"/>
  <c r="F42" i="90"/>
  <c r="I51" i="90"/>
  <c r="E24" i="90"/>
  <c r="I24" i="90"/>
  <c r="E42" i="90"/>
  <c r="F33" i="90"/>
  <c r="L51" i="90"/>
  <c r="H33" i="90"/>
  <c r="D24" i="90"/>
  <c r="C42" i="90"/>
  <c r="H42" i="90"/>
  <c r="D42" i="90"/>
  <c r="N51" i="90"/>
  <c r="F24" i="90"/>
  <c r="M42" i="90"/>
  <c r="G42" i="90"/>
  <c r="E51" i="90"/>
  <c r="M51" i="90"/>
  <c r="G48" i="90"/>
  <c r="G51" i="90" s="1"/>
  <c r="F51" i="90"/>
  <c r="J24" i="90"/>
  <c r="N24" i="90"/>
  <c r="H48" i="90"/>
  <c r="H51" i="90" s="1"/>
  <c r="K21" i="90"/>
  <c r="K24" i="90" s="1"/>
  <c r="E33" i="90"/>
  <c r="C33" i="90"/>
  <c r="I33" i="90"/>
  <c r="J30" i="90"/>
  <c r="J33" i="90" s="1"/>
  <c r="C24" i="90"/>
  <c r="G24" i="90"/>
  <c r="H21" i="90"/>
  <c r="H24" i="90" s="1"/>
  <c r="E28" i="89"/>
  <c r="F25" i="89"/>
  <c r="F28" i="89" s="1"/>
  <c r="Q12" i="89"/>
  <c r="Q15" i="89" s="1"/>
  <c r="G28" i="89"/>
  <c r="O28" i="89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E6" i="87"/>
  <c r="C6" i="87" s="1"/>
  <c r="H6" i="87"/>
  <c r="F6" i="87" s="1"/>
  <c r="D14" i="86"/>
  <c r="C11" i="86"/>
  <c r="E8" i="87" s="1"/>
  <c r="E7" i="87" s="1"/>
  <c r="D16" i="86"/>
  <c r="C30" i="85"/>
  <c r="D11" i="86"/>
  <c r="H8" i="87" s="1"/>
  <c r="H7" i="87" s="1"/>
  <c r="F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D55" i="92" l="1"/>
  <c r="E52" i="92" s="1"/>
  <c r="E48" i="92"/>
  <c r="F45" i="92" s="1"/>
  <c r="D41" i="92"/>
  <c r="E38" i="92" s="1"/>
  <c r="D34" i="92"/>
  <c r="E31" i="92" s="1"/>
  <c r="E27" i="92"/>
  <c r="F24" i="92" s="1"/>
  <c r="D20" i="92"/>
  <c r="E17" i="92" s="1"/>
  <c r="E13" i="92"/>
  <c r="F10" i="92" s="1"/>
  <c r="D45" i="96"/>
  <c r="E27" i="96"/>
  <c r="F54" i="96"/>
  <c r="G27" i="96"/>
  <c r="E54" i="96"/>
  <c r="J54" i="96"/>
  <c r="Q27" i="96"/>
  <c r="M35" i="96"/>
  <c r="M36" i="96" s="1"/>
  <c r="D35" i="96"/>
  <c r="Q35" i="96"/>
  <c r="L35" i="96"/>
  <c r="L36" i="96" s="1"/>
  <c r="G35" i="96"/>
  <c r="F35" i="96"/>
  <c r="F36" i="96" s="1"/>
  <c r="J35" i="96"/>
  <c r="J36" i="96" s="1"/>
  <c r="I35" i="96"/>
  <c r="E35" i="96"/>
  <c r="C35" i="96"/>
  <c r="K35" i="96"/>
  <c r="N35" i="96"/>
  <c r="H35" i="96"/>
  <c r="J45" i="96"/>
  <c r="N27" i="96"/>
  <c r="C45" i="96"/>
  <c r="Q45" i="96"/>
  <c r="Q32" i="96"/>
  <c r="Q36" i="96" s="1"/>
  <c r="K32" i="96"/>
  <c r="K36" i="96" s="1"/>
  <c r="G32" i="96"/>
  <c r="I32" i="96"/>
  <c r="L32" i="96"/>
  <c r="F32" i="96"/>
  <c r="H32" i="96"/>
  <c r="M32" i="96"/>
  <c r="E32" i="96"/>
  <c r="E36" i="96" s="1"/>
  <c r="D32" i="96"/>
  <c r="J32" i="96"/>
  <c r="N32" i="96"/>
  <c r="N36" i="96" s="1"/>
  <c r="C32" i="96"/>
  <c r="G54" i="96"/>
  <c r="C36" i="96"/>
  <c r="I45" i="96"/>
  <c r="D36" i="96"/>
  <c r="O36" i="96"/>
  <c r="K45" i="96"/>
  <c r="I36" i="96"/>
  <c r="F27" i="96"/>
  <c r="K27" i="96"/>
  <c r="L27" i="96"/>
  <c r="C54" i="96"/>
  <c r="E45" i="96"/>
  <c r="H36" i="96"/>
  <c r="D27" i="96"/>
  <c r="Q54" i="96"/>
  <c r="N45" i="96"/>
  <c r="I27" i="96"/>
  <c r="L54" i="96"/>
  <c r="F45" i="96"/>
  <c r="G36" i="96"/>
  <c r="C27" i="96"/>
  <c r="I54" i="96"/>
  <c r="L45" i="96"/>
  <c r="M27" i="96"/>
  <c r="K54" i="96"/>
  <c r="M45" i="96"/>
  <c r="K35" i="95"/>
  <c r="E58" i="92"/>
  <c r="E61" i="92" s="1"/>
  <c r="O42" i="90"/>
  <c r="O51" i="90"/>
  <c r="O33" i="90"/>
  <c r="O24" i="90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24" i="87"/>
  <c r="H8" i="86"/>
  <c r="M7" i="86"/>
  <c r="I12" i="86"/>
  <c r="N12" i="86" s="1"/>
  <c r="N11" i="86"/>
  <c r="K16" i="87"/>
  <c r="G11" i="86"/>
  <c r="E24" i="86"/>
  <c r="H11" i="86"/>
  <c r="J8" i="86"/>
  <c r="O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F58" i="92" l="1"/>
  <c r="F61" i="92" s="1"/>
  <c r="E55" i="92"/>
  <c r="F52" i="92" s="1"/>
  <c r="F48" i="92"/>
  <c r="G45" i="92" s="1"/>
  <c r="E41" i="92"/>
  <c r="F38" i="92" s="1"/>
  <c r="E34" i="92"/>
  <c r="F31" i="92" s="1"/>
  <c r="F27" i="92"/>
  <c r="G24" i="92" s="1"/>
  <c r="E20" i="92"/>
  <c r="F17" i="92" s="1"/>
  <c r="F13" i="92"/>
  <c r="G10" i="92" s="1"/>
  <c r="O35" i="95"/>
  <c r="L35" i="95"/>
  <c r="G12" i="86"/>
  <c r="L12" i="86" s="1"/>
  <c r="E16" i="87"/>
  <c r="L11" i="86"/>
  <c r="K6" i="87"/>
  <c r="N8" i="87"/>
  <c r="K7" i="87"/>
  <c r="I22" i="87"/>
  <c r="I23" i="87"/>
  <c r="K14" i="87"/>
  <c r="I14" i="87" s="1"/>
  <c r="K15" i="87"/>
  <c r="I15" i="87" s="1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G58" i="92" l="1"/>
  <c r="G61" i="92" s="1"/>
  <c r="F55" i="92"/>
  <c r="G52" i="92" s="1"/>
  <c r="G48" i="92"/>
  <c r="H45" i="92" s="1"/>
  <c r="F41" i="92"/>
  <c r="G38" i="92" s="1"/>
  <c r="F34" i="92"/>
  <c r="G31" i="92" s="1"/>
  <c r="G27" i="92"/>
  <c r="H24" i="92" s="1"/>
  <c r="F20" i="92"/>
  <c r="G17" i="92" s="1"/>
  <c r="G13" i="92"/>
  <c r="H10" i="92" s="1"/>
  <c r="H17" i="52"/>
  <c r="I17" i="52"/>
  <c r="B17" i="52"/>
  <c r="M17" i="52"/>
  <c r="G17" i="52"/>
  <c r="J17" i="52"/>
  <c r="E17" i="52"/>
  <c r="F17" i="52"/>
  <c r="K17" i="52"/>
  <c r="D17" i="52"/>
  <c r="L17" i="52"/>
  <c r="C17" i="52"/>
  <c r="I7" i="87"/>
  <c r="L7" i="87" s="1"/>
  <c r="N7" i="87"/>
  <c r="O11" i="86"/>
  <c r="J12" i="86"/>
  <c r="O12" i="86" s="1"/>
  <c r="I10" i="52"/>
  <c r="M10" i="52"/>
  <c r="G10" i="52"/>
  <c r="C10" i="52"/>
  <c r="E10" i="52"/>
  <c r="B10" i="52"/>
  <c r="D10" i="52"/>
  <c r="F10" i="52"/>
  <c r="H10" i="52"/>
  <c r="J10" i="52"/>
  <c r="L10" i="52"/>
  <c r="K10" i="52"/>
  <c r="F22" i="87"/>
  <c r="H14" i="87"/>
  <c r="F14" i="87" s="1"/>
  <c r="H15" i="87"/>
  <c r="F15" i="87" s="1"/>
  <c r="F2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5" i="87"/>
  <c r="H58" i="92" l="1"/>
  <c r="H61" i="92" s="1"/>
  <c r="G55" i="92"/>
  <c r="H52" i="92" s="1"/>
  <c r="H48" i="92"/>
  <c r="I45" i="92" s="1"/>
  <c r="G41" i="92"/>
  <c r="H38" i="92" s="1"/>
  <c r="G34" i="92"/>
  <c r="H31" i="92" s="1"/>
  <c r="H27" i="92"/>
  <c r="I24" i="92" s="1"/>
  <c r="G20" i="92"/>
  <c r="H17" i="92" s="1"/>
  <c r="H13" i="92"/>
  <c r="I10" i="92" s="1"/>
  <c r="C15" i="87"/>
  <c r="N15" i="87"/>
  <c r="C22" i="87"/>
  <c r="L22" i="87" s="1"/>
  <c r="N22" i="87"/>
  <c r="C23" i="87"/>
  <c r="L23" i="87" s="1"/>
  <c r="N23" i="87"/>
  <c r="L9" i="52"/>
  <c r="L52" i="53" s="1"/>
  <c r="L54" i="53" s="1"/>
  <c r="J9" i="52"/>
  <c r="J52" i="53" s="1"/>
  <c r="J54" i="53" s="1"/>
  <c r="I9" i="52"/>
  <c r="I52" i="53" s="1"/>
  <c r="I54" i="53" s="1"/>
  <c r="H9" i="52"/>
  <c r="H52" i="53" s="1"/>
  <c r="H54" i="53" s="1"/>
  <c r="C9" i="52"/>
  <c r="C52" i="53" s="1"/>
  <c r="C54" i="53" s="1"/>
  <c r="D9" i="52"/>
  <c r="D52" i="53" s="1"/>
  <c r="D54" i="53" s="1"/>
  <c r="K9" i="52"/>
  <c r="K52" i="53" s="1"/>
  <c r="K54" i="53" s="1"/>
  <c r="B9" i="52"/>
  <c r="B52" i="53" s="1"/>
  <c r="E9" i="52"/>
  <c r="E52" i="53" s="1"/>
  <c r="E54" i="53" s="1"/>
  <c r="G9" i="52"/>
  <c r="G52" i="53" s="1"/>
  <c r="G54" i="53" s="1"/>
  <c r="F9" i="52"/>
  <c r="F52" i="53" s="1"/>
  <c r="F54" i="53" s="1"/>
  <c r="M9" i="52"/>
  <c r="M52" i="53" s="1"/>
  <c r="M54" i="53" s="1"/>
  <c r="N14" i="87"/>
  <c r="C14" i="87"/>
  <c r="S7" i="87"/>
  <c r="M7" i="87"/>
  <c r="S6" i="87"/>
  <c r="M6" i="87"/>
  <c r="J16" i="52"/>
  <c r="I16" i="52"/>
  <c r="K16" i="52"/>
  <c r="G16" i="52"/>
  <c r="M16" i="52"/>
  <c r="L16" i="52"/>
  <c r="B16" i="52"/>
  <c r="C16" i="52"/>
  <c r="D16" i="52"/>
  <c r="E16" i="52"/>
  <c r="F16" i="52"/>
  <c r="H16" i="52"/>
  <c r="I58" i="92" l="1"/>
  <c r="I61" i="92" s="1"/>
  <c r="H55" i="92"/>
  <c r="I52" i="92" s="1"/>
  <c r="I48" i="92"/>
  <c r="J45" i="92" s="1"/>
  <c r="H41" i="92"/>
  <c r="I38" i="92" s="1"/>
  <c r="H34" i="92"/>
  <c r="I31" i="92" s="1"/>
  <c r="I27" i="92"/>
  <c r="J24" i="92" s="1"/>
  <c r="H20" i="92"/>
  <c r="I17" i="92" s="1"/>
  <c r="I13" i="92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N52" i="53"/>
  <c r="B54" i="53"/>
  <c r="N54" i="53" s="1"/>
  <c r="N53" i="53" s="1"/>
  <c r="M23" i="87"/>
  <c r="M22" i="87"/>
  <c r="M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J15" i="52"/>
  <c r="G15" i="52"/>
  <c r="H15" i="52"/>
  <c r="I15" i="52"/>
  <c r="C15" i="52"/>
  <c r="B15" i="52"/>
  <c r="D15" i="52"/>
  <c r="K15" i="52"/>
  <c r="E15" i="52"/>
  <c r="L15" i="52"/>
  <c r="J58" i="92" l="1"/>
  <c r="J61" i="92" s="1"/>
  <c r="I55" i="92"/>
  <c r="J52" i="92" s="1"/>
  <c r="J48" i="92"/>
  <c r="K45" i="92" s="1"/>
  <c r="I41" i="92"/>
  <c r="J38" i="92" s="1"/>
  <c r="I34" i="92"/>
  <c r="J31" i="92" s="1"/>
  <c r="J27" i="92"/>
  <c r="K24" i="92" s="1"/>
  <c r="I20" i="92"/>
  <c r="J17" i="92" s="1"/>
  <c r="T12" i="86"/>
  <c r="K58" i="92" l="1"/>
  <c r="K61" i="92" s="1"/>
  <c r="J55" i="92"/>
  <c r="K52" i="92" s="1"/>
  <c r="K48" i="92"/>
  <c r="L45" i="92" s="1"/>
  <c r="J41" i="92"/>
  <c r="K38" i="92" s="1"/>
  <c r="J34" i="92"/>
  <c r="K31" i="92" s="1"/>
  <c r="K27" i="92"/>
  <c r="L24" i="92" s="1"/>
  <c r="J20" i="92"/>
  <c r="K17" i="92" s="1"/>
  <c r="J80" i="54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E33" i="51" s="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L58" i="92" l="1"/>
  <c r="L61" i="92" s="1"/>
  <c r="K55" i="92"/>
  <c r="L52" i="92" s="1"/>
  <c r="L48" i="92"/>
  <c r="M45" i="92" s="1"/>
  <c r="K41" i="92"/>
  <c r="L38" i="92" s="1"/>
  <c r="K34" i="92"/>
  <c r="L31" i="92" s="1"/>
  <c r="L27" i="92"/>
  <c r="M24" i="92" s="1"/>
  <c r="K20" i="92"/>
  <c r="L17" i="92" s="1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24" i="93" s="1"/>
  <c r="I42" i="93"/>
  <c r="K39" i="93"/>
  <c r="K42" i="93" s="1"/>
  <c r="J42" i="93" s="1"/>
  <c r="R23" i="51"/>
  <c r="R11" i="93"/>
  <c r="O18" i="93"/>
  <c r="Q15" i="93"/>
  <c r="Q18" i="93" s="1"/>
  <c r="P18" i="93" s="1"/>
  <c r="R45" i="93"/>
  <c r="R36" i="93"/>
  <c r="T33" i="93"/>
  <c r="E39" i="93"/>
  <c r="U39" i="93"/>
  <c r="C42" i="93"/>
  <c r="O23" i="51"/>
  <c r="O11" i="93"/>
  <c r="N11" i="93"/>
  <c r="N23" i="93" s="1"/>
  <c r="L23" i="93"/>
  <c r="L24" i="93" s="1"/>
  <c r="U17" i="93"/>
  <c r="Y41" i="93" s="1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N15" i="93"/>
  <c r="N18" i="93" s="1"/>
  <c r="L18" i="93"/>
  <c r="F46" i="51"/>
  <c r="F48" i="51" s="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P22" i="93" s="1"/>
  <c r="E33" i="93"/>
  <c r="C36" i="93"/>
  <c r="C45" i="93"/>
  <c r="U33" i="93"/>
  <c r="U16" i="93"/>
  <c r="Y40" i="93" s="1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J23" i="93" s="1"/>
  <c r="N10" i="93"/>
  <c r="N22" i="93" s="1"/>
  <c r="L22" i="93"/>
  <c r="R42" i="93"/>
  <c r="T39" i="93"/>
  <c r="T42" i="93" s="1"/>
  <c r="E15" i="93"/>
  <c r="U15" i="93"/>
  <c r="U18" i="93" s="1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M42" i="93" s="1"/>
  <c r="U40" i="93"/>
  <c r="E40" i="93"/>
  <c r="R22" i="93"/>
  <c r="T10" i="93"/>
  <c r="T22" i="93" s="1"/>
  <c r="S22" i="93" s="1"/>
  <c r="H11" i="93"/>
  <c r="H23" i="93" s="1"/>
  <c r="F23" i="93"/>
  <c r="F22" i="93"/>
  <c r="H10" i="93"/>
  <c r="H22" i="93" s="1"/>
  <c r="G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F24" i="51" s="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H45" i="51" s="1"/>
  <c r="G45" i="51" s="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M58" i="92" l="1"/>
  <c r="M61" i="92" s="1"/>
  <c r="L55" i="92"/>
  <c r="M52" i="92" s="1"/>
  <c r="M48" i="92"/>
  <c r="N45" i="92" s="1"/>
  <c r="N48" i="92" s="1"/>
  <c r="L41" i="92"/>
  <c r="M38" i="92" s="1"/>
  <c r="L34" i="92"/>
  <c r="M31" i="92" s="1"/>
  <c r="M27" i="92"/>
  <c r="N24" i="92" s="1"/>
  <c r="N27" i="92" s="1"/>
  <c r="L20" i="92"/>
  <c r="M17" i="92" s="1"/>
  <c r="V16" i="93"/>
  <c r="W15" i="93"/>
  <c r="E18" i="93"/>
  <c r="D18" i="93" s="1"/>
  <c r="J18" i="93"/>
  <c r="V17" i="93"/>
  <c r="AA41" i="93"/>
  <c r="Z41" i="93" s="1"/>
  <c r="M47" i="93"/>
  <c r="P42" i="93"/>
  <c r="S42" i="93"/>
  <c r="F46" i="93"/>
  <c r="H34" i="93"/>
  <c r="H46" i="93" s="1"/>
  <c r="G46" i="93" s="1"/>
  <c r="T21" i="93"/>
  <c r="M23" i="93"/>
  <c r="F24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U46" i="93" s="1"/>
  <c r="E34" i="93"/>
  <c r="U34" i="93"/>
  <c r="Y34" i="93" s="1"/>
  <c r="E23" i="93"/>
  <c r="F45" i="93"/>
  <c r="F36" i="93"/>
  <c r="H33" i="93"/>
  <c r="I36" i="93"/>
  <c r="K33" i="93"/>
  <c r="I45" i="93"/>
  <c r="Y39" i="93"/>
  <c r="Y42" i="93" s="1"/>
  <c r="E12" i="93"/>
  <c r="D12" i="93" s="1"/>
  <c r="W10" i="93"/>
  <c r="E22" i="93"/>
  <c r="E42" i="93"/>
  <c r="D42" i="93" s="1"/>
  <c r="W40" i="93"/>
  <c r="V40" i="93" s="1"/>
  <c r="U11" i="93"/>
  <c r="Y35" i="93" s="1"/>
  <c r="F12" i="93"/>
  <c r="F21" i="93"/>
  <c r="H9" i="93"/>
  <c r="W39" i="93"/>
  <c r="C12" i="93"/>
  <c r="E9" i="93"/>
  <c r="W9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O12" i="93"/>
  <c r="K34" i="93"/>
  <c r="K46" i="93" s="1"/>
  <c r="I46" i="93"/>
  <c r="U42" i="93"/>
  <c r="R48" i="93"/>
  <c r="N21" i="93"/>
  <c r="N12" i="93"/>
  <c r="M12" i="93" s="1"/>
  <c r="Q21" i="93"/>
  <c r="Q12" i="93"/>
  <c r="P12" i="93" s="1"/>
  <c r="V41" i="93"/>
  <c r="C47" i="93"/>
  <c r="U47" i="93" s="1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Q22" i="51"/>
  <c r="H47" i="51"/>
  <c r="G47" i="51" s="1"/>
  <c r="E47" i="51"/>
  <c r="D47" i="51" s="1"/>
  <c r="K22" i="51"/>
  <c r="J22" i="51" s="1"/>
  <c r="R24" i="51"/>
  <c r="T21" i="51"/>
  <c r="S21" i="51" s="1"/>
  <c r="J7" i="88"/>
  <c r="J11" i="88" s="1"/>
  <c r="G7" i="88"/>
  <c r="E23" i="51"/>
  <c r="C6" i="88"/>
  <c r="B6" i="53"/>
  <c r="L48" i="51"/>
  <c r="L6" i="88"/>
  <c r="K6" i="53"/>
  <c r="C7" i="88"/>
  <c r="N45" i="51"/>
  <c r="I7" i="88"/>
  <c r="I11" i="88" s="1"/>
  <c r="H23" i="51"/>
  <c r="G23" i="51" s="1"/>
  <c r="L24" i="51"/>
  <c r="H8" i="88"/>
  <c r="H12" i="88" s="1"/>
  <c r="G6" i="88"/>
  <c r="G10" i="88" s="1"/>
  <c r="F6" i="53"/>
  <c r="Q47" i="51"/>
  <c r="P47" i="51" s="1"/>
  <c r="I6" i="88"/>
  <c r="I10" i="88" s="1"/>
  <c r="H6" i="53"/>
  <c r="K47" i="51"/>
  <c r="J47" i="51" s="1"/>
  <c r="M7" i="88"/>
  <c r="M11" i="88" s="1"/>
  <c r="L6" i="53"/>
  <c r="M6" i="88"/>
  <c r="I24" i="51"/>
  <c r="J6" i="88"/>
  <c r="J10" i="88" s="1"/>
  <c r="I6" i="53"/>
  <c r="G8" i="88"/>
  <c r="G12" i="88" s="1"/>
  <c r="F8" i="88"/>
  <c r="F12" i="88" s="1"/>
  <c r="P21" i="51"/>
  <c r="O24" i="51"/>
  <c r="C6" i="53"/>
  <c r="D6" i="88"/>
  <c r="D10" i="88" s="1"/>
  <c r="N21" i="51"/>
  <c r="M21" i="51" s="1"/>
  <c r="H21" i="51"/>
  <c r="H48" i="51"/>
  <c r="G48" i="51" s="1"/>
  <c r="E8" i="88"/>
  <c r="E12" i="88" s="1"/>
  <c r="F6" i="88"/>
  <c r="F10" i="88" s="1"/>
  <c r="E6" i="53"/>
  <c r="M23" i="51"/>
  <c r="D45" i="51"/>
  <c r="C48" i="51"/>
  <c r="N47" i="51"/>
  <c r="M47" i="51" s="1"/>
  <c r="G22" i="51"/>
  <c r="J21" i="51"/>
  <c r="J8" i="88"/>
  <c r="N8" i="88"/>
  <c r="N12" i="88" s="1"/>
  <c r="M6" i="53"/>
  <c r="N6" i="88"/>
  <c r="K23" i="51"/>
  <c r="J23" i="51" s="1"/>
  <c r="T46" i="51"/>
  <c r="T48" i="51" s="1"/>
  <c r="I8" i="88"/>
  <c r="D6" i="53"/>
  <c r="E6" i="88"/>
  <c r="L8" i="88"/>
  <c r="L12" i="88" s="1"/>
  <c r="H6" i="88"/>
  <c r="H10" i="88" s="1"/>
  <c r="G6" i="53"/>
  <c r="E46" i="51"/>
  <c r="D46" i="51" s="1"/>
  <c r="S47" i="51"/>
  <c r="H7" i="88"/>
  <c r="K8" i="88"/>
  <c r="N46" i="51"/>
  <c r="M46" i="51" s="1"/>
  <c r="L7" i="88"/>
  <c r="L11" i="88" s="1"/>
  <c r="M8" i="88"/>
  <c r="M12" i="88" s="1"/>
  <c r="S45" i="51"/>
  <c r="R48" i="51"/>
  <c r="N7" i="88"/>
  <c r="N11" i="88" s="1"/>
  <c r="N23" i="51"/>
  <c r="D8" i="88"/>
  <c r="D12" i="88" s="1"/>
  <c r="T23" i="51"/>
  <c r="S23" i="51" s="1"/>
  <c r="Q45" i="51"/>
  <c r="K6" i="88"/>
  <c r="K10" i="88" s="1"/>
  <c r="J6" i="53"/>
  <c r="E7" i="88"/>
  <c r="E11" i="88" s="1"/>
  <c r="M22" i="51"/>
  <c r="Q24" i="51"/>
  <c r="Q46" i="51"/>
  <c r="P46" i="51" s="1"/>
  <c r="K45" i="51"/>
  <c r="D7" i="88"/>
  <c r="F7" i="88"/>
  <c r="P22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N58" i="92" l="1"/>
  <c r="N61" i="92" s="1"/>
  <c r="M55" i="92"/>
  <c r="N52" i="92" s="1"/>
  <c r="N55" i="92" s="1"/>
  <c r="M41" i="92"/>
  <c r="N38" i="92" s="1"/>
  <c r="N41" i="92" s="1"/>
  <c r="M34" i="92"/>
  <c r="N31" i="92" s="1"/>
  <c r="N34" i="92" s="1"/>
  <c r="N17" i="92"/>
  <c r="N20" i="92" s="1"/>
  <c r="M20" i="92"/>
  <c r="S21" i="93"/>
  <c r="T24" i="93"/>
  <c r="S24" i="93" s="1"/>
  <c r="E36" i="93"/>
  <c r="D36" i="93" s="1"/>
  <c r="W34" i="93"/>
  <c r="V34" i="93" s="1"/>
  <c r="E46" i="93"/>
  <c r="T12" i="93"/>
  <c r="S12" i="93" s="1"/>
  <c r="S23" i="93"/>
  <c r="P21" i="93"/>
  <c r="Q24" i="93"/>
  <c r="P24" i="93" s="1"/>
  <c r="W35" i="93"/>
  <c r="V35" i="93" s="1"/>
  <c r="H47" i="93"/>
  <c r="G47" i="93" s="1"/>
  <c r="Y46" i="93"/>
  <c r="W22" i="93"/>
  <c r="D22" i="93"/>
  <c r="U36" i="93"/>
  <c r="M21" i="93"/>
  <c r="N24" i="93"/>
  <c r="M24" i="93" s="1"/>
  <c r="S45" i="93"/>
  <c r="T48" i="93"/>
  <c r="S48" i="93" s="1"/>
  <c r="V10" i="93"/>
  <c r="AA34" i="93"/>
  <c r="Z34" i="93" s="1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V9" i="93"/>
  <c r="K45" i="93"/>
  <c r="K36" i="93"/>
  <c r="J36" i="93" s="1"/>
  <c r="P23" i="93"/>
  <c r="U23" i="93"/>
  <c r="Y47" i="93" s="1"/>
  <c r="H36" i="93"/>
  <c r="G36" i="93" s="1"/>
  <c r="H45" i="93"/>
  <c r="W33" i="93"/>
  <c r="U45" i="93"/>
  <c r="U48" i="93" s="1"/>
  <c r="D45" i="93"/>
  <c r="E48" i="93"/>
  <c r="D48" i="93" s="1"/>
  <c r="W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W47" i="93"/>
  <c r="V47" i="93" s="1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J9" i="88"/>
  <c r="J12" i="88"/>
  <c r="J13" i="88" s="1"/>
  <c r="T24" i="51"/>
  <c r="S24" i="51" s="1"/>
  <c r="C10" i="88"/>
  <c r="O6" i="88"/>
  <c r="H9" i="88"/>
  <c r="H11" i="88"/>
  <c r="I9" i="88"/>
  <c r="I12" i="88"/>
  <c r="I13" i="88" s="1"/>
  <c r="G9" i="88"/>
  <c r="G11" i="88"/>
  <c r="G13" i="88" s="1"/>
  <c r="S48" i="51"/>
  <c r="F9" i="88"/>
  <c r="F11" i="88"/>
  <c r="F13" i="88" s="1"/>
  <c r="N48" i="51"/>
  <c r="M48" i="51" s="1"/>
  <c r="M45" i="51"/>
  <c r="N10" i="88"/>
  <c r="N13" i="88" s="1"/>
  <c r="N9" i="88"/>
  <c r="C8" i="88"/>
  <c r="H24" i="51"/>
  <c r="G24" i="51" s="1"/>
  <c r="G21" i="51"/>
  <c r="C11" i="88"/>
  <c r="H13" i="88"/>
  <c r="N24" i="51"/>
  <c r="M24" i="51" s="1"/>
  <c r="M10" i="88"/>
  <c r="M13" i="88" s="1"/>
  <c r="M9" i="88"/>
  <c r="D9" i="88"/>
  <c r="D11" i="88"/>
  <c r="D13" i="88"/>
  <c r="N56" i="54"/>
  <c r="N55" i="54" s="1"/>
  <c r="K7" i="88"/>
  <c r="K11" i="88" s="1"/>
  <c r="K13" i="88" s="1"/>
  <c r="Q48" i="51"/>
  <c r="P48" i="51" s="1"/>
  <c r="P45" i="51"/>
  <c r="L10" i="88"/>
  <c r="L13" i="88" s="1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AA42" i="93" l="1"/>
  <c r="Z42" i="93" s="1"/>
  <c r="Z39" i="93"/>
  <c r="AA47" i="93"/>
  <c r="Z47" i="93" s="1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W48" i="93" l="1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P6" i="53"/>
  <c r="O9" i="88"/>
  <c r="O13" i="88"/>
  <c r="N5" i="54"/>
  <c r="P6" i="54"/>
  <c r="AA48" i="51"/>
  <c r="AA48" i="93" l="1"/>
  <c r="Z45" i="93"/>
  <c r="Z48" i="51"/>
  <c r="AA50" i="51"/>
  <c r="Z48" i="93" l="1"/>
  <c r="D12" i="89" l="1"/>
  <c r="D15" i="89" s="1"/>
  <c r="N12" i="89"/>
  <c r="N15" i="89" s="1"/>
  <c r="M12" i="89"/>
  <c r="M15" i="89" s="1"/>
  <c r="L14" i="90" s="1"/>
  <c r="L12" i="89"/>
  <c r="L15" i="89" s="1"/>
  <c r="K14" i="90" s="1"/>
  <c r="E12" i="89"/>
  <c r="E15" i="89" s="1"/>
  <c r="F12" i="89"/>
  <c r="F15" i="89" s="1"/>
  <c r="E14" i="90" s="1"/>
  <c r="G12" i="89"/>
  <c r="G15" i="89" s="1"/>
  <c r="F14" i="90" s="1"/>
  <c r="H12" i="89"/>
  <c r="H15" i="89" s="1"/>
  <c r="I12" i="89"/>
  <c r="I15" i="89" s="1"/>
  <c r="H14" i="90" s="1"/>
  <c r="I12" i="90" s="1"/>
  <c r="J12" i="89"/>
  <c r="J15" i="89" s="1"/>
  <c r="I14" i="90" s="1"/>
  <c r="K12" i="89"/>
  <c r="K15" i="89" s="1"/>
  <c r="J14" i="90" s="1"/>
  <c r="K12" i="90" s="1"/>
  <c r="M14" i="90" l="1"/>
  <c r="N12" i="90" s="1"/>
  <c r="N15" i="90" s="1"/>
  <c r="G12" i="90"/>
  <c r="G14" i="90"/>
  <c r="F12" i="90"/>
  <c r="F15" i="90" s="1"/>
  <c r="D14" i="90"/>
  <c r="K15" i="90"/>
  <c r="L12" i="90"/>
  <c r="L15" i="90" s="1"/>
  <c r="M12" i="90"/>
  <c r="M15" i="90" s="1"/>
  <c r="J12" i="90"/>
  <c r="J15" i="90" s="1"/>
  <c r="I15" i="90"/>
  <c r="C14" i="90"/>
  <c r="C15" i="90" s="1"/>
  <c r="O13" i="90"/>
  <c r="O15" i="89"/>
  <c r="D12" i="90" l="1"/>
  <c r="D15" i="90"/>
  <c r="G15" i="90"/>
  <c r="H12" i="90"/>
  <c r="E12" i="90"/>
  <c r="E15" i="90" s="1"/>
  <c r="O15" i="90" l="1"/>
  <c r="C63" i="96" l="1"/>
  <c r="D63" i="96"/>
  <c r="O55" i="96"/>
  <c r="Q55" i="96" s="1"/>
  <c r="C66" i="96"/>
  <c r="C69" i="96"/>
  <c r="C74" i="96" s="1"/>
  <c r="C67" i="96"/>
  <c r="C68" i="96"/>
  <c r="D67" i="96"/>
  <c r="D68" i="96"/>
  <c r="D64" i="96"/>
  <c r="D62" i="96"/>
  <c r="D65" i="96"/>
  <c r="D69" i="96"/>
  <c r="D74" i="96" s="1"/>
  <c r="C64" i="96"/>
  <c r="C65" i="96"/>
  <c r="C62" i="96"/>
  <c r="D66" i="96"/>
  <c r="D72" i="96" l="1"/>
  <c r="C72" i="96"/>
  <c r="C73" i="96"/>
  <c r="D73" i="96"/>
  <c r="D75" i="96" s="1"/>
  <c r="O63" i="96"/>
  <c r="Q63" i="96" s="1"/>
  <c r="C70" i="96"/>
  <c r="D70" i="96"/>
  <c r="E65" i="96"/>
  <c r="E69" i="96"/>
  <c r="E74" i="96" s="1"/>
  <c r="E67" i="96"/>
  <c r="E66" i="96"/>
  <c r="E68" i="96"/>
  <c r="G66" i="96"/>
  <c r="G73" i="96" s="1"/>
  <c r="K64" i="96"/>
  <c r="K72" i="96" s="1"/>
  <c r="M66" i="96"/>
  <c r="I69" i="96"/>
  <c r="I74" i="96" s="1"/>
  <c r="J66" i="96"/>
  <c r="I66" i="96"/>
  <c r="F66" i="96"/>
  <c r="M64" i="96"/>
  <c r="I65" i="96"/>
  <c r="H67" i="96"/>
  <c r="L69" i="96"/>
  <c r="L74" i="96" s="1"/>
  <c r="H64" i="96"/>
  <c r="M67" i="96"/>
  <c r="K65" i="96"/>
  <c r="H62" i="96"/>
  <c r="J69" i="96"/>
  <c r="J74" i="96" s="1"/>
  <c r="F68" i="96"/>
  <c r="M69" i="96"/>
  <c r="M74" i="96" s="1"/>
  <c r="K66" i="96"/>
  <c r="G65" i="96"/>
  <c r="I67" i="96"/>
  <c r="J67" i="96"/>
  <c r="G68" i="96"/>
  <c r="N65" i="96"/>
  <c r="K62" i="96"/>
  <c r="K67" i="96"/>
  <c r="H66" i="96"/>
  <c r="L68" i="96"/>
  <c r="N69" i="96"/>
  <c r="N74" i="96" s="1"/>
  <c r="H68" i="96"/>
  <c r="J62" i="96"/>
  <c r="H65" i="96"/>
  <c r="F62" i="96"/>
  <c r="N62" i="96"/>
  <c r="K69" i="96"/>
  <c r="K74" i="96" s="1"/>
  <c r="F69" i="96"/>
  <c r="F74" i="96" s="1"/>
  <c r="J65" i="96"/>
  <c r="M62" i="96"/>
  <c r="G62" i="96"/>
  <c r="N67" i="96"/>
  <c r="L65" i="96"/>
  <c r="F64" i="96"/>
  <c r="I68" i="96"/>
  <c r="N64" i="96"/>
  <c r="N72" i="96" s="1"/>
  <c r="L67" i="96"/>
  <c r="H69" i="96"/>
  <c r="H74" i="96" s="1"/>
  <c r="N68" i="96"/>
  <c r="J64" i="96"/>
  <c r="M65" i="96"/>
  <c r="F67" i="96"/>
  <c r="G64" i="96"/>
  <c r="E64" i="96"/>
  <c r="L66" i="96"/>
  <c r="I62" i="96"/>
  <c r="E62" i="96"/>
  <c r="J68" i="96"/>
  <c r="L62" i="96"/>
  <c r="M68" i="96"/>
  <c r="I64" i="96"/>
  <c r="I72" i="96" s="1"/>
  <c r="O59" i="96"/>
  <c r="Q59" i="96" s="1"/>
  <c r="G67" i="96"/>
  <c r="O57" i="96"/>
  <c r="Q57" i="96" s="1"/>
  <c r="F65" i="96"/>
  <c r="O56" i="96"/>
  <c r="Q56" i="96" s="1"/>
  <c r="L64" i="96"/>
  <c r="L72" i="96" s="1"/>
  <c r="O58" i="96"/>
  <c r="Q58" i="96" s="1"/>
  <c r="N66" i="96"/>
  <c r="O60" i="96"/>
  <c r="Q60" i="96" s="1"/>
  <c r="K68" i="96"/>
  <c r="O61" i="96"/>
  <c r="Q61" i="96" s="1"/>
  <c r="G69" i="96"/>
  <c r="G74" i="96" s="1"/>
  <c r="Q62" i="96" l="1"/>
  <c r="G72" i="96"/>
  <c r="G75" i="96" s="1"/>
  <c r="J72" i="96"/>
  <c r="O74" i="96"/>
  <c r="E73" i="96"/>
  <c r="M72" i="96"/>
  <c r="K75" i="96"/>
  <c r="F73" i="96"/>
  <c r="F72" i="96"/>
  <c r="I73" i="96"/>
  <c r="I75" i="96" s="1"/>
  <c r="H72" i="96"/>
  <c r="L73" i="96"/>
  <c r="L75" i="96" s="1"/>
  <c r="J73" i="96"/>
  <c r="J75" i="96" s="1"/>
  <c r="E72" i="96"/>
  <c r="C75" i="96"/>
  <c r="H73" i="96"/>
  <c r="N73" i="96"/>
  <c r="N75" i="96" s="1"/>
  <c r="K73" i="96"/>
  <c r="M73" i="96"/>
  <c r="F70" i="96"/>
  <c r="O68" i="96"/>
  <c r="Q68" i="96" s="1"/>
  <c r="O67" i="96"/>
  <c r="Q67" i="96" s="1"/>
  <c r="M70" i="96"/>
  <c r="J70" i="96"/>
  <c r="O69" i="96"/>
  <c r="Q69" i="96" s="1"/>
  <c r="Q74" i="96" s="1"/>
  <c r="K70" i="96"/>
  <c r="O65" i="96"/>
  <c r="Q65" i="96" s="1"/>
  <c r="L70" i="96"/>
  <c r="N70" i="96"/>
  <c r="H70" i="96"/>
  <c r="I70" i="96"/>
  <c r="G70" i="96"/>
  <c r="O64" i="96"/>
  <c r="Q64" i="96" s="1"/>
  <c r="Q72" i="96" s="1"/>
  <c r="O62" i="96"/>
  <c r="E70" i="96"/>
  <c r="O66" i="96"/>
  <c r="Q66" i="96" s="1"/>
  <c r="Q73" i="96" l="1"/>
  <c r="Q70" i="96"/>
  <c r="M75" i="96"/>
  <c r="F75" i="96"/>
  <c r="O73" i="96"/>
  <c r="H75" i="96"/>
  <c r="E75" i="96"/>
  <c r="O72" i="96"/>
  <c r="Q75" i="96" s="1"/>
  <c r="O70" i="96"/>
  <c r="O75" i="96" l="1"/>
  <c r="O78" i="96" s="1"/>
</calcChain>
</file>

<file path=xl/sharedStrings.xml><?xml version="1.0" encoding="utf-8"?>
<sst xmlns="http://schemas.openxmlformats.org/spreadsheetml/2006/main" count="1707" uniqueCount="590">
  <si>
    <t>qtà</t>
  </si>
  <si>
    <t>valore</t>
  </si>
  <si>
    <t>Totale I° sem</t>
  </si>
  <si>
    <t>Totale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</si>
  <si>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</si>
  <si>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</si>
  <si>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</si>
  <si>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</si>
  <si>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</si>
  <si>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</si>
  <si>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</si>
  <si>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</si>
  <si>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</si>
  <si>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</si>
  <si>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</si>
  <si>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</si>
  <si>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</si>
  <si>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</si>
  <si>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</si>
  <si>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</si>
  <si>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</si>
  <si>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</si>
  <si>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</si>
  <si>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</si>
  <si>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</si>
  <si>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</si>
  <si>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</si>
  <si>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</si>
  <si>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</si>
  <si>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</si>
  <si>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</si>
  <si>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</si>
  <si>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</si>
  <si>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</si>
  <si>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</si>
  <si>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</si>
  <si>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</si>
  <si>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</si>
  <si>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</si>
  <si>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</si>
  <si>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</si>
  <si>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</si>
  <si>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</si>
  <si>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</si>
  <si>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</si>
  <si>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</si>
  <si>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</si>
  <si>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</si>
  <si>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</si>
  <si>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</si>
  <si>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</si>
  <si>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</si>
  <si>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</si>
  <si>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</si>
  <si>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</si>
  <si>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</si>
  <si>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</si>
  <si>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</si>
  <si>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</si>
  <si>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</si>
  <si>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</si>
  <si>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</si>
  <si>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</si>
  <si>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</si>
  <si>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</si>
  <si>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</si>
  <si>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</si>
  <si>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</si>
  <si>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</si>
  <si>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</si>
  <si>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</si>
  <si>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</si>
  <si>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</si>
  <si>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</si>
  <si>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</si>
  <si>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</si>
  <si>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</si>
  <si>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</si>
  <si>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</si>
  <si>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</si>
  <si>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</si>
  <si>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</si>
  <si>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</si>
  <si>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</si>
  <si>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</si>
  <si>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</si>
  <si>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</si>
  <si>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</si>
  <si>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</si>
  <si>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</si>
  <si>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</si>
  <si>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</si>
  <si>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</si>
  <si>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</si>
  <si>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</si>
  <si>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</si>
  <si>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</si>
  <si>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</si>
  <si>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</si>
  <si>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</si>
  <si>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</si>
  <si>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</si>
  <si>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</si>
  <si>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</si>
  <si>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</si>
  <si>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</si>
  <si>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</si>
  <si>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</si>
  <si>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</si>
  <si>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</si>
  <si>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</si>
  <si>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</si>
  <si>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</si>
  <si>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</si>
  <si>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</si>
  <si>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</si>
  <si>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</si>
  <si>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</si>
  <si>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</si>
  <si>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4 - Budget premi a cliente per canale mensilizzati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</si>
  <si>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</si>
  <si>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</si>
  <si>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</si>
  <si>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</si>
  <si>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Tabella 5 - Budget quantità da produrre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</si>
  <si>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</si>
  <si>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</si>
  <si>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</si>
  <si>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</si>
  <si>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</si>
  <si>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</si>
  <si>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</si>
  <si>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</si>
  <si>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</si>
  <si>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</si>
  <si>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</si>
  <si>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</si>
  <si>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</si>
  <si>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</si>
  <si>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</si>
  <si>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</si>
  <si>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</si>
  <si>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</si>
  <si>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</si>
  <si>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</si>
  <si>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</si>
  <si>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</si>
  <si>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</si>
  <si>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</si>
  <si>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</si>
  <si>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</si>
  <si>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</si>
  <si>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</si>
  <si>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</si>
  <si>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</si>
  <si>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</si>
  <si>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</si>
  <si>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</si>
  <si>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</si>
  <si>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</si>
  <si>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</si>
  <si>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</si>
  <si>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Tabella 7 - Budget quantità di materie prime da acquistare</t>
  </si>
  <si>
    <t>Tab. 6 - Distinta Base materie prime</t>
  </si>
  <si>
    <t>valore unitario</t>
  </si>
  <si>
    <t>-Fabbisogno di produzione</t>
  </si>
  <si>
    <t>+Acquisti</t>
  </si>
  <si>
    <t>Tabella 8 - Budget acquisti (a valore) di materie prime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</si>
  <si>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</si>
  <si>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</si>
  <si>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</si>
  <si>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</si>
  <si>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</si>
  <si>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</si>
  <si>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All. 4 - Costo del lavoro preconsuntivo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</si>
  <si>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</si>
  <si>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</si>
  <si>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</si>
  <si>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</si>
  <si>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</si>
  <si>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</si>
  <si>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</si>
  <si>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</si>
  <si>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</si>
  <si>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</si>
  <si>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</si>
  <si>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</si>
  <si>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</si>
  <si>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</si>
  <si>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</si>
  <si>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</si>
  <si>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</si>
  <si>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</si>
  <si>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</si>
  <si>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</si>
  <si>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</si>
  <si>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</si>
  <si>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</si>
  <si>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</si>
  <si>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</si>
  <si>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</si>
  <si>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</si>
  <si>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</si>
  <si>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</si>
  <si>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</si>
  <si>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</si>
  <si>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</si>
  <si>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</si>
  <si>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</si>
  <si>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</si>
  <si>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</si>
  <si>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</si>
  <si>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</si>
  <si>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</si>
  <si>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</si>
  <si>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</si>
  <si>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</si>
  <si>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</si>
  <si>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</si>
  <si>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</si>
  <si>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</si>
  <si>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</si>
  <si>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</si>
  <si>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</si>
  <si>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</si>
  <si>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</si>
  <si>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</si>
  <si>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</si>
  <si>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</si>
  <si>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</si>
  <si>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</si>
  <si>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</si>
  <si>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</si>
  <si>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</si>
  <si>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</si>
  <si>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</si>
  <si>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</si>
  <si>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</si>
  <si>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</si>
  <si>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</si>
  <si>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</si>
  <si>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</si>
  <si>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</si>
  <si>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</si>
  <si>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</si>
  <si>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</si>
  <si>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</si>
  <si>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</si>
  <si>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</si>
  <si>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</si>
  <si>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</si>
  <si>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</si>
  <si>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</si>
  <si>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</si>
  <si>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</si>
  <si>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</si>
  <si>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</si>
  <si>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</si>
  <si>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</si>
  <si>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</si>
  <si>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</si>
  <si>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</si>
  <si>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</si>
  <si>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</si>
  <si>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</si>
  <si>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</si>
  <si>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</si>
  <si>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</si>
  <si>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</si>
  <si>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</si>
  <si>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</si>
  <si>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</si>
  <si>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</si>
  <si>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</si>
  <si>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</si>
  <si>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</si>
  <si>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</si>
  <si>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</si>
  <si>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</si>
  <si>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</si>
  <si>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</si>
  <si>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</si>
  <si>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</si>
  <si>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</si>
  <si>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</si>
  <si>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</si>
  <si>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</si>
  <si>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</si>
  <si>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</si>
  <si>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</si>
  <si>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</si>
  <si>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</si>
  <si>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</si>
  <si>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</si>
  <si>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linea x</t>
  </si>
  <si>
    <t>linea y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</si>
  <si>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</si>
  <si>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</si>
  <si>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</si>
  <si>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</si>
  <si>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</si>
  <si>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</si>
  <si>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</si>
  <si>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</si>
  <si>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</si>
  <si>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</si>
  <si>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</si>
  <si>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</si>
  <si>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</si>
  <si>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</si>
  <si>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</si>
  <si>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</si>
  <si>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</si>
  <si>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</si>
  <si>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</si>
  <si>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</si>
  <si>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</si>
  <si>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</si>
  <si>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</si>
  <si>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</si>
  <si>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</si>
  <si>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</si>
  <si>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</si>
  <si>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</si>
  <si>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</si>
  <si>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</si>
  <si>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</si>
  <si>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</si>
  <si>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</si>
  <si>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</si>
  <si>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</si>
  <si>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</si>
  <si>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</si>
  <si>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</si>
  <si>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</si>
  <si>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</si>
  <si>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</si>
  <si>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</si>
  <si>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</si>
  <si>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</si>
  <si>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</si>
  <si>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</si>
  <si>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</si>
  <si>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</si>
  <si>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</si>
  <si>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</si>
  <si>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</si>
  <si>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</si>
  <si>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</si>
  <si>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</si>
  <si>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</si>
  <si>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</si>
  <si>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</si>
  <si>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</si>
  <si>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</si>
  <si>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</si>
  <si>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</si>
  <si>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</si>
  <si>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</si>
  <si>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</si>
  <si>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</si>
  <si>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</si>
  <si>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</si>
  <si>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</si>
  <si>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</si>
  <si>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</si>
  <si>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</si>
  <si>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</si>
  <si>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</si>
  <si>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</si>
  <si>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</si>
  <si>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</si>
  <si>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</si>
  <si>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</si>
  <si>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</si>
  <si>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</si>
  <si>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</si>
  <si>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</si>
  <si>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</si>
  <si>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</si>
  <si>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</si>
  <si>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</si>
  <si>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</si>
  <si>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</si>
  <si>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</si>
  <si>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</si>
  <si>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</si>
  <si>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</si>
  <si>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</si>
  <si>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</si>
  <si>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</si>
  <si>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</si>
  <si>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</si>
  <si>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</si>
  <si>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</si>
  <si>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</si>
  <si>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</si>
  <si>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</si>
  <si>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</si>
  <si>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</si>
  <si>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</si>
  <si>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</si>
  <si>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</si>
  <si>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</si>
  <si>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</si>
  <si>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</si>
  <si>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</si>
  <si>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</si>
  <si>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</si>
  <si>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</si>
  <si>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</si>
  <si>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</si>
  <si>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</si>
  <si>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</si>
  <si>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</si>
  <si>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</si>
  <si>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</si>
  <si>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</si>
  <si>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</si>
  <si>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</si>
  <si>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</si>
  <si>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</si>
  <si>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</si>
  <si>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</si>
  <si>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</si>
  <si>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</si>
  <si>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</si>
  <si>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</si>
  <si>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</si>
  <si>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</si>
  <si>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</si>
  <si>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</si>
  <si>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</si>
  <si>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</si>
  <si>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</si>
  <si>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</si>
  <si>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</si>
  <si>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</si>
  <si>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</si>
  <si>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</si>
  <si>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</si>
  <si>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</si>
  <si>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</si>
  <si>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</si>
  <si>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</si>
  <si>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</si>
  <si>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</si>
  <si>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</si>
  <si>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</si>
  <si>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</si>
  <si>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</si>
  <si>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</si>
  <si>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</si>
  <si>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</si>
  <si>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</si>
  <si>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</si>
  <si>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</si>
  <si>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</si>
  <si>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</si>
  <si>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</si>
  <si>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</si>
  <si>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</si>
  <si>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</si>
  <si>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</si>
  <si>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</si>
  <si>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</si>
  <si>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</si>
  <si>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</si>
  <si>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</si>
  <si>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</si>
  <si>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</si>
  <si>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</si>
  <si>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</si>
  <si>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</si>
  <si>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</si>
  <si>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</si>
  <si>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</si>
  <si>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</si>
  <si>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</si>
  <si>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</si>
  <si>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</si>
  <si>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</si>
  <si>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</si>
  <si>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</si>
  <si>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</si>
  <si>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</si>
  <si>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</si>
  <si>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</si>
  <si>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</si>
  <si>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</si>
  <si>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</si>
  <si>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</si>
  <si>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</si>
  <si>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</si>
  <si>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</si>
  <si>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</si>
  <si>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</si>
  <si>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</si>
  <si>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</si>
  <si>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</si>
  <si>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</si>
  <si>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</si>
  <si>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</si>
  <si>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</si>
  <si>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</si>
  <si>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</si>
  <si>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</si>
  <si>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</si>
  <si>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</si>
  <si>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</si>
  <si>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</si>
  <si>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</si>
  <si>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</si>
  <si>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</si>
  <si>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</si>
  <si>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</si>
  <si>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</si>
  <si>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</si>
  <si>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</si>
  <si>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</si>
  <si>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</si>
  <si>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</si>
  <si>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</si>
  <si>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</si>
  <si>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</si>
  <si>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</si>
  <si>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</si>
  <si>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</si>
  <si>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</si>
  <si>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</si>
  <si>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</si>
  <si>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</si>
  <si>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</si>
  <si>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</si>
  <si>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</si>
  <si>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</si>
  <si>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</si>
  <si>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</si>
  <si>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</si>
  <si>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</si>
  <si>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</si>
  <si>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</si>
  <si>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</si>
  <si>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</si>
  <si>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</si>
  <si>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</si>
  <si>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</si>
  <si>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</si>
  <si>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</si>
  <si>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</si>
  <si>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</si>
  <si>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</si>
  <si>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</si>
  <si>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</si>
  <si>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</si>
  <si>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</si>
  <si>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</si>
  <si>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</si>
  <si>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</si>
  <si>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</si>
  <si>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</si>
  <si>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</si>
  <si>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</si>
  <si>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</si>
  <si>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</si>
  <si>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</si>
  <si>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</si>
  <si>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</si>
  <si>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</si>
  <si>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</si>
  <si>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</si>
  <si>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</si>
  <si>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</si>
  <si>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</si>
  <si>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</si>
  <si>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Tabella 10 - Informazioni necessarie per la predisposizione del budget del lavoro</t>
  </si>
  <si>
    <t>mese assunzione</t>
  </si>
  <si>
    <t>gg lavorabili</t>
  </si>
  <si>
    <t>Retribuzione</t>
  </si>
  <si>
    <t>Oneri sociali</t>
  </si>
  <si>
    <t>Contributi su retribuzione</t>
  </si>
  <si>
    <t>Contributi su 13ma</t>
  </si>
  <si>
    <t>Contributi su 14ma</t>
  </si>
  <si>
    <t>totale pregressi</t>
  </si>
  <si>
    <t>totale assunti</t>
  </si>
  <si>
    <t>- gg ferie</t>
  </si>
  <si>
    <t>= gg lavorati</t>
  </si>
  <si>
    <t>costo ferie</t>
  </si>
  <si>
    <t>Tabella 9 - Budget costo del venduto per prodotto/canale mensilizzato</t>
  </si>
  <si>
    <t>Tab. 11 - Budget costo del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</si>
</sst>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</numFmts>
  <fonts count="2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5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21" xfId="0" applyFont="1" applyBorder="1"/>
    <xf numFmtId="168" fontId="6" fillId="0" borderId="0" xfId="5" applyNumberFormat="1" applyFont="1" applyBorder="1"/>
    <xf numFmtId="168" fontId="6" fillId="0" borderId="0" xfId="0" applyNumberFormat="1" applyFont="1"/>
    <xf numFmtId="168" fontId="6" fillId="5" borderId="0" xfId="0" applyNumberFormat="1" applyFont="1" applyFill="1"/>
    <xf numFmtId="0" fontId="6" fillId="0" borderId="42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3" xfId="0" applyFont="1" applyBorder="1"/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0" xfId="0" applyNumberFormat="1" applyFont="1" applyFill="1" applyBorder="1" applyAlignment="1">
      <alignment horizontal="center" vertical="center"/>
    </xf>
    <xf numFmtId="168" fontId="6" fillId="0" borderId="5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8" borderId="55" xfId="0" applyFont="1" applyFill="1" applyBorder="1" applyAlignment="1">
      <alignment vertical="center"/>
    </xf>
    <xf numFmtId="168" fontId="6" fillId="0" borderId="57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7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7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7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7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8" borderId="60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68" fontId="7" fillId="0" borderId="61" xfId="0" applyNumberFormat="1" applyFont="1" applyBorder="1" applyAlignment="1">
      <alignment vertical="center"/>
    </xf>
    <xf numFmtId="168" fontId="7" fillId="0" borderId="49" xfId="0" applyNumberFormat="1" applyFont="1" applyBorder="1" applyAlignment="1">
      <alignment vertical="center"/>
    </xf>
    <xf numFmtId="168" fontId="7" fillId="8" borderId="62" xfId="0" applyNumberFormat="1" applyFont="1" applyFill="1" applyBorder="1" applyAlignment="1">
      <alignment vertical="center"/>
    </xf>
    <xf numFmtId="0" fontId="6" fillId="9" borderId="55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2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60" xfId="0" applyNumberFormat="1" applyFont="1" applyFill="1" applyBorder="1" applyAlignment="1">
      <alignment vertical="center"/>
    </xf>
    <xf numFmtId="165" fontId="6" fillId="4" borderId="57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7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7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7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7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7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8" xfId="4" applyNumberFormat="1" applyFont="1" applyBorder="1" applyAlignment="1">
      <alignment vertical="center"/>
    </xf>
    <xf numFmtId="10" fontId="7" fillId="0" borderId="59" xfId="4" applyNumberFormat="1" applyFont="1" applyBorder="1" applyAlignment="1">
      <alignment vertical="center"/>
    </xf>
    <xf numFmtId="10" fontId="7" fillId="9" borderId="60" xfId="4" applyNumberFormat="1" applyFont="1" applyFill="1" applyBorder="1" applyAlignment="1">
      <alignment vertical="center"/>
    </xf>
    <xf numFmtId="0" fontId="6" fillId="0" borderId="5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6" xfId="0" applyFont="1" applyBorder="1"/>
    <xf numFmtId="168" fontId="6" fillId="0" borderId="9" xfId="5" applyNumberFormat="1" applyFont="1" applyBorder="1"/>
    <xf numFmtId="168" fontId="6" fillId="0" borderId="44" xfId="5" applyNumberFormat="1" applyFont="1" applyBorder="1"/>
    <xf numFmtId="0" fontId="7" fillId="0" borderId="64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4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4" xfId="0" applyNumberFormat="1" applyFont="1" applyFill="1" applyBorder="1"/>
    <xf numFmtId="164" fontId="6" fillId="3" borderId="44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168" fontId="6" fillId="0" borderId="7" xfId="5" applyNumberFormat="1" applyFont="1" applyBorder="1"/>
    <xf numFmtId="168" fontId="6" fillId="0" borderId="3" xfId="5" applyNumberFormat="1" applyFont="1" applyBorder="1"/>
    <xf numFmtId="168" fontId="6" fillId="0" borderId="50" xfId="5" applyNumberFormat="1" applyFont="1" applyBorder="1"/>
    <xf numFmtId="168" fontId="6" fillId="0" borderId="30" xfId="5" applyNumberFormat="1" applyFont="1" applyBorder="1"/>
    <xf numFmtId="0" fontId="6" fillId="0" borderId="29" xfId="0" applyFont="1" applyBorder="1"/>
    <xf numFmtId="0" fontId="6" fillId="9" borderId="55" xfId="0" applyFont="1" applyFill="1" applyBorder="1" applyAlignment="1">
      <alignment horizontal="center"/>
    </xf>
    <xf numFmtId="0" fontId="6" fillId="0" borderId="54" xfId="0" applyFont="1" applyBorder="1"/>
    <xf numFmtId="168" fontId="7" fillId="9" borderId="55" xfId="5" applyNumberFormat="1" applyFont="1" applyFill="1" applyBorder="1"/>
    <xf numFmtId="168" fontId="7" fillId="9" borderId="20" xfId="5" applyNumberFormat="1" applyFont="1" applyFill="1" applyBorder="1"/>
    <xf numFmtId="168" fontId="7" fillId="9" borderId="41" xfId="5" applyNumberFormat="1" applyFont="1" applyFill="1" applyBorder="1"/>
    <xf numFmtId="0" fontId="7" fillId="0" borderId="58" xfId="0" applyFont="1" applyBorder="1"/>
    <xf numFmtId="168" fontId="7" fillId="0" borderId="15" xfId="5" applyNumberFormat="1" applyFont="1" applyBorder="1"/>
    <xf numFmtId="168" fontId="7" fillId="9" borderId="40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7" borderId="39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6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6" xfId="0" applyFont="1" applyBorder="1" applyAlignment="1">
      <alignment vertical="center"/>
    </xf>
    <xf numFmtId="0" fontId="6" fillId="0" borderId="57" xfId="0" quotePrefix="1" applyFont="1" applyBorder="1" applyAlignment="1">
      <alignment vertical="center"/>
    </xf>
    <xf numFmtId="0" fontId="7" fillId="0" borderId="61" xfId="0" quotePrefix="1" applyFont="1" applyBorder="1" applyAlignment="1">
      <alignment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165" fontId="7" fillId="9" borderId="62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4" xfId="0" applyNumberFormat="1" applyFont="1" applyBorder="1" applyAlignment="1">
      <alignment horizontal="center" vertical="center"/>
    </xf>
    <xf numFmtId="9" fontId="7" fillId="0" borderId="67" xfId="0" applyNumberFormat="1" applyFont="1" applyBorder="1" applyAlignment="1">
      <alignment horizontal="center" vertical="center"/>
    </xf>
    <xf numFmtId="0" fontId="6" fillId="6" borderId="55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2" xfId="0" applyNumberFormat="1" applyFont="1" applyFill="1" applyBorder="1" applyAlignment="1">
      <alignment vertical="center"/>
    </xf>
    <xf numFmtId="9" fontId="7" fillId="6" borderId="40" xfId="0" applyNumberFormat="1" applyFont="1" applyFill="1" applyBorder="1" applyAlignment="1">
      <alignment horizontal="center" vertical="center"/>
    </xf>
    <xf numFmtId="168" fontId="6" fillId="0" borderId="57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4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6" fillId="0" borderId="0" xfId="5" applyFont="1" applyBorder="1" applyAlignment="1">
      <alignment vertical="center"/>
    </xf>
    <xf numFmtId="164" fontId="15" fillId="0" borderId="44" xfId="5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16" fillId="0" borderId="17" xfId="5" applyFont="1" applyBorder="1" applyAlignment="1">
      <alignment horizontal="center" vertical="center"/>
    </xf>
    <xf numFmtId="164" fontId="15" fillId="0" borderId="0" xfId="5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5" fillId="12" borderId="69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165" fontId="6" fillId="0" borderId="43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4" xfId="2" applyNumberFormat="1" applyFont="1" applyBorder="1" applyAlignment="1">
      <alignment vertical="center"/>
    </xf>
    <xf numFmtId="0" fontId="7" fillId="10" borderId="70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2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165" fontId="15" fillId="0" borderId="44" xfId="2" applyNumberFormat="1" applyFont="1" applyBorder="1" applyAlignment="1">
      <alignment horizontal="center" vertical="center"/>
    </xf>
    <xf numFmtId="165" fontId="15" fillId="0" borderId="17" xfId="2" applyNumberFormat="1" applyFont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164" fontId="15" fillId="12" borderId="0" xfId="5" applyFont="1" applyFill="1" applyBorder="1" applyAlignment="1">
      <alignment horizontal="center" vertical="center"/>
    </xf>
    <xf numFmtId="164" fontId="15" fillId="4" borderId="0" xfId="5" applyFont="1" applyFill="1" applyAlignment="1">
      <alignment horizontal="center" vertical="center"/>
    </xf>
    <xf numFmtId="2" fontId="15" fillId="12" borderId="0" xfId="2" applyNumberFormat="1" applyFont="1" applyFill="1" applyBorder="1" applyAlignment="1">
      <alignment horizontal="center" vertical="center"/>
    </xf>
    <xf numFmtId="0" fontId="15" fillId="9" borderId="69" xfId="0" applyFont="1" applyFill="1" applyBorder="1" applyAlignment="1">
      <alignment horizontal="center" vertical="center"/>
    </xf>
    <xf numFmtId="43" fontId="15" fillId="0" borderId="44" xfId="2" applyFont="1" applyBorder="1" applyAlignment="1">
      <alignment horizontal="center" vertical="center"/>
    </xf>
    <xf numFmtId="43" fontId="15" fillId="0" borderId="17" xfId="2" applyFont="1" applyBorder="1" applyAlignment="1">
      <alignment horizontal="center" vertical="center"/>
    </xf>
    <xf numFmtId="165" fontId="15" fillId="12" borderId="44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46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9" borderId="57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6" fillId="9" borderId="57" xfId="0" applyFont="1" applyFill="1" applyBorder="1" applyAlignment="1">
      <alignment vertical="center"/>
    </xf>
    <xf numFmtId="168" fontId="6" fillId="9" borderId="0" xfId="5" applyNumberFormat="1" applyFont="1" applyFill="1" applyBorder="1" applyAlignment="1">
      <alignment horizontal="center" vertical="center"/>
    </xf>
    <xf numFmtId="0" fontId="6" fillId="9" borderId="57" xfId="0" quotePrefix="1" applyFont="1" applyFill="1" applyBorder="1" applyAlignment="1">
      <alignment vertical="center"/>
    </xf>
    <xf numFmtId="0" fontId="7" fillId="9" borderId="61" xfId="0" quotePrefix="1" applyFont="1" applyFill="1" applyBorder="1" applyAlignment="1">
      <alignment vertical="center"/>
    </xf>
    <xf numFmtId="168" fontId="7" fillId="9" borderId="46" xfId="5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right"/>
    </xf>
    <xf numFmtId="0" fontId="7" fillId="0" borderId="71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18" fillId="0" borderId="30" xfId="0" applyFont="1" applyBorder="1" applyAlignment="1">
      <alignment horizontal="center"/>
    </xf>
    <xf numFmtId="164" fontId="18" fillId="0" borderId="30" xfId="5" applyFont="1" applyBorder="1" applyAlignment="1">
      <alignment horizontal="center"/>
    </xf>
    <xf numFmtId="164" fontId="5" fillId="8" borderId="0" xfId="5" applyFont="1" applyFill="1"/>
    <xf numFmtId="164" fontId="18" fillId="8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18" fillId="0" borderId="0" xfId="0" applyFont="1"/>
    <xf numFmtId="0" fontId="18" fillId="8" borderId="32" xfId="0" applyFont="1" applyFill="1" applyBorder="1"/>
    <xf numFmtId="0" fontId="18" fillId="8" borderId="46" xfId="0" applyFont="1" applyFill="1" applyBorder="1"/>
    <xf numFmtId="164" fontId="18" fillId="8" borderId="46" xfId="0" applyNumberFormat="1" applyFont="1" applyFill="1" applyBorder="1"/>
    <xf numFmtId="164" fontId="18" fillId="8" borderId="47" xfId="0" applyNumberFormat="1" applyFont="1" applyFill="1" applyBorder="1"/>
    <xf numFmtId="0" fontId="2" fillId="0" borderId="0" xfId="0" applyFont="1"/>
    <xf numFmtId="0" fontId="6" fillId="8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8" borderId="18" xfId="0" applyNumberFormat="1" applyFont="1" applyFill="1" applyBorder="1"/>
    <xf numFmtId="168" fontId="7" fillId="0" borderId="38" xfId="0" applyNumberFormat="1" applyFont="1" applyBorder="1"/>
    <xf numFmtId="0" fontId="6" fillId="0" borderId="57" xfId="0" applyFont="1" applyBorder="1"/>
    <xf numFmtId="168" fontId="6" fillId="8" borderId="19" xfId="0" applyNumberFormat="1" applyFont="1" applyFill="1" applyBorder="1"/>
    <xf numFmtId="168" fontId="6" fillId="0" borderId="20" xfId="0" applyNumberFormat="1" applyFont="1" applyBorder="1"/>
    <xf numFmtId="0" fontId="6" fillId="8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8" borderId="58" xfId="0" applyFont="1" applyFill="1" applyBorder="1"/>
    <xf numFmtId="0" fontId="7" fillId="8" borderId="11" xfId="0" applyFont="1" applyFill="1" applyBorder="1" applyAlignment="1">
      <alignment horizontal="center"/>
    </xf>
    <xf numFmtId="168" fontId="7" fillId="8" borderId="11" xfId="5" applyNumberFormat="1" applyFont="1" applyFill="1" applyBorder="1"/>
    <xf numFmtId="168" fontId="7" fillId="8" borderId="59" xfId="0" applyNumberFormat="1" applyFont="1" applyFill="1" applyBorder="1"/>
    <xf numFmtId="168" fontId="7" fillId="0" borderId="60" xfId="0" applyNumberFormat="1" applyFont="1" applyBorder="1"/>
    <xf numFmtId="0" fontId="7" fillId="0" borderId="1" xfId="0" applyFont="1" applyBorder="1"/>
    <xf numFmtId="168" fontId="7" fillId="4" borderId="24" xfId="5" applyNumberFormat="1" applyFont="1" applyFill="1" applyBorder="1"/>
    <xf numFmtId="168" fontId="13" fillId="0" borderId="24" xfId="5" applyNumberFormat="1" applyFont="1" applyBorder="1"/>
    <xf numFmtId="168" fontId="13" fillId="8" borderId="18" xfId="0" applyNumberFormat="1" applyFont="1" applyFill="1" applyBorder="1"/>
    <xf numFmtId="168" fontId="13" fillId="0" borderId="38" xfId="0" applyNumberFormat="1" applyFont="1" applyBorder="1"/>
    <xf numFmtId="0" fontId="7" fillId="0" borderId="57" xfId="0" applyFont="1" applyBorder="1" applyAlignment="1">
      <alignment horizontal="right"/>
    </xf>
    <xf numFmtId="168" fontId="7" fillId="0" borderId="61" xfId="5" applyNumberFormat="1" applyFont="1" applyBorder="1" applyAlignment="1">
      <alignment horizontal="left" vertical="center"/>
    </xf>
    <xf numFmtId="0" fontId="19" fillId="0" borderId="57" xfId="0" applyFont="1" applyBorder="1"/>
    <xf numFmtId="0" fontId="19" fillId="0" borderId="0" xfId="0" applyFont="1"/>
    <xf numFmtId="168" fontId="20" fillId="0" borderId="61" xfId="5" applyNumberFormat="1" applyFont="1" applyBorder="1" applyAlignment="1">
      <alignment horizontal="left" vertical="center"/>
    </xf>
    <xf numFmtId="168" fontId="20" fillId="0" borderId="46" xfId="5" applyNumberFormat="1" applyFont="1" applyBorder="1" applyAlignment="1">
      <alignment horizontal="center" vertical="center"/>
    </xf>
    <xf numFmtId="0" fontId="7" fillId="9" borderId="57" xfId="0" applyFont="1" applyFill="1" applyBorder="1" applyAlignment="1">
      <alignment horizontal="right"/>
    </xf>
    <xf numFmtId="0" fontId="6" fillId="9" borderId="57" xfId="0" applyFont="1" applyFill="1" applyBorder="1"/>
    <xf numFmtId="168" fontId="7" fillId="9" borderId="61" xfId="5" applyNumberFormat="1" applyFont="1" applyFill="1" applyBorder="1" applyAlignment="1">
      <alignment horizontal="left" vertical="center"/>
    </xf>
    <xf numFmtId="168" fontId="0" fillId="5" borderId="0" xfId="0" applyNumberFormat="1" applyFill="1"/>
    <xf numFmtId="0" fontId="6" fillId="9" borderId="20" xfId="0" applyFont="1" applyFill="1" applyBorder="1"/>
    <xf numFmtId="168" fontId="6" fillId="9" borderId="20" xfId="5" applyNumberFormat="1" applyFont="1" applyFill="1" applyBorder="1"/>
    <xf numFmtId="168" fontId="7" fillId="9" borderId="62" xfId="5" applyNumberFormat="1" applyFont="1" applyFill="1" applyBorder="1" applyAlignment="1">
      <alignment horizontal="center" vertical="center"/>
    </xf>
    <xf numFmtId="168" fontId="19" fillId="9" borderId="20" xfId="5" applyNumberFormat="1" applyFont="1" applyFill="1" applyBorder="1"/>
    <xf numFmtId="168" fontId="20" fillId="9" borderId="62" xfId="5" applyNumberFormat="1" applyFont="1" applyFill="1" applyBorder="1" applyAlignment="1">
      <alignment horizontal="center" vertical="center"/>
    </xf>
    <xf numFmtId="0" fontId="6" fillId="0" borderId="57" xfId="0" quotePrefix="1" applyFont="1" applyBorder="1"/>
    <xf numFmtId="0" fontId="7" fillId="0" borderId="61" xfId="0" quotePrefix="1" applyFont="1" applyBorder="1"/>
    <xf numFmtId="0" fontId="7" fillId="0" borderId="46" xfId="0" applyFont="1" applyBorder="1" applyAlignment="1">
      <alignment horizontal="center" vertical="center"/>
    </xf>
    <xf numFmtId="0" fontId="7" fillId="9" borderId="62" xfId="0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/>
    </xf>
    <xf numFmtId="168" fontId="19" fillId="0" borderId="0" xfId="5" applyNumberFormat="1" applyFont="1" applyBorder="1" applyAlignment="1">
      <alignment horizontal="center"/>
    </xf>
    <xf numFmtId="168" fontId="6" fillId="9" borderId="0" xfId="5" applyNumberFormat="1" applyFont="1" applyFill="1" applyBorder="1" applyAlignment="1">
      <alignment horizontal="center"/>
    </xf>
    <xf numFmtId="168" fontId="6" fillId="9" borderId="0" xfId="5" applyNumberFormat="1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7" fillId="9" borderId="63" xfId="0" applyFont="1" applyFill="1" applyBorder="1" applyAlignment="1">
      <alignment horizontal="center"/>
    </xf>
    <xf numFmtId="0" fontId="7" fillId="9" borderId="48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8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9" borderId="63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5" fillId="8" borderId="68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7" fillId="11" borderId="65" xfId="0" applyFont="1" applyFill="1" applyBorder="1" applyAlignment="1">
      <alignment horizontal="left" vertical="center"/>
    </xf>
    <xf numFmtId="0" fontId="17" fillId="11" borderId="66" xfId="0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center" vertical="center"/>
    </xf>
    <xf numFmtId="0" fontId="15" fillId="9" borderId="68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0" fontId="7" fillId="8" borderId="68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5'!$C$15:$N$15</c:f>
              <c:numCache>
                <c:formatCode>_-* #,##0_-;\-* #,##0_-;_-* "-"??_-;_-@_-</c:formatCode>
                <c:ptCount val="12"/>
                <c:pt idx="0">
                  <c:v>52198.030813963218</c:v>
                </c:pt>
                <c:pt idx="1">
                  <c:v>61002.600772020123</c:v>
                </c:pt>
                <c:pt idx="2">
                  <c:v>61002.600772020131</c:v>
                </c:pt>
                <c:pt idx="3">
                  <c:v>63907.486523068699</c:v>
                </c:pt>
                <c:pt idx="4">
                  <c:v>63907.486523068714</c:v>
                </c:pt>
                <c:pt idx="5">
                  <c:v>34858.629012582933</c:v>
                </c:pt>
                <c:pt idx="6">
                  <c:v>63907.486523068706</c:v>
                </c:pt>
                <c:pt idx="7">
                  <c:v>61002.600772020123</c:v>
                </c:pt>
                <c:pt idx="8">
                  <c:v>61002.600772020138</c:v>
                </c:pt>
                <c:pt idx="9">
                  <c:v>34858.629012582925</c:v>
                </c:pt>
                <c:pt idx="10">
                  <c:v>51363.459053081679</c:v>
                </c:pt>
                <c:pt idx="11">
                  <c:v>57070.510058979642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5'!$B$13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5'!$C$28:$N$28</c:f>
              <c:numCache>
                <c:formatCode>_-* #,##0_-;\-* #,##0_-;_-* "-"??_-;_-@_-</c:formatCode>
                <c:ptCount val="12"/>
                <c:pt idx="0">
                  <c:v>3608.373268716542</c:v>
                </c:pt>
                <c:pt idx="1">
                  <c:v>3741.1687639396041</c:v>
                </c:pt>
                <c:pt idx="2">
                  <c:v>3919.3196574605345</c:v>
                </c:pt>
                <c:pt idx="3">
                  <c:v>3919.3196574605354</c:v>
                </c:pt>
                <c:pt idx="4">
                  <c:v>2137.8107222512008</c:v>
                </c:pt>
                <c:pt idx="5">
                  <c:v>3919.3196574605354</c:v>
                </c:pt>
                <c:pt idx="6">
                  <c:v>3741.1687639396023</c:v>
                </c:pt>
                <c:pt idx="7">
                  <c:v>3741.1687639396027</c:v>
                </c:pt>
                <c:pt idx="8">
                  <c:v>2137.8107222512008</c:v>
                </c:pt>
                <c:pt idx="9">
                  <c:v>3391.3508305762534</c:v>
                </c:pt>
                <c:pt idx="10">
                  <c:v>3768.1675895291683</c:v>
                </c:pt>
                <c:pt idx="11">
                  <c:v>4333.3927279585441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5'!$B$26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499534</xdr:colOff>
      <xdr:row>29</xdr:row>
      <xdr:rowOff>0</xdr:rowOff>
    </xdr:from>
    <xdr:to>
      <xdr:col>10</xdr:col>
      <xdr:colOff>1016001</xdr:colOff>
      <xdr:row>41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28" dataDxfId="26" totalsRowDxfId="25" headerRowBorderDxfId="27" totalsRowBorderDxfId="24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3" totalsRowDxfId="22"/>
    <tableColumn id="2" xr3:uid="{BD75045C-B091-C942-95B2-679858DFB001}" name="Funzioni" dataDxfId="21" totalsRowDxfId="20"/>
    <tableColumn id="3" xr3:uid="{0DE325D9-1F0B-B142-A23A-AC0F8507C4B6}" name="Mansione" dataDxfId="19" totalsRowDxfId="18"/>
    <tableColumn id="4" xr3:uid="{E2A4526F-684B-6942-8255-99F9D15525AE}" name="linea" dataDxfId="17" totalsRowDxfId="16"/>
    <tableColumn id="5" xr3:uid="{555B7339-4A4B-454C-A4C3-513F9B7D733C}" name="RAL" totalsRowFunction="sum" dataDxfId="15" totalsRowDxfId="14" dataCellStyle="Valuta"/>
    <tableColumn id="6" xr3:uid="{BAE373D5-3317-CF4B-A4FD-51AC3C47CA0B}" name="Contributi" totalsRowFunction="sum" dataDxfId="13" totalsRowDxfId="12" dataCellStyle="Valuta">
      <calculatedColumnFormula>F10*$E$4</calculatedColumnFormula>
    </tableColumn>
    <tableColumn id="7" xr3:uid="{5E6EEE9C-FF58-2F43-AA93-1B42B5FD5398}" name="13ma" totalsRowFunction="sum" dataDxfId="11" totalsRowDxfId="10" dataCellStyle="Valuta">
      <calculatedColumnFormula>F10/12</calculatedColumnFormula>
    </tableColumn>
    <tableColumn id="8" xr3:uid="{03E49062-4B67-3F4A-BA47-23FB5927F226}" name="Contributi 13ma" totalsRowFunction="sum" dataDxfId="9" totalsRowDxfId="8" dataCellStyle="Valuta">
      <calculatedColumnFormula>H10*$E$4</calculatedColumnFormula>
    </tableColumn>
    <tableColumn id="9" xr3:uid="{4FE8CD81-3AD6-4149-9267-1135F31B5AE4}" name="14ma" totalsRowFunction="sum" dataDxfId="7" totalsRowDxfId="6" dataCellStyle="Valuta">
      <calculatedColumnFormula>F10/12</calculatedColumnFormula>
    </tableColumn>
    <tableColumn id="10" xr3:uid="{438271FD-02F0-7E4F-846E-55C126DBFDBA}" name="Contributi 14m" totalsRowFunction="sum" dataDxfId="5" totalsRowDxfId="4" dataCellStyle="Valuta">
      <calculatedColumnFormula>J10*$E$4</calculatedColumnFormula>
    </tableColumn>
    <tableColumn id="11" xr3:uid="{DF17BCFE-3E7E-334E-AB4F-114FE8BA1841}" name="TFR" totalsRowFunction="sum" dataDxfId="3" totalsRowDxfId="2" dataCellStyle="Valuta">
      <calculatedColumnFormula>F10/13.5</calculatedColumnFormula>
    </tableColumn>
    <tableColumn id="12" xr3:uid="{165577C0-DA39-EF4C-8F0B-B33A0E5325AC}" name="Costo totale" totalsRowFunction="sum" dataDxfId="1" totalsRowDxfId="0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topLeftCell="A37" zoomScale="200" zoomScaleNormal="200" workbookViewId="0">
      <selection activeCell="B11" sqref="B11:D11"/>
    </sheetView>
  </sheetViews>
  <sheetFormatPr baseColWidth="10" defaultRowHeight="16" x14ac:dyDescent="0.15"/>
  <cols>
    <col min="1" max="1" width="38.1640625" style="73" customWidth="1"/>
    <col min="2" max="2" width="12.33203125" style="73" customWidth="1"/>
    <col min="3" max="3" width="14.83203125" style="73" customWidth="1"/>
    <col min="4" max="4" width="13.33203125" style="73" customWidth="1"/>
    <col min="5" max="5" width="13.5" style="73" customWidth="1"/>
    <col min="6" max="6" width="2.6640625" style="73" customWidth="1"/>
    <col min="7" max="7" width="13.33203125" style="73" customWidth="1"/>
    <col min="8" max="8" width="12.33203125" style="73" bestFit="1" customWidth="1"/>
    <col min="9" max="12" width="10.83203125" style="73"/>
    <col min="13" max="13" width="12.33203125" style="73" bestFit="1" customWidth="1"/>
    <col min="14" max="16384" width="10.83203125" style="73"/>
  </cols>
  <sheetData>
    <row r="2" spans="1:5" x14ac:dyDescent="0.15">
      <c r="A2" s="73" t="s">
        <v>123</v>
      </c>
    </row>
    <row r="4" spans="1:5" x14ac:dyDescent="0.15">
      <c r="A4" s="109" t="s">
        <v>56</v>
      </c>
    </row>
    <row r="6" spans="1:5" x14ac:dyDescent="0.15">
      <c r="A6" s="109" t="s">
        <v>57</v>
      </c>
    </row>
    <row r="8" spans="1:5" x14ac:dyDescent="0.15">
      <c r="A8" s="386"/>
      <c r="B8" s="383" t="s">
        <v>45</v>
      </c>
      <c r="C8" s="384"/>
      <c r="D8" s="385"/>
    </row>
    <row r="9" spans="1:5" x14ac:dyDescent="0.15">
      <c r="A9" s="387"/>
      <c r="B9" s="103" t="s">
        <v>61</v>
      </c>
      <c r="C9" s="98" t="s">
        <v>62</v>
      </c>
      <c r="D9" s="96" t="s">
        <v>63</v>
      </c>
    </row>
    <row r="10" spans="1:5" x14ac:dyDescent="0.15">
      <c r="A10" s="85" t="s">
        <v>58</v>
      </c>
      <c r="B10" s="100">
        <v>0.01</v>
      </c>
      <c r="C10" s="100">
        <v>-0.02</v>
      </c>
      <c r="D10" s="104">
        <v>0.05</v>
      </c>
    </row>
    <row r="11" spans="1:5" x14ac:dyDescent="0.15">
      <c r="A11" s="86" t="s">
        <v>59</v>
      </c>
      <c r="B11" s="100">
        <v>0.02</v>
      </c>
      <c r="C11" s="100">
        <v>-0.04</v>
      </c>
      <c r="D11" s="104">
        <v>0.08</v>
      </c>
    </row>
    <row r="12" spans="1:5" x14ac:dyDescent="0.15">
      <c r="A12" s="87" t="s">
        <v>60</v>
      </c>
      <c r="B12" s="107">
        <v>0.01</v>
      </c>
      <c r="C12" s="102">
        <v>-0.02</v>
      </c>
      <c r="D12" s="105">
        <v>0.03</v>
      </c>
    </row>
    <row r="14" spans="1:5" x14ac:dyDescent="0.15">
      <c r="A14" s="109" t="s">
        <v>64</v>
      </c>
    </row>
    <row r="16" spans="1:5" x14ac:dyDescent="0.15">
      <c r="B16" s="390" t="s">
        <v>65</v>
      </c>
      <c r="C16" s="391"/>
      <c r="D16" s="391"/>
      <c r="E16" s="392"/>
    </row>
    <row r="17" spans="1:7" x14ac:dyDescent="0.15">
      <c r="B17" s="383" t="s">
        <v>45</v>
      </c>
      <c r="C17" s="384"/>
      <c r="D17" s="385"/>
      <c r="E17" s="388" t="s">
        <v>3</v>
      </c>
    </row>
    <row r="18" spans="1:7" x14ac:dyDescent="0.15">
      <c r="B18" s="103" t="s">
        <v>61</v>
      </c>
      <c r="C18" s="98" t="s">
        <v>62</v>
      </c>
      <c r="D18" s="96" t="s">
        <v>63</v>
      </c>
      <c r="E18" s="389"/>
      <c r="G18" s="97" t="s">
        <v>77</v>
      </c>
    </row>
    <row r="19" spans="1:7" x14ac:dyDescent="0.15">
      <c r="B19" s="85"/>
      <c r="C19" s="85"/>
      <c r="D19" s="85"/>
      <c r="E19" s="85"/>
      <c r="G19" s="86"/>
    </row>
    <row r="20" spans="1:7" x14ac:dyDescent="0.15">
      <c r="A20" s="84" t="s">
        <v>46</v>
      </c>
      <c r="B20" s="92">
        <f>+B24/B26</f>
        <v>128140000</v>
      </c>
      <c r="C20" s="92">
        <f>$E20*C21</f>
        <v>123000000</v>
      </c>
      <c r="D20" s="92">
        <f>$E20*D21</f>
        <v>77900000</v>
      </c>
      <c r="E20" s="93">
        <v>410000000</v>
      </c>
      <c r="G20" s="108">
        <f>+E20-B20-C20-D20</f>
        <v>80960000</v>
      </c>
    </row>
    <row r="21" spans="1:7" x14ac:dyDescent="0.15">
      <c r="B21" s="111">
        <f>B20/E20</f>
        <v>0.31253658536585366</v>
      </c>
      <c r="C21" s="91">
        <v>0.3</v>
      </c>
      <c r="D21" s="91">
        <v>0.19</v>
      </c>
      <c r="E21" s="121"/>
      <c r="F21" s="101"/>
      <c r="G21" s="99">
        <f>G20/E20</f>
        <v>0.19746341463414635</v>
      </c>
    </row>
    <row r="22" spans="1:7" x14ac:dyDescent="0.15">
      <c r="A22" s="73" t="s">
        <v>47</v>
      </c>
      <c r="B22" s="114">
        <v>22111</v>
      </c>
      <c r="C22" s="118">
        <f>C20/180</f>
        <v>683333.33333333337</v>
      </c>
      <c r="D22" s="118">
        <f>ROUND(D28/D30,0)</f>
        <v>3158</v>
      </c>
      <c r="E22" s="86"/>
    </row>
    <row r="23" spans="1:7" x14ac:dyDescent="0.15">
      <c r="B23" s="86"/>
      <c r="C23" s="86"/>
      <c r="D23" s="86"/>
      <c r="E23" s="86"/>
    </row>
    <row r="24" spans="1:7" x14ac:dyDescent="0.15">
      <c r="A24" s="84" t="s">
        <v>49</v>
      </c>
      <c r="B24" s="92">
        <f>+B25*E24</f>
        <v>38442000</v>
      </c>
      <c r="C24" s="92">
        <f>C25*E24</f>
        <v>79446800</v>
      </c>
      <c r="D24" s="92">
        <f>+E24-C24-B24</f>
        <v>10251200</v>
      </c>
      <c r="E24" s="95">
        <v>128140000</v>
      </c>
    </row>
    <row r="25" spans="1:7" x14ac:dyDescent="0.15">
      <c r="A25" s="73" t="s">
        <v>66</v>
      </c>
      <c r="B25" s="91">
        <v>0.3</v>
      </c>
      <c r="C25" s="91">
        <v>0.62</v>
      </c>
      <c r="D25" s="111">
        <f>+D24/E24</f>
        <v>0.08</v>
      </c>
      <c r="E25" s="111">
        <f>+E24/E24</f>
        <v>1</v>
      </c>
    </row>
    <row r="26" spans="1:7" x14ac:dyDescent="0.15">
      <c r="A26" s="73" t="s">
        <v>48</v>
      </c>
      <c r="B26" s="91">
        <v>0.3</v>
      </c>
      <c r="C26" s="111">
        <f>C24/C20</f>
        <v>0.64590894308943092</v>
      </c>
      <c r="D26" s="94">
        <f>D24/D20</f>
        <v>0.13159435173299103</v>
      </c>
      <c r="E26" s="94">
        <f>E24/E20</f>
        <v>0.31253658536585366</v>
      </c>
    </row>
    <row r="27" spans="1:7" x14ac:dyDescent="0.15">
      <c r="B27" s="111"/>
      <c r="C27" s="111"/>
      <c r="D27" s="86"/>
      <c r="E27" s="94"/>
    </row>
    <row r="28" spans="1:7" x14ac:dyDescent="0.15">
      <c r="A28" s="73" t="s">
        <v>50</v>
      </c>
      <c r="B28" s="115">
        <v>6200</v>
      </c>
      <c r="C28" s="119">
        <f>C24/C40</f>
        <v>441371.11111111112</v>
      </c>
      <c r="D28" s="114">
        <v>600</v>
      </c>
      <c r="E28" s="94"/>
    </row>
    <row r="29" spans="1:7" x14ac:dyDescent="0.15">
      <c r="A29" s="73" t="s">
        <v>51</v>
      </c>
      <c r="B29" s="116">
        <f>+B24/B28</f>
        <v>6200.322580645161</v>
      </c>
      <c r="C29" s="116">
        <f t="shared" ref="C29:D29" si="0">+C24/C28</f>
        <v>180</v>
      </c>
      <c r="D29" s="116">
        <f t="shared" si="0"/>
        <v>17085.333333333332</v>
      </c>
      <c r="E29" s="94"/>
    </row>
    <row r="30" spans="1:7" x14ac:dyDescent="0.15">
      <c r="A30" s="73" t="s">
        <v>52</v>
      </c>
      <c r="B30" s="111">
        <f>B28/B22</f>
        <v>0.28040341911265887</v>
      </c>
      <c r="C30" s="111">
        <f>C28/C22</f>
        <v>0.64590894308943092</v>
      </c>
      <c r="D30" s="120">
        <v>0.19</v>
      </c>
      <c r="E30" s="94"/>
    </row>
    <row r="31" spans="1:7" x14ac:dyDescent="0.15">
      <c r="B31" s="111"/>
      <c r="C31" s="111"/>
      <c r="D31" s="111"/>
      <c r="E31" s="94"/>
    </row>
    <row r="32" spans="1:7" x14ac:dyDescent="0.15">
      <c r="A32" s="73" t="s">
        <v>79</v>
      </c>
      <c r="B32" s="111"/>
      <c r="C32" s="111"/>
      <c r="D32" s="111"/>
      <c r="E32" s="94"/>
    </row>
    <row r="33" spans="1:5" x14ac:dyDescent="0.15">
      <c r="A33" s="84" t="s">
        <v>55</v>
      </c>
      <c r="B33" s="162">
        <v>180</v>
      </c>
      <c r="C33" s="162">
        <v>180</v>
      </c>
      <c r="D33" s="162">
        <v>180</v>
      </c>
      <c r="E33" s="94"/>
    </row>
    <row r="34" spans="1:5" x14ac:dyDescent="0.15">
      <c r="A34" s="84" t="s">
        <v>54</v>
      </c>
      <c r="B34" s="162">
        <v>500</v>
      </c>
      <c r="C34" s="162">
        <v>500</v>
      </c>
      <c r="D34" s="162">
        <v>500</v>
      </c>
      <c r="E34" s="94"/>
    </row>
    <row r="35" spans="1:5" x14ac:dyDescent="0.15">
      <c r="B35" s="86"/>
      <c r="C35" s="86"/>
      <c r="D35" s="86"/>
      <c r="E35" s="86"/>
    </row>
    <row r="36" spans="1:5" x14ac:dyDescent="0.15">
      <c r="A36" s="73" t="s">
        <v>68</v>
      </c>
      <c r="B36" s="86"/>
      <c r="C36" s="86"/>
      <c r="D36" s="86"/>
      <c r="E36" s="86"/>
    </row>
    <row r="37" spans="1:5" x14ac:dyDescent="0.15">
      <c r="A37" s="84" t="s">
        <v>55</v>
      </c>
      <c r="B37" s="90">
        <v>0.71</v>
      </c>
      <c r="C37" s="90">
        <v>1</v>
      </c>
      <c r="D37" s="90">
        <v>0.09</v>
      </c>
      <c r="E37" s="90">
        <v>0.84</v>
      </c>
    </row>
    <row r="38" spans="1:5" x14ac:dyDescent="0.15">
      <c r="A38" s="84" t="s">
        <v>54</v>
      </c>
      <c r="B38" s="90">
        <f>1-B37</f>
        <v>0.29000000000000004</v>
      </c>
      <c r="C38" s="90">
        <v>0</v>
      </c>
      <c r="D38" s="90">
        <v>0.91</v>
      </c>
      <c r="E38" s="90">
        <f>1-E37</f>
        <v>0.16000000000000003</v>
      </c>
    </row>
    <row r="39" spans="1:5" x14ac:dyDescent="0.15">
      <c r="B39" s="111"/>
      <c r="C39" s="111"/>
      <c r="D39" s="111"/>
      <c r="E39" s="94"/>
    </row>
    <row r="40" spans="1:5" x14ac:dyDescent="0.15">
      <c r="A40" s="73" t="s">
        <v>80</v>
      </c>
      <c r="B40" s="116">
        <f>B33*B37+B34*B38</f>
        <v>272.8</v>
      </c>
      <c r="C40" s="116">
        <f t="shared" ref="C40:D40" si="1">C33*C37+C34*C38</f>
        <v>180</v>
      </c>
      <c r="D40" s="116">
        <f t="shared" si="1"/>
        <v>471.2</v>
      </c>
      <c r="E40" s="94"/>
    </row>
    <row r="41" spans="1:5" x14ac:dyDescent="0.15">
      <c r="B41" s="86"/>
      <c r="C41" s="86"/>
      <c r="D41" s="86"/>
      <c r="E41" s="86"/>
    </row>
    <row r="42" spans="1:5" x14ac:dyDescent="0.15">
      <c r="A42" s="73" t="s">
        <v>69</v>
      </c>
      <c r="B42" s="86"/>
      <c r="C42" s="86"/>
      <c r="D42" s="86"/>
      <c r="E42" s="86"/>
    </row>
    <row r="43" spans="1:5" x14ac:dyDescent="0.15">
      <c r="A43" s="84" t="s">
        <v>55</v>
      </c>
      <c r="B43" s="92">
        <f t="shared" ref="B43:E44" si="2">B37*B$24</f>
        <v>27293820</v>
      </c>
      <c r="C43" s="92">
        <f t="shared" si="2"/>
        <v>79446800</v>
      </c>
      <c r="D43" s="92">
        <f t="shared" si="2"/>
        <v>922608</v>
      </c>
      <c r="E43" s="92">
        <f t="shared" si="2"/>
        <v>107637600</v>
      </c>
    </row>
    <row r="44" spans="1:5" x14ac:dyDescent="0.15">
      <c r="A44" s="84" t="s">
        <v>54</v>
      </c>
      <c r="B44" s="92">
        <f t="shared" si="2"/>
        <v>11148180.000000002</v>
      </c>
      <c r="C44" s="92">
        <f t="shared" si="2"/>
        <v>0</v>
      </c>
      <c r="D44" s="92">
        <f t="shared" si="2"/>
        <v>9328592</v>
      </c>
      <c r="E44" s="92">
        <f t="shared" si="2"/>
        <v>20502400.000000004</v>
      </c>
    </row>
    <row r="45" spans="1:5" x14ac:dyDescent="0.15">
      <c r="B45" s="86"/>
      <c r="C45" s="86"/>
      <c r="D45" s="86"/>
      <c r="E45" s="86"/>
    </row>
    <row r="46" spans="1:5" x14ac:dyDescent="0.15">
      <c r="A46" s="73" t="s">
        <v>75</v>
      </c>
      <c r="B46" s="90">
        <v>0.01</v>
      </c>
      <c r="C46" s="90">
        <v>0</v>
      </c>
      <c r="D46" s="90">
        <v>0.1</v>
      </c>
      <c r="E46" s="86"/>
    </row>
    <row r="47" spans="1:5" x14ac:dyDescent="0.15">
      <c r="A47" s="73" t="s">
        <v>67</v>
      </c>
      <c r="B47" s="88">
        <v>90</v>
      </c>
      <c r="C47" s="88">
        <v>30</v>
      </c>
      <c r="D47" s="88">
        <v>150</v>
      </c>
      <c r="E47" s="86"/>
    </row>
    <row r="48" spans="1:5" x14ac:dyDescent="0.15">
      <c r="A48" s="73" t="s">
        <v>76</v>
      </c>
      <c r="B48" s="90">
        <v>0.12</v>
      </c>
      <c r="C48" s="86"/>
      <c r="D48" s="90">
        <v>0.06</v>
      </c>
      <c r="E48" s="86"/>
    </row>
    <row r="49" spans="1:5" x14ac:dyDescent="0.15">
      <c r="B49" s="86"/>
      <c r="C49" s="86"/>
      <c r="D49" s="86"/>
      <c r="E49" s="86"/>
    </row>
    <row r="50" spans="1:5" x14ac:dyDescent="0.15">
      <c r="B50" s="86"/>
      <c r="C50" s="86"/>
      <c r="D50" s="86"/>
      <c r="E50" s="86"/>
    </row>
    <row r="51" spans="1:5" x14ac:dyDescent="0.15">
      <c r="A51" s="73" t="s">
        <v>70</v>
      </c>
      <c r="B51" s="86"/>
      <c r="C51" s="86"/>
      <c r="D51" s="86"/>
      <c r="E51" s="86"/>
    </row>
    <row r="52" spans="1:5" x14ac:dyDescent="0.15">
      <c r="A52" s="73" t="s">
        <v>71</v>
      </c>
      <c r="B52" s="88">
        <v>50</v>
      </c>
      <c r="C52" s="88">
        <v>0</v>
      </c>
      <c r="D52" s="88">
        <v>7</v>
      </c>
      <c r="E52" s="86"/>
    </row>
    <row r="53" spans="1:5" x14ac:dyDescent="0.15">
      <c r="A53" s="73" t="s">
        <v>72</v>
      </c>
      <c r="B53" s="88">
        <v>40</v>
      </c>
      <c r="C53" s="88">
        <v>0</v>
      </c>
      <c r="D53" s="88">
        <v>2</v>
      </c>
      <c r="E53" s="86"/>
    </row>
    <row r="54" spans="1:5" x14ac:dyDescent="0.15">
      <c r="A54" s="73" t="s">
        <v>73</v>
      </c>
      <c r="B54" s="88">
        <v>25</v>
      </c>
      <c r="C54" s="88">
        <v>0</v>
      </c>
      <c r="D54" s="88">
        <v>3</v>
      </c>
      <c r="E54" s="86"/>
    </row>
    <row r="55" spans="1:5" x14ac:dyDescent="0.15">
      <c r="A55" s="106" t="s">
        <v>74</v>
      </c>
      <c r="B55" s="117">
        <f>SUM(B52:B54)</f>
        <v>115</v>
      </c>
      <c r="C55" s="117">
        <f t="shared" ref="C55:D55" si="3">SUM(C52:C54)</f>
        <v>0</v>
      </c>
      <c r="D55" s="117">
        <f t="shared" si="3"/>
        <v>12</v>
      </c>
      <c r="E55" s="87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U30"/>
  <sheetViews>
    <sheetView showGridLines="0" zoomScale="150" zoomScaleNormal="150" workbookViewId="0">
      <selection activeCell="C14" sqref="C14"/>
    </sheetView>
  </sheetViews>
  <sheetFormatPr baseColWidth="10" defaultRowHeight="17" customHeight="1" x14ac:dyDescent="0.15"/>
  <cols>
    <col min="1" max="1" width="10.83203125" style="235"/>
    <col min="2" max="2" width="25.6640625" style="235" customWidth="1"/>
    <col min="3" max="9" width="13.5" style="235" bestFit="1" customWidth="1"/>
    <col min="10" max="10" width="12.5" style="235" bestFit="1" customWidth="1"/>
    <col min="11" max="13" width="13.5" style="235" bestFit="1" customWidth="1"/>
    <col min="14" max="14" width="12.5" style="235" bestFit="1" customWidth="1"/>
    <col min="15" max="15" width="13.1640625" style="235" customWidth="1"/>
    <col min="16" max="16" width="4.1640625" style="235" customWidth="1"/>
    <col min="17" max="16384" width="10.83203125" style="235"/>
  </cols>
  <sheetData>
    <row r="2" spans="2:21" ht="17" customHeight="1" x14ac:dyDescent="0.15">
      <c r="B2" s="73" t="s">
        <v>124</v>
      </c>
    </row>
    <row r="3" spans="2:21" ht="17" customHeight="1" thickBot="1" x14ac:dyDescent="0.2"/>
    <row r="4" spans="2:21" ht="17" customHeight="1" thickBot="1" x14ac:dyDescent="0.2">
      <c r="B4" s="239" t="s">
        <v>125</v>
      </c>
    </row>
    <row r="5" spans="2:21" s="73" customFormat="1" ht="17" customHeight="1" x14ac:dyDescent="0.15">
      <c r="B5" s="236"/>
      <c r="C5" s="442" t="s">
        <v>91</v>
      </c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  <c r="Q5" s="443" t="s">
        <v>130</v>
      </c>
      <c r="R5" s="444"/>
      <c r="S5" s="444"/>
      <c r="T5" s="445"/>
      <c r="U5" s="235"/>
    </row>
    <row r="6" spans="2:21" s="73" customFormat="1" ht="17" customHeight="1" x14ac:dyDescent="0.15">
      <c r="B6" s="245"/>
      <c r="C6" s="243" t="s">
        <v>106</v>
      </c>
      <c r="D6" s="243" t="s">
        <v>107</v>
      </c>
      <c r="E6" s="243" t="s">
        <v>108</v>
      </c>
      <c r="F6" s="243" t="s">
        <v>109</v>
      </c>
      <c r="G6" s="243" t="s">
        <v>110</v>
      </c>
      <c r="H6" s="243" t="s">
        <v>111</v>
      </c>
      <c r="I6" s="243" t="s">
        <v>112</v>
      </c>
      <c r="J6" s="243" t="s">
        <v>113</v>
      </c>
      <c r="K6" s="243" t="s">
        <v>114</v>
      </c>
      <c r="L6" s="243" t="s">
        <v>115</v>
      </c>
      <c r="M6" s="243" t="s">
        <v>116</v>
      </c>
      <c r="N6" s="243" t="s">
        <v>117</v>
      </c>
      <c r="O6" s="248" t="s">
        <v>74</v>
      </c>
      <c r="Q6" s="289" t="s">
        <v>106</v>
      </c>
      <c r="R6" s="243" t="s">
        <v>107</v>
      </c>
      <c r="S6" s="243" t="s">
        <v>108</v>
      </c>
      <c r="T6" s="290"/>
      <c r="U6" s="101"/>
    </row>
    <row r="7" spans="2:21" s="73" customFormat="1" ht="17" customHeight="1" x14ac:dyDescent="0.15">
      <c r="B7" s="13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4"/>
      <c r="Q7" s="237"/>
      <c r="T7" s="249"/>
    </row>
    <row r="8" spans="2:21" s="73" customFormat="1" ht="17" customHeight="1" x14ac:dyDescent="0.15">
      <c r="B8" s="136" t="s">
        <v>127</v>
      </c>
      <c r="C8" s="240">
        <v>125000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244"/>
      <c r="Q8" s="237"/>
      <c r="T8" s="249"/>
    </row>
    <row r="9" spans="2:21" s="73" customFormat="1" ht="17" customHeight="1" x14ac:dyDescent="0.15">
      <c r="B9" s="136" t="s">
        <v>128</v>
      </c>
      <c r="C9" s="254">
        <v>6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44"/>
      <c r="Q9" s="237"/>
      <c r="T9" s="249"/>
    </row>
    <row r="10" spans="2:21" s="73" customFormat="1" ht="17" customHeight="1" x14ac:dyDescent="0.15">
      <c r="B10" s="136" t="s">
        <v>129</v>
      </c>
      <c r="C10" s="101">
        <f>1/C9*360</f>
        <v>60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44"/>
      <c r="Q10" s="237"/>
      <c r="T10" s="249"/>
    </row>
    <row r="11" spans="2:21" s="73" customFormat="1" ht="17" customHeight="1" x14ac:dyDescent="0.15">
      <c r="B11" s="136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244"/>
      <c r="Q11" s="237"/>
      <c r="T11" s="249"/>
    </row>
    <row r="12" spans="2:21" s="73" customFormat="1" ht="23" customHeight="1" x14ac:dyDescent="0.15">
      <c r="B12" s="136" t="s">
        <v>126</v>
      </c>
      <c r="C12" s="253">
        <f>+C8</f>
        <v>125000</v>
      </c>
      <c r="D12" s="238">
        <f>+C14</f>
        <v>124910.08729508883</v>
      </c>
      <c r="E12" s="238">
        <f t="shared" ref="E12:N12" si="0">+D14</f>
        <v>127814.97304613741</v>
      </c>
      <c r="F12" s="238">
        <f t="shared" si="0"/>
        <v>122005.20154404026</v>
      </c>
      <c r="G12" s="238">
        <f t="shared" si="0"/>
        <v>124910.08729508883</v>
      </c>
      <c r="H12" s="238">
        <f t="shared" si="0"/>
        <v>127814.97304613741</v>
      </c>
      <c r="I12" s="238">
        <f t="shared" si="0"/>
        <v>98766.115535651639</v>
      </c>
      <c r="J12" s="238">
        <f t="shared" si="0"/>
        <v>98766.115535651639</v>
      </c>
      <c r="K12" s="238">
        <f t="shared" si="0"/>
        <v>124910.08729508883</v>
      </c>
      <c r="L12" s="238">
        <f t="shared" si="0"/>
        <v>122005.20154404026</v>
      </c>
      <c r="M12" s="238">
        <f t="shared" si="0"/>
        <v>95861.229784603056</v>
      </c>
      <c r="N12" s="238">
        <f t="shared" si="0"/>
        <v>86222.088065664604</v>
      </c>
      <c r="O12" s="153"/>
      <c r="Q12" s="285">
        <f>+N14</f>
        <v>108433.96911206131</v>
      </c>
      <c r="T12" s="249"/>
    </row>
    <row r="13" spans="2:21" s="73" customFormat="1" ht="23" customHeight="1" x14ac:dyDescent="0.15">
      <c r="B13" s="246" t="s">
        <v>133</v>
      </c>
      <c r="C13" s="238">
        <f>QUANTITÀ!B11</f>
        <v>52287.943518874388</v>
      </c>
      <c r="D13" s="238">
        <f>QUANTITÀ!C11</f>
        <v>58097.71502097154</v>
      </c>
      <c r="E13" s="238">
        <f>QUANTITÀ!D11</f>
        <v>66812.372274117282</v>
      </c>
      <c r="F13" s="238">
        <f>QUANTITÀ!E11</f>
        <v>61002.600772020131</v>
      </c>
      <c r="G13" s="238">
        <f>QUANTITÀ!F11</f>
        <v>61002.600772020131</v>
      </c>
      <c r="H13" s="238">
        <f>QUANTITÀ!G11</f>
        <v>63907.486523068706</v>
      </c>
      <c r="I13" s="238">
        <f>QUANTITÀ!H11</f>
        <v>63907.486523068706</v>
      </c>
      <c r="J13" s="238">
        <f>QUANTITÀ!I11</f>
        <v>34858.629012582933</v>
      </c>
      <c r="K13" s="238">
        <f>QUANTITÀ!J11</f>
        <v>63907.486523068706</v>
      </c>
      <c r="L13" s="238">
        <f>QUANTITÀ!K11</f>
        <v>61002.600772020131</v>
      </c>
      <c r="M13" s="238">
        <f>QUANTITÀ!L11</f>
        <v>61002.600772020131</v>
      </c>
      <c r="N13" s="238">
        <f>QUANTITÀ!M11</f>
        <v>34858.629012582933</v>
      </c>
      <c r="O13" s="153">
        <f>SUM(C13:N13)</f>
        <v>682648.15149641572</v>
      </c>
      <c r="Q13" s="250">
        <f>QUANTITÀ!P11</f>
        <v>51363.459053081671</v>
      </c>
      <c r="R13" s="241">
        <f>QUANTITÀ!Q11</f>
        <v>57070.510058979649</v>
      </c>
      <c r="S13" s="241">
        <f>QUANTITÀ!R11</f>
        <v>65631.086567826584</v>
      </c>
      <c r="T13" s="251">
        <f>QUANTITÀ!S11</f>
        <v>59924.03556192862</v>
      </c>
      <c r="U13" s="241"/>
    </row>
    <row r="14" spans="2:21" s="73" customFormat="1" ht="23" customHeight="1" thickBot="1" x14ac:dyDescent="0.2">
      <c r="B14" s="246" t="s">
        <v>131</v>
      </c>
      <c r="C14" s="238">
        <f>(D13+E13)</f>
        <v>124910.08729508883</v>
      </c>
      <c r="D14" s="238">
        <f t="shared" ref="D14:L14" si="1">(E13+F13)</f>
        <v>127814.97304613741</v>
      </c>
      <c r="E14" s="238">
        <f t="shared" si="1"/>
        <v>122005.20154404026</v>
      </c>
      <c r="F14" s="238">
        <f t="shared" si="1"/>
        <v>124910.08729508883</v>
      </c>
      <c r="G14" s="238">
        <f t="shared" si="1"/>
        <v>127814.97304613741</v>
      </c>
      <c r="H14" s="238">
        <f t="shared" si="1"/>
        <v>98766.115535651639</v>
      </c>
      <c r="I14" s="238">
        <f t="shared" si="1"/>
        <v>98766.115535651639</v>
      </c>
      <c r="J14" s="238">
        <f t="shared" si="1"/>
        <v>124910.08729508883</v>
      </c>
      <c r="K14" s="238">
        <f t="shared" si="1"/>
        <v>122005.20154404026</v>
      </c>
      <c r="L14" s="238">
        <f t="shared" si="1"/>
        <v>95861.229784603056</v>
      </c>
      <c r="M14" s="238">
        <f>(N13+Q13)</f>
        <v>86222.088065664604</v>
      </c>
      <c r="N14" s="238">
        <f>(Q13+R13)</f>
        <v>108433.96911206131</v>
      </c>
      <c r="O14" s="153"/>
      <c r="Q14" s="250">
        <f>(R13+S13)</f>
        <v>122701.59662680623</v>
      </c>
      <c r="T14" s="249"/>
    </row>
    <row r="15" spans="2:21" s="73" customFormat="1" ht="19" customHeight="1" thickBot="1" x14ac:dyDescent="0.2">
      <c r="B15" s="247" t="s">
        <v>132</v>
      </c>
      <c r="C15" s="242">
        <f>(C14-C12+C13)</f>
        <v>52198.030813963218</v>
      </c>
      <c r="D15" s="242">
        <f t="shared" ref="D15:N15" si="2">(D14-D12+D13)</f>
        <v>61002.600772020123</v>
      </c>
      <c r="E15" s="242">
        <f t="shared" si="2"/>
        <v>61002.600772020131</v>
      </c>
      <c r="F15" s="242">
        <f t="shared" si="2"/>
        <v>63907.486523068699</v>
      </c>
      <c r="G15" s="242">
        <f t="shared" si="2"/>
        <v>63907.486523068714</v>
      </c>
      <c r="H15" s="242">
        <f t="shared" si="2"/>
        <v>34858.629012582933</v>
      </c>
      <c r="I15" s="242">
        <f t="shared" si="2"/>
        <v>63907.486523068706</v>
      </c>
      <c r="J15" s="242">
        <f t="shared" si="2"/>
        <v>61002.600772020123</v>
      </c>
      <c r="K15" s="242">
        <f t="shared" si="2"/>
        <v>61002.600772020138</v>
      </c>
      <c r="L15" s="242">
        <f t="shared" si="2"/>
        <v>34858.629012582925</v>
      </c>
      <c r="M15" s="242">
        <f t="shared" si="2"/>
        <v>51363.459053081679</v>
      </c>
      <c r="N15" s="242">
        <f t="shared" si="2"/>
        <v>57070.510058979642</v>
      </c>
      <c r="O15" s="252">
        <f>SUM(C15:N15)</f>
        <v>666082.12060847692</v>
      </c>
      <c r="Q15" s="286">
        <f t="shared" ref="Q15" si="3">(Q14-Q12+Q13)</f>
        <v>65631.086567826598</v>
      </c>
      <c r="R15" s="287"/>
      <c r="S15" s="287"/>
      <c r="T15" s="288"/>
    </row>
    <row r="16" spans="2:21" s="73" customFormat="1" ht="17" customHeight="1" thickBot="1" x14ac:dyDescent="0.2"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</row>
    <row r="17" spans="2:21" ht="17" customHeight="1" thickBot="1" x14ac:dyDescent="0.2">
      <c r="B17" s="239" t="s">
        <v>136</v>
      </c>
      <c r="U17" s="73"/>
    </row>
    <row r="18" spans="2:21" s="73" customFormat="1" ht="17" customHeight="1" x14ac:dyDescent="0.15">
      <c r="B18" s="236"/>
      <c r="C18" s="442" t="s">
        <v>91</v>
      </c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1"/>
      <c r="Q18" s="443" t="s">
        <v>130</v>
      </c>
      <c r="R18" s="444"/>
      <c r="S18" s="444"/>
      <c r="T18" s="445"/>
    </row>
    <row r="19" spans="2:21" s="73" customFormat="1" ht="17" customHeight="1" x14ac:dyDescent="0.15">
      <c r="B19" s="245"/>
      <c r="C19" s="243" t="s">
        <v>106</v>
      </c>
      <c r="D19" s="243" t="s">
        <v>107</v>
      </c>
      <c r="E19" s="243" t="s">
        <v>108</v>
      </c>
      <c r="F19" s="243" t="s">
        <v>109</v>
      </c>
      <c r="G19" s="243" t="s">
        <v>110</v>
      </c>
      <c r="H19" s="243" t="s">
        <v>111</v>
      </c>
      <c r="I19" s="243" t="s">
        <v>112</v>
      </c>
      <c r="J19" s="243" t="s">
        <v>113</v>
      </c>
      <c r="K19" s="243" t="s">
        <v>114</v>
      </c>
      <c r="L19" s="243" t="s">
        <v>115</v>
      </c>
      <c r="M19" s="243" t="s">
        <v>116</v>
      </c>
      <c r="N19" s="243" t="s">
        <v>117</v>
      </c>
      <c r="O19" s="248" t="s">
        <v>74</v>
      </c>
      <c r="Q19" s="289" t="s">
        <v>106</v>
      </c>
      <c r="R19" s="243" t="s">
        <v>107</v>
      </c>
      <c r="S19" s="243" t="s">
        <v>108</v>
      </c>
      <c r="T19" s="290" t="s">
        <v>109</v>
      </c>
    </row>
    <row r="20" spans="2:21" s="73" customFormat="1" ht="17" customHeight="1" x14ac:dyDescent="0.15">
      <c r="B20" s="136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244"/>
      <c r="Q20" s="237"/>
      <c r="T20" s="249"/>
    </row>
    <row r="21" spans="2:21" s="73" customFormat="1" ht="17" customHeight="1" x14ac:dyDescent="0.15">
      <c r="B21" s="136" t="s">
        <v>127</v>
      </c>
      <c r="C21" s="240">
        <v>11000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244"/>
      <c r="Q21" s="237"/>
      <c r="T21" s="249"/>
    </row>
    <row r="22" spans="2:21" s="73" customFormat="1" ht="17" customHeight="1" x14ac:dyDescent="0.15">
      <c r="B22" s="136" t="s">
        <v>128</v>
      </c>
      <c r="C22" s="254">
        <v>4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244"/>
      <c r="Q22" s="237"/>
      <c r="T22" s="249"/>
    </row>
    <row r="23" spans="2:21" s="73" customFormat="1" ht="17" customHeight="1" x14ac:dyDescent="0.15">
      <c r="B23" s="136" t="s">
        <v>129</v>
      </c>
      <c r="C23" s="101">
        <f>1/C22*360</f>
        <v>90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244"/>
      <c r="Q23" s="237"/>
      <c r="T23" s="249"/>
    </row>
    <row r="24" spans="2:21" s="73" customFormat="1" ht="17" customHeight="1" x14ac:dyDescent="0.15">
      <c r="B24" s="13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244"/>
      <c r="Q24" s="237"/>
      <c r="T24" s="249"/>
    </row>
    <row r="25" spans="2:21" s="73" customFormat="1" ht="23" customHeight="1" x14ac:dyDescent="0.15">
      <c r="B25" s="136" t="s">
        <v>126</v>
      </c>
      <c r="C25" s="253">
        <f>+C21</f>
        <v>11000</v>
      </c>
      <c r="D25" s="238">
        <f>+C27</f>
        <v>11401.65718533974</v>
      </c>
      <c r="E25" s="238">
        <f t="shared" ref="E25:N25" si="4">+D27</f>
        <v>11579.808078860675</v>
      </c>
      <c r="F25" s="238">
        <f t="shared" si="4"/>
        <v>11401.65718533974</v>
      </c>
      <c r="G25" s="238">
        <f t="shared" si="4"/>
        <v>11579.808078860673</v>
      </c>
      <c r="H25" s="238">
        <f t="shared" si="4"/>
        <v>9976.4500371722715</v>
      </c>
      <c r="I25" s="238">
        <f t="shared" si="4"/>
        <v>9976.4500371722715</v>
      </c>
      <c r="J25" s="238">
        <f t="shared" si="4"/>
        <v>9798.2991436513385</v>
      </c>
      <c r="K25" s="238">
        <f t="shared" si="4"/>
        <v>11401.65718533974</v>
      </c>
      <c r="L25" s="238">
        <f t="shared" si="4"/>
        <v>9620.1482501304054</v>
      </c>
      <c r="M25" s="238">
        <f t="shared" si="4"/>
        <v>9270.3303167670565</v>
      </c>
      <c r="N25" s="238">
        <f t="shared" si="4"/>
        <v>9297.3291423566225</v>
      </c>
      <c r="O25" s="153"/>
      <c r="Q25" s="285">
        <f>+N27</f>
        <v>11492.911148063966</v>
      </c>
      <c r="T25" s="249"/>
    </row>
    <row r="26" spans="2:21" s="73" customFormat="1" ht="23" customHeight="1" x14ac:dyDescent="0.15">
      <c r="B26" s="246" t="s">
        <v>133</v>
      </c>
      <c r="C26" s="238">
        <f>QUANTITÀ!B18</f>
        <v>3206.7160833768021</v>
      </c>
      <c r="D26" s="238">
        <f>QUANTITÀ!C18</f>
        <v>3563.0178704186692</v>
      </c>
      <c r="E26" s="238">
        <f>QUANTITÀ!D18</f>
        <v>4097.4705509814694</v>
      </c>
      <c r="F26" s="238">
        <f>QUANTITÀ!E18</f>
        <v>3741.1687639396023</v>
      </c>
      <c r="G26" s="238">
        <f>QUANTITÀ!F18</f>
        <v>3741.1687639396023</v>
      </c>
      <c r="H26" s="238">
        <f>QUANTITÀ!G18</f>
        <v>3919.3196574605354</v>
      </c>
      <c r="I26" s="238">
        <f>QUANTITÀ!H18</f>
        <v>3919.3196574605354</v>
      </c>
      <c r="J26" s="238">
        <f>QUANTITÀ!I18</f>
        <v>2137.8107222512012</v>
      </c>
      <c r="K26" s="238">
        <f>QUANTITÀ!J18</f>
        <v>3919.3196574605354</v>
      </c>
      <c r="L26" s="238">
        <f>QUANTITÀ!K18</f>
        <v>3741.1687639396023</v>
      </c>
      <c r="M26" s="238">
        <f>QUANTITÀ!L18</f>
        <v>3741.1687639396023</v>
      </c>
      <c r="N26" s="238">
        <f>QUANTITÀ!M18</f>
        <v>2137.8107222512012</v>
      </c>
      <c r="O26" s="153">
        <f>SUM(C26:N26)</f>
        <v>41865.459977419363</v>
      </c>
      <c r="Q26" s="250">
        <f>QUANTITÀ!P18</f>
        <v>3391.3508305762525</v>
      </c>
      <c r="R26" s="241">
        <f>QUANTITÀ!Q18</f>
        <v>3768.1675895291692</v>
      </c>
      <c r="S26" s="241">
        <f>QUANTITÀ!R18</f>
        <v>4333.392727958545</v>
      </c>
      <c r="T26" s="291">
        <f>QUANTITÀ!S18</f>
        <v>3956.5759690056279</v>
      </c>
      <c r="U26" s="241"/>
    </row>
    <row r="27" spans="2:21" s="73" customFormat="1" ht="23" customHeight="1" thickBot="1" x14ac:dyDescent="0.2">
      <c r="B27" s="246" t="s">
        <v>131</v>
      </c>
      <c r="C27" s="238">
        <f>(D26+E26+F26)</f>
        <v>11401.65718533974</v>
      </c>
      <c r="D27" s="238">
        <f t="shared" ref="D27:K27" si="5">(E26+F26+G26)</f>
        <v>11579.808078860675</v>
      </c>
      <c r="E27" s="238">
        <f t="shared" si="5"/>
        <v>11401.65718533974</v>
      </c>
      <c r="F27" s="238">
        <f t="shared" si="5"/>
        <v>11579.808078860673</v>
      </c>
      <c r="G27" s="238">
        <f t="shared" si="5"/>
        <v>9976.4500371722715</v>
      </c>
      <c r="H27" s="238">
        <f t="shared" si="5"/>
        <v>9976.4500371722715</v>
      </c>
      <c r="I27" s="238">
        <f t="shared" si="5"/>
        <v>9798.2991436513385</v>
      </c>
      <c r="J27" s="238">
        <f t="shared" si="5"/>
        <v>11401.65718533974</v>
      </c>
      <c r="K27" s="238">
        <f t="shared" si="5"/>
        <v>9620.1482501304054</v>
      </c>
      <c r="L27" s="238">
        <f>(M26+N26+Q26)</f>
        <v>9270.3303167670565</v>
      </c>
      <c r="M27" s="238">
        <f>(N26+Q26+R26)</f>
        <v>9297.3291423566225</v>
      </c>
      <c r="N27" s="238">
        <f>(Q26+R26+S26)</f>
        <v>11492.911148063966</v>
      </c>
      <c r="O27" s="153"/>
      <c r="Q27" s="250">
        <f>(R26+S26+T26)</f>
        <v>12058.136286493342</v>
      </c>
      <c r="T27" s="249"/>
    </row>
    <row r="28" spans="2:21" s="73" customFormat="1" ht="19" customHeight="1" thickBot="1" x14ac:dyDescent="0.2">
      <c r="B28" s="247" t="s">
        <v>132</v>
      </c>
      <c r="C28" s="242">
        <f>C27-C25+C26</f>
        <v>3608.373268716542</v>
      </c>
      <c r="D28" s="242">
        <f t="shared" ref="D28:N28" si="6">D27-D25+D26</f>
        <v>3741.1687639396041</v>
      </c>
      <c r="E28" s="242">
        <f t="shared" si="6"/>
        <v>3919.3196574605345</v>
      </c>
      <c r="F28" s="242">
        <f t="shared" si="6"/>
        <v>3919.3196574605354</v>
      </c>
      <c r="G28" s="242">
        <f t="shared" si="6"/>
        <v>2137.8107222512008</v>
      </c>
      <c r="H28" s="242">
        <f t="shared" si="6"/>
        <v>3919.3196574605354</v>
      </c>
      <c r="I28" s="242">
        <f t="shared" si="6"/>
        <v>3741.1687639396023</v>
      </c>
      <c r="J28" s="242">
        <f t="shared" si="6"/>
        <v>3741.1687639396027</v>
      </c>
      <c r="K28" s="242">
        <f t="shared" si="6"/>
        <v>2137.8107222512008</v>
      </c>
      <c r="L28" s="242">
        <f t="shared" si="6"/>
        <v>3391.3508305762534</v>
      </c>
      <c r="M28" s="242">
        <f t="shared" si="6"/>
        <v>3768.1675895291683</v>
      </c>
      <c r="N28" s="242">
        <f t="shared" si="6"/>
        <v>4333.3927279585441</v>
      </c>
      <c r="O28" s="252">
        <f>SUM(C28:N28)</f>
        <v>42358.371125483332</v>
      </c>
      <c r="Q28" s="286">
        <f t="shared" ref="Q28" si="7">Q27-Q25+Q26</f>
        <v>3956.5759690056284</v>
      </c>
      <c r="R28" s="287"/>
      <c r="S28" s="287"/>
      <c r="T28" s="288"/>
    </row>
    <row r="29" spans="2:21" s="73" customFormat="1" ht="17" customHeight="1" x14ac:dyDescent="0.15"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</row>
    <row r="30" spans="2:21" ht="17" customHeight="1" x14ac:dyDescent="0.15">
      <c r="B30" s="306">
        <f>7217/C28</f>
        <v>2.0000702428900894</v>
      </c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>
    <tabColor theme="0" tint="-0.499984740745262"/>
  </sheetPr>
  <dimension ref="B1:F48"/>
  <sheetViews>
    <sheetView showGridLines="0" zoomScale="140" zoomScaleNormal="140" workbookViewId="0">
      <selection activeCell="B36" sqref="B36"/>
    </sheetView>
  </sheetViews>
  <sheetFormatPr baseColWidth="10" defaultColWidth="9.1640625" defaultRowHeight="19" x14ac:dyDescent="0.15"/>
  <cols>
    <col min="1" max="1" width="9.1640625" style="266"/>
    <col min="2" max="2" width="29" style="266" bestFit="1" customWidth="1"/>
    <col min="3" max="3" width="20.6640625" style="266" customWidth="1"/>
    <col min="4" max="4" width="13.1640625" style="266" customWidth="1"/>
    <col min="5" max="5" width="12.33203125" style="266" bestFit="1" customWidth="1"/>
    <col min="6" max="6" width="11.5" style="266" customWidth="1"/>
    <col min="7" max="7" width="2.6640625" style="266" customWidth="1"/>
    <col min="8" max="16384" width="9.1640625" style="266"/>
  </cols>
  <sheetData>
    <row r="1" spans="2:6" x14ac:dyDescent="0.15">
      <c r="B1" s="266" t="s">
        <v>172</v>
      </c>
    </row>
    <row r="2" spans="2:6" ht="20" thickBot="1" x14ac:dyDescent="0.2"/>
    <row r="3" spans="2:6" x14ac:dyDescent="0.15">
      <c r="B3" s="448" t="s">
        <v>140</v>
      </c>
      <c r="C3" s="446" t="s">
        <v>65</v>
      </c>
      <c r="D3" s="450"/>
      <c r="E3" s="450"/>
      <c r="F3" s="447"/>
    </row>
    <row r="4" spans="2:6" x14ac:dyDescent="0.15">
      <c r="B4" s="449"/>
      <c r="C4" s="270" t="s">
        <v>141</v>
      </c>
      <c r="D4" s="271" t="s">
        <v>142</v>
      </c>
      <c r="E4" s="271" t="s">
        <v>150</v>
      </c>
      <c r="F4" s="272" t="s">
        <v>151</v>
      </c>
    </row>
    <row r="5" spans="2:6" x14ac:dyDescent="0.15">
      <c r="B5" s="268" t="s">
        <v>137</v>
      </c>
      <c r="C5" s="265" t="s">
        <v>143</v>
      </c>
      <c r="D5" s="267">
        <v>0.75</v>
      </c>
      <c r="E5" s="277">
        <f>0.005*1000</f>
        <v>5</v>
      </c>
      <c r="F5" s="274">
        <f>E5*D5</f>
        <v>3.75</v>
      </c>
    </row>
    <row r="6" spans="2:6" x14ac:dyDescent="0.15">
      <c r="B6" s="268" t="s">
        <v>138</v>
      </c>
      <c r="C6" s="265" t="s">
        <v>143</v>
      </c>
      <c r="D6" s="267">
        <v>1</v>
      </c>
      <c r="E6" s="277">
        <f>0.078947*1000</f>
        <v>78.947000000000003</v>
      </c>
      <c r="F6" s="274">
        <f t="shared" ref="F6:F7" si="0">E6*D6</f>
        <v>78.947000000000003</v>
      </c>
    </row>
    <row r="7" spans="2:6" x14ac:dyDescent="0.15">
      <c r="B7" s="268" t="s">
        <v>139</v>
      </c>
      <c r="C7" s="265" t="s">
        <v>143</v>
      </c>
      <c r="D7" s="267">
        <v>1</v>
      </c>
      <c r="E7" s="277">
        <f>0.03*1000</f>
        <v>30</v>
      </c>
      <c r="F7" s="274">
        <f t="shared" si="0"/>
        <v>30</v>
      </c>
    </row>
    <row r="8" spans="2:6" ht="20" thickBot="1" x14ac:dyDescent="0.2">
      <c r="B8" s="269"/>
      <c r="C8" s="275"/>
      <c r="D8" s="275"/>
      <c r="E8" s="275"/>
      <c r="F8" s="276">
        <f>SUM(F5:F7)</f>
        <v>112.697</v>
      </c>
    </row>
    <row r="9" spans="2:6" ht="41" customHeight="1" thickBot="1" x14ac:dyDescent="0.2">
      <c r="C9" s="265"/>
      <c r="D9" s="265"/>
      <c r="E9" s="265"/>
      <c r="F9" s="265"/>
    </row>
    <row r="10" spans="2:6" x14ac:dyDescent="0.15">
      <c r="B10" s="448" t="s">
        <v>144</v>
      </c>
      <c r="C10" s="446" t="s">
        <v>65</v>
      </c>
      <c r="D10" s="450"/>
      <c r="E10" s="450"/>
      <c r="F10" s="447"/>
    </row>
    <row r="11" spans="2:6" x14ac:dyDescent="0.15">
      <c r="B11" s="449"/>
      <c r="C11" s="270" t="s">
        <v>141</v>
      </c>
      <c r="D11" s="271" t="s">
        <v>142</v>
      </c>
      <c r="E11" s="271" t="s">
        <v>150</v>
      </c>
      <c r="F11" s="272" t="s">
        <v>151</v>
      </c>
    </row>
    <row r="12" spans="2:6" x14ac:dyDescent="0.15">
      <c r="B12" s="268" t="s">
        <v>85</v>
      </c>
      <c r="C12" s="265" t="s">
        <v>143</v>
      </c>
      <c r="D12" s="267">
        <v>0.5</v>
      </c>
      <c r="E12" s="277">
        <f>0.05*1000</f>
        <v>50</v>
      </c>
      <c r="F12" s="274">
        <f>E12*D12</f>
        <v>25</v>
      </c>
    </row>
    <row r="13" spans="2:6" x14ac:dyDescent="0.15">
      <c r="B13" s="268" t="s">
        <v>145</v>
      </c>
      <c r="C13" s="265" t="s">
        <v>148</v>
      </c>
      <c r="D13" s="267">
        <v>2.2200000000000002</v>
      </c>
      <c r="E13" s="277">
        <f>0.015*1000</f>
        <v>15</v>
      </c>
      <c r="F13" s="274">
        <f t="shared" ref="F13:F16" si="1">E13*D13</f>
        <v>33.300000000000004</v>
      </c>
    </row>
    <row r="14" spans="2:6" x14ac:dyDescent="0.15">
      <c r="B14" s="268" t="s">
        <v>139</v>
      </c>
      <c r="C14" s="265" t="s">
        <v>143</v>
      </c>
      <c r="D14" s="267">
        <v>0.8</v>
      </c>
      <c r="E14" s="277">
        <f>0.03*1000</f>
        <v>30</v>
      </c>
      <c r="F14" s="274">
        <f t="shared" si="1"/>
        <v>24</v>
      </c>
    </row>
    <row r="15" spans="2:6" x14ac:dyDescent="0.15">
      <c r="B15" s="268" t="s">
        <v>146</v>
      </c>
      <c r="C15" s="265" t="s">
        <v>149</v>
      </c>
      <c r="D15" s="267">
        <v>3</v>
      </c>
      <c r="E15" s="277">
        <f>0.02*1000</f>
        <v>20</v>
      </c>
      <c r="F15" s="274">
        <f t="shared" si="1"/>
        <v>60</v>
      </c>
    </row>
    <row r="16" spans="2:6" x14ac:dyDescent="0.15">
      <c r="B16" s="268" t="s">
        <v>147</v>
      </c>
      <c r="C16" s="265" t="s">
        <v>149</v>
      </c>
      <c r="D16" s="267">
        <v>1</v>
      </c>
      <c r="E16" s="277">
        <f>0.045*1000</f>
        <v>45</v>
      </c>
      <c r="F16" s="274">
        <f t="shared" si="1"/>
        <v>45</v>
      </c>
    </row>
    <row r="17" spans="2:6" ht="20" thickBot="1" x14ac:dyDescent="0.2">
      <c r="B17" s="269"/>
      <c r="C17" s="275"/>
      <c r="D17" s="275"/>
      <c r="E17" s="275"/>
      <c r="F17" s="276">
        <f>SUM(F12:F16)</f>
        <v>187.3</v>
      </c>
    </row>
    <row r="18" spans="2:6" x14ac:dyDescent="0.15">
      <c r="F18" s="273"/>
    </row>
    <row r="19" spans="2:6" x14ac:dyDescent="0.15">
      <c r="F19" s="273"/>
    </row>
    <row r="20" spans="2:6" x14ac:dyDescent="0.15">
      <c r="F20" s="273"/>
    </row>
    <row r="21" spans="2:6" x14ac:dyDescent="0.15">
      <c r="B21" s="266" t="s">
        <v>171</v>
      </c>
      <c r="F21" s="273"/>
    </row>
    <row r="22" spans="2:6" ht="20" thickBot="1" x14ac:dyDescent="0.2">
      <c r="F22" s="273"/>
    </row>
    <row r="23" spans="2:6" x14ac:dyDescent="0.15">
      <c r="B23" s="279"/>
      <c r="C23" s="446" t="s">
        <v>65</v>
      </c>
      <c r="D23" s="447"/>
      <c r="F23" s="273"/>
    </row>
    <row r="24" spans="2:6" ht="38" customHeight="1" x14ac:dyDescent="0.15">
      <c r="B24" s="280"/>
      <c r="C24" s="278" t="s">
        <v>153</v>
      </c>
      <c r="D24" s="272" t="s">
        <v>154</v>
      </c>
      <c r="F24" s="273"/>
    </row>
    <row r="25" spans="2:6" x14ac:dyDescent="0.15">
      <c r="B25" s="268" t="s">
        <v>137</v>
      </c>
      <c r="C25" s="265">
        <v>30</v>
      </c>
      <c r="D25" s="303">
        <v>45000</v>
      </c>
      <c r="F25" s="273"/>
    </row>
    <row r="26" spans="2:6" x14ac:dyDescent="0.15">
      <c r="B26" s="268" t="s">
        <v>138</v>
      </c>
      <c r="C26" s="265">
        <v>15</v>
      </c>
      <c r="D26" s="303">
        <v>60000</v>
      </c>
      <c r="F26" s="273"/>
    </row>
    <row r="27" spans="2:6" x14ac:dyDescent="0.15">
      <c r="B27" s="268" t="s">
        <v>139</v>
      </c>
      <c r="C27" s="265">
        <v>15</v>
      </c>
      <c r="D27" s="303">
        <v>62800</v>
      </c>
      <c r="F27" s="273"/>
    </row>
    <row r="28" spans="2:6" x14ac:dyDescent="0.15">
      <c r="B28" s="268" t="s">
        <v>85</v>
      </c>
      <c r="C28" s="265">
        <v>30</v>
      </c>
      <c r="D28" s="303">
        <v>3500</v>
      </c>
      <c r="F28" s="273"/>
    </row>
    <row r="29" spans="2:6" x14ac:dyDescent="0.15">
      <c r="B29" s="268" t="s">
        <v>145</v>
      </c>
      <c r="C29" s="265">
        <v>30</v>
      </c>
      <c r="D29" s="303">
        <v>7777.78</v>
      </c>
      <c r="F29" s="273"/>
    </row>
    <row r="30" spans="2:6" x14ac:dyDescent="0.15">
      <c r="B30" s="268" t="s">
        <v>146</v>
      </c>
      <c r="C30" s="265">
        <v>30</v>
      </c>
      <c r="D30" s="303">
        <v>21000</v>
      </c>
      <c r="F30" s="273"/>
    </row>
    <row r="31" spans="2:6" ht="20" thickBot="1" x14ac:dyDescent="0.2">
      <c r="B31" s="269" t="s">
        <v>147</v>
      </c>
      <c r="C31" s="275">
        <v>30</v>
      </c>
      <c r="D31" s="304">
        <v>3500</v>
      </c>
      <c r="F31" s="273"/>
    </row>
    <row r="32" spans="2:6" x14ac:dyDescent="0.15">
      <c r="F32" s="273"/>
    </row>
    <row r="33" spans="2:6" x14ac:dyDescent="0.15">
      <c r="F33" s="273"/>
    </row>
    <row r="34" spans="2:6" x14ac:dyDescent="0.15">
      <c r="F34" s="273"/>
    </row>
    <row r="35" spans="2:6" x14ac:dyDescent="0.15">
      <c r="B35" s="266" t="s">
        <v>173</v>
      </c>
      <c r="F35" s="273"/>
    </row>
    <row r="36" spans="2:6" ht="20" thickBot="1" x14ac:dyDescent="0.2">
      <c r="F36" s="273"/>
    </row>
    <row r="37" spans="2:6" x14ac:dyDescent="0.15">
      <c r="B37" s="279"/>
      <c r="C37" s="281" t="s">
        <v>91</v>
      </c>
      <c r="E37" s="273"/>
    </row>
    <row r="38" spans="2:6" x14ac:dyDescent="0.15">
      <c r="B38" s="268" t="s">
        <v>137</v>
      </c>
      <c r="C38" s="296">
        <v>49000</v>
      </c>
      <c r="E38" s="273"/>
    </row>
    <row r="39" spans="2:6" x14ac:dyDescent="0.15">
      <c r="B39" s="268" t="s">
        <v>138</v>
      </c>
      <c r="C39" s="296">
        <v>60000</v>
      </c>
      <c r="E39" s="273"/>
    </row>
    <row r="40" spans="2:6" x14ac:dyDescent="0.15">
      <c r="B40" s="268" t="s">
        <v>139</v>
      </c>
      <c r="C40" s="296">
        <v>62800</v>
      </c>
      <c r="E40" s="273"/>
    </row>
    <row r="41" spans="2:6" x14ac:dyDescent="0.15">
      <c r="B41" s="268" t="s">
        <v>85</v>
      </c>
      <c r="C41" s="296">
        <v>3500</v>
      </c>
      <c r="E41" s="273"/>
    </row>
    <row r="42" spans="2:6" x14ac:dyDescent="0.15">
      <c r="B42" s="268" t="s">
        <v>145</v>
      </c>
      <c r="C42" s="296">
        <v>7000</v>
      </c>
      <c r="E42" s="273"/>
    </row>
    <row r="43" spans="2:6" x14ac:dyDescent="0.15">
      <c r="B43" s="268" t="s">
        <v>146</v>
      </c>
      <c r="C43" s="296">
        <v>21000</v>
      </c>
      <c r="E43" s="273"/>
    </row>
    <row r="44" spans="2:6" ht="20" thickBot="1" x14ac:dyDescent="0.2">
      <c r="B44" s="269" t="s">
        <v>147</v>
      </c>
      <c r="C44" s="297">
        <v>3500</v>
      </c>
      <c r="E44" s="273"/>
    </row>
    <row r="45" spans="2:6" x14ac:dyDescent="0.15">
      <c r="F45" s="273"/>
    </row>
    <row r="46" spans="2:6" x14ac:dyDescent="0.15">
      <c r="F46" s="273"/>
    </row>
    <row r="47" spans="2:6" x14ac:dyDescent="0.15">
      <c r="F47" s="273"/>
    </row>
    <row r="48" spans="2:6" x14ac:dyDescent="0.15">
      <c r="F48" s="273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8"/>
  <sheetViews>
    <sheetView showGridLines="0" zoomScale="140" zoomScaleNormal="140" workbookViewId="0">
      <selection activeCell="B1" sqref="B1:K44"/>
    </sheetView>
  </sheetViews>
  <sheetFormatPr baseColWidth="10" defaultColWidth="9.1640625" defaultRowHeight="19" x14ac:dyDescent="0.15"/>
  <cols>
    <col min="1" max="1" width="9.1640625" style="266"/>
    <col min="2" max="2" width="29" style="266" bestFit="1" customWidth="1"/>
    <col min="3" max="3" width="20.6640625" style="266" customWidth="1"/>
    <col min="4" max="4" width="13.1640625" style="266" customWidth="1"/>
    <col min="5" max="5" width="12.33203125" style="266" bestFit="1" customWidth="1"/>
    <col min="6" max="6" width="11.5" style="266" customWidth="1"/>
    <col min="7" max="7" width="2.6640625" style="266" customWidth="1"/>
    <col min="8" max="8" width="9.1640625" style="266" customWidth="1"/>
    <col min="9" max="9" width="11.83203125" style="266" customWidth="1"/>
    <col min="10" max="10" width="2.6640625" style="266" customWidth="1"/>
    <col min="11" max="16384" width="9.1640625" style="266"/>
  </cols>
  <sheetData>
    <row r="1" spans="2:9" x14ac:dyDescent="0.15">
      <c r="B1" s="266" t="s">
        <v>163</v>
      </c>
    </row>
    <row r="2" spans="2:9" ht="20" thickBot="1" x14ac:dyDescent="0.2"/>
    <row r="3" spans="2:9" x14ac:dyDescent="0.15">
      <c r="B3" s="448" t="s">
        <v>140</v>
      </c>
      <c r="C3" s="451" t="s">
        <v>91</v>
      </c>
      <c r="D3" s="452"/>
      <c r="E3" s="452"/>
      <c r="F3" s="453"/>
    </row>
    <row r="4" spans="2:9" x14ac:dyDescent="0.15">
      <c r="B4" s="449"/>
      <c r="C4" s="270" t="s">
        <v>141</v>
      </c>
      <c r="D4" s="271" t="s">
        <v>142</v>
      </c>
      <c r="E4" s="271" t="s">
        <v>150</v>
      </c>
      <c r="F4" s="272" t="s">
        <v>151</v>
      </c>
      <c r="H4" s="265" t="s">
        <v>160</v>
      </c>
      <c r="I4" s="265" t="s">
        <v>161</v>
      </c>
    </row>
    <row r="5" spans="2:9" x14ac:dyDescent="0.15">
      <c r="B5" s="268" t="s">
        <v>137</v>
      </c>
      <c r="C5" s="265" t="s">
        <v>143</v>
      </c>
      <c r="D5" s="267">
        <v>0.75</v>
      </c>
      <c r="E5" s="277">
        <f>0.005*1000</f>
        <v>5</v>
      </c>
      <c r="F5" s="274">
        <f>E5*D5</f>
        <v>3.75</v>
      </c>
    </row>
    <row r="6" spans="2:9" x14ac:dyDescent="0.15">
      <c r="B6" s="268" t="s">
        <v>138</v>
      </c>
      <c r="C6" s="265" t="s">
        <v>143</v>
      </c>
      <c r="D6" s="267">
        <v>1</v>
      </c>
      <c r="E6" s="299">
        <f>'All. 1-2-3'!E6*(1+'Tab. 6'!I6)</f>
        <v>74.999650000000003</v>
      </c>
      <c r="F6" s="274">
        <f t="shared" ref="F6:F7" si="0">E6*D6</f>
        <v>74.999650000000003</v>
      </c>
      <c r="I6" s="298">
        <v>-0.05</v>
      </c>
    </row>
    <row r="7" spans="2:9" x14ac:dyDescent="0.15">
      <c r="B7" s="268" t="s">
        <v>139</v>
      </c>
      <c r="C7" s="265" t="s">
        <v>143</v>
      </c>
      <c r="D7" s="267">
        <v>1</v>
      </c>
      <c r="E7" s="277">
        <f>0.03*1000</f>
        <v>30</v>
      </c>
      <c r="F7" s="274">
        <f t="shared" si="0"/>
        <v>30</v>
      </c>
    </row>
    <row r="8" spans="2:9" ht="20" thickBot="1" x14ac:dyDescent="0.2">
      <c r="B8" s="269"/>
      <c r="C8" s="275"/>
      <c r="D8" s="275"/>
      <c r="E8" s="275"/>
      <c r="F8" s="276">
        <f>SUM(F5:F7)</f>
        <v>108.74965</v>
      </c>
    </row>
    <row r="9" spans="2:9" ht="41" customHeight="1" thickBot="1" x14ac:dyDescent="0.2">
      <c r="C9" s="265"/>
      <c r="D9" s="265"/>
      <c r="E9" s="265"/>
      <c r="F9" s="265"/>
    </row>
    <row r="10" spans="2:9" x14ac:dyDescent="0.15">
      <c r="B10" s="448" t="s">
        <v>144</v>
      </c>
      <c r="C10" s="451" t="s">
        <v>91</v>
      </c>
      <c r="D10" s="452"/>
      <c r="E10" s="452"/>
      <c r="F10" s="453"/>
    </row>
    <row r="11" spans="2:9" x14ac:dyDescent="0.15">
      <c r="B11" s="449"/>
      <c r="C11" s="270" t="s">
        <v>141</v>
      </c>
      <c r="D11" s="271" t="s">
        <v>142</v>
      </c>
      <c r="E11" s="271" t="s">
        <v>150</v>
      </c>
      <c r="F11" s="272" t="s">
        <v>151</v>
      </c>
    </row>
    <row r="12" spans="2:9" x14ac:dyDescent="0.15">
      <c r="B12" s="268" t="s">
        <v>85</v>
      </c>
      <c r="C12" s="265" t="s">
        <v>143</v>
      </c>
      <c r="D12" s="267">
        <v>0.5</v>
      </c>
      <c r="E12" s="277">
        <f>0.05*1000</f>
        <v>50</v>
      </c>
      <c r="F12" s="274">
        <f>E12*D12</f>
        <v>25</v>
      </c>
    </row>
    <row r="13" spans="2:9" x14ac:dyDescent="0.15">
      <c r="B13" s="268" t="s">
        <v>145</v>
      </c>
      <c r="C13" s="265" t="s">
        <v>148</v>
      </c>
      <c r="D13" s="301">
        <f>ROUND('All. 1-2-3'!D13*(1+'Tab. 6'!H13),0)</f>
        <v>2</v>
      </c>
      <c r="E13" s="277">
        <f>0.015*1000</f>
        <v>15</v>
      </c>
      <c r="F13" s="274">
        <f t="shared" ref="F13:F16" si="1">E13*D13</f>
        <v>30</v>
      </c>
      <c r="H13" s="298">
        <v>-0.1</v>
      </c>
    </row>
    <row r="14" spans="2:9" x14ac:dyDescent="0.15">
      <c r="B14" s="268" t="s">
        <v>139</v>
      </c>
      <c r="C14" s="265" t="s">
        <v>143</v>
      </c>
      <c r="D14" s="267">
        <v>0.8</v>
      </c>
      <c r="E14" s="277">
        <f>0.03*1000</f>
        <v>30</v>
      </c>
      <c r="F14" s="274">
        <f t="shared" si="1"/>
        <v>24</v>
      </c>
    </row>
    <row r="15" spans="2:9" x14ac:dyDescent="0.15">
      <c r="B15" s="268" t="s">
        <v>146</v>
      </c>
      <c r="C15" s="265" t="s">
        <v>149</v>
      </c>
      <c r="D15" s="267">
        <v>3</v>
      </c>
      <c r="E15" s="277">
        <f>0.02*1000</f>
        <v>20</v>
      </c>
      <c r="F15" s="274">
        <f t="shared" si="1"/>
        <v>60</v>
      </c>
    </row>
    <row r="16" spans="2:9" x14ac:dyDescent="0.15">
      <c r="B16" s="268" t="s">
        <v>147</v>
      </c>
      <c r="C16" s="265" t="s">
        <v>149</v>
      </c>
      <c r="D16" s="267">
        <v>1</v>
      </c>
      <c r="E16" s="299">
        <f>'All. 1-2-3'!E16+'Tab. 6'!I16</f>
        <v>50</v>
      </c>
      <c r="F16" s="274">
        <f t="shared" si="1"/>
        <v>50</v>
      </c>
      <c r="I16" s="300">
        <v>5</v>
      </c>
    </row>
    <row r="17" spans="2:8" ht="20" thickBot="1" x14ac:dyDescent="0.2">
      <c r="B17" s="269"/>
      <c r="C17" s="275"/>
      <c r="D17" s="275"/>
      <c r="E17" s="275"/>
      <c r="F17" s="276">
        <f>SUM(F12:F16)</f>
        <v>189</v>
      </c>
    </row>
    <row r="18" spans="2:8" x14ac:dyDescent="0.15">
      <c r="F18" s="273"/>
    </row>
    <row r="19" spans="2:8" x14ac:dyDescent="0.15">
      <c r="F19" s="273"/>
    </row>
    <row r="20" spans="2:8" x14ac:dyDescent="0.15">
      <c r="F20" s="273"/>
    </row>
    <row r="21" spans="2:8" x14ac:dyDescent="0.15">
      <c r="B21" s="266" t="s">
        <v>152</v>
      </c>
      <c r="F21" s="273"/>
    </row>
    <row r="22" spans="2:8" ht="20" thickBot="1" x14ac:dyDescent="0.2">
      <c r="F22" s="273"/>
    </row>
    <row r="23" spans="2:8" x14ac:dyDescent="0.15">
      <c r="B23" s="279"/>
      <c r="C23" s="451" t="s">
        <v>91</v>
      </c>
      <c r="D23" s="453"/>
      <c r="F23" s="273"/>
    </row>
    <row r="24" spans="2:8" ht="38" customHeight="1" x14ac:dyDescent="0.15">
      <c r="B24" s="280"/>
      <c r="C24" s="278" t="s">
        <v>153</v>
      </c>
      <c r="D24" s="272" t="s">
        <v>154</v>
      </c>
      <c r="F24" s="273"/>
    </row>
    <row r="25" spans="2:8" x14ac:dyDescent="0.15">
      <c r="B25" s="268" t="s">
        <v>137</v>
      </c>
      <c r="C25" s="265">
        <v>30</v>
      </c>
      <c r="D25" s="296">
        <v>45000</v>
      </c>
      <c r="F25" s="273"/>
    </row>
    <row r="26" spans="2:8" x14ac:dyDescent="0.15">
      <c r="B26" s="268" t="s">
        <v>138</v>
      </c>
      <c r="C26" s="265">
        <v>15</v>
      </c>
      <c r="D26" s="296">
        <v>60000</v>
      </c>
      <c r="F26" s="273"/>
    </row>
    <row r="27" spans="2:8" x14ac:dyDescent="0.15">
      <c r="B27" s="268" t="s">
        <v>139</v>
      </c>
      <c r="C27" s="265">
        <v>15</v>
      </c>
      <c r="D27" s="296">
        <v>62800</v>
      </c>
      <c r="F27" s="273"/>
    </row>
    <row r="28" spans="2:8" x14ac:dyDescent="0.15">
      <c r="B28" s="268" t="s">
        <v>85</v>
      </c>
      <c r="C28" s="265">
        <v>30</v>
      </c>
      <c r="D28" s="296">
        <v>3500</v>
      </c>
      <c r="F28" s="273"/>
    </row>
    <row r="29" spans="2:8" x14ac:dyDescent="0.15">
      <c r="B29" s="268" t="s">
        <v>145</v>
      </c>
      <c r="C29" s="265">
        <v>30</v>
      </c>
      <c r="D29" s="305">
        <f>'All. 1-2-3'!D29*(1+'Tab. 6'!H29)</f>
        <v>7000.0019999999995</v>
      </c>
      <c r="F29" s="273"/>
      <c r="H29" s="298">
        <v>-0.1</v>
      </c>
    </row>
    <row r="30" spans="2:8" x14ac:dyDescent="0.15">
      <c r="B30" s="268" t="s">
        <v>146</v>
      </c>
      <c r="C30" s="265">
        <v>30</v>
      </c>
      <c r="D30" s="296">
        <v>21000</v>
      </c>
      <c r="F30" s="273"/>
    </row>
    <row r="31" spans="2:8" ht="20" thickBot="1" x14ac:dyDescent="0.2">
      <c r="B31" s="269" t="s">
        <v>147</v>
      </c>
      <c r="C31" s="275">
        <v>30</v>
      </c>
      <c r="D31" s="297">
        <v>3500</v>
      </c>
      <c r="F31" s="273"/>
    </row>
    <row r="32" spans="2:8" x14ac:dyDescent="0.15">
      <c r="F32" s="273"/>
    </row>
    <row r="33" spans="2:6" x14ac:dyDescent="0.15">
      <c r="F33" s="273"/>
    </row>
    <row r="34" spans="2:6" x14ac:dyDescent="0.15">
      <c r="F34" s="273"/>
    </row>
    <row r="35" spans="2:6" x14ac:dyDescent="0.15">
      <c r="B35" s="266" t="s">
        <v>155</v>
      </c>
      <c r="F35" s="273"/>
    </row>
    <row r="36" spans="2:6" ht="20" thickBot="1" x14ac:dyDescent="0.2">
      <c r="F36" s="273"/>
    </row>
    <row r="37" spans="2:6" x14ac:dyDescent="0.15">
      <c r="B37" s="279"/>
      <c r="C37" s="302" t="s">
        <v>91</v>
      </c>
      <c r="E37" s="273"/>
    </row>
    <row r="38" spans="2:6" x14ac:dyDescent="0.15">
      <c r="B38" s="268" t="s">
        <v>137</v>
      </c>
      <c r="C38" s="296">
        <v>49000</v>
      </c>
      <c r="E38" s="273"/>
    </row>
    <row r="39" spans="2:6" x14ac:dyDescent="0.15">
      <c r="B39" s="268" t="s">
        <v>138</v>
      </c>
      <c r="C39" s="296">
        <v>60000</v>
      </c>
      <c r="E39" s="273"/>
    </row>
    <row r="40" spans="2:6" x14ac:dyDescent="0.15">
      <c r="B40" s="268" t="s">
        <v>139</v>
      </c>
      <c r="C40" s="296">
        <v>62800</v>
      </c>
      <c r="E40" s="273"/>
    </row>
    <row r="41" spans="2:6" x14ac:dyDescent="0.15">
      <c r="B41" s="268" t="s">
        <v>85</v>
      </c>
      <c r="C41" s="296">
        <v>3500</v>
      </c>
      <c r="E41" s="273"/>
    </row>
    <row r="42" spans="2:6" x14ac:dyDescent="0.15">
      <c r="B42" s="268" t="s">
        <v>145</v>
      </c>
      <c r="C42" s="296">
        <v>7000</v>
      </c>
      <c r="E42" s="273"/>
    </row>
    <row r="43" spans="2:6" x14ac:dyDescent="0.15">
      <c r="B43" s="268" t="s">
        <v>146</v>
      </c>
      <c r="C43" s="296">
        <v>21000</v>
      </c>
      <c r="E43" s="273"/>
    </row>
    <row r="44" spans="2:6" ht="20" thickBot="1" x14ac:dyDescent="0.2">
      <c r="B44" s="269" t="s">
        <v>147</v>
      </c>
      <c r="C44" s="297">
        <v>3500</v>
      </c>
      <c r="E44" s="273"/>
    </row>
    <row r="45" spans="2:6" x14ac:dyDescent="0.15">
      <c r="F45" s="273"/>
    </row>
    <row r="46" spans="2:6" x14ac:dyDescent="0.15">
      <c r="F46" s="273"/>
    </row>
    <row r="47" spans="2:6" x14ac:dyDescent="0.15">
      <c r="F47" s="273"/>
    </row>
    <row r="48" spans="2:6" x14ac:dyDescent="0.15">
      <c r="F48" s="273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>
    <pageSetUpPr fitToPage="1"/>
  </sheetPr>
  <dimension ref="B2:Q69"/>
  <sheetViews>
    <sheetView showGridLines="0" zoomScale="170" zoomScaleNormal="170" workbookViewId="0">
      <selection activeCell="B5" sqref="B5:O6"/>
    </sheetView>
  </sheetViews>
  <sheetFormatPr baseColWidth="10" defaultRowHeight="13" x14ac:dyDescent="0.15"/>
  <cols>
    <col min="2" max="2" width="29" bestFit="1" customWidth="1"/>
    <col min="16" max="16" width="2.1640625" customWidth="1"/>
  </cols>
  <sheetData>
    <row r="2" spans="2:17" ht="16" x14ac:dyDescent="0.15">
      <c r="B2" s="73" t="s">
        <v>162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2:17" x14ac:dyDescent="0.15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2:17" ht="14" thickBot="1" x14ac:dyDescent="0.2"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</row>
    <row r="5" spans="2:17" ht="16" x14ac:dyDescent="0.15">
      <c r="B5" s="236"/>
      <c r="C5" s="442" t="s">
        <v>91</v>
      </c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  <c r="Q5" s="292" t="s">
        <v>135</v>
      </c>
    </row>
    <row r="6" spans="2:17" ht="16" x14ac:dyDescent="0.15">
      <c r="B6" s="245"/>
      <c r="C6" s="243" t="s">
        <v>106</v>
      </c>
      <c r="D6" s="243" t="s">
        <v>107</v>
      </c>
      <c r="E6" s="243" t="s">
        <v>108</v>
      </c>
      <c r="F6" s="243" t="s">
        <v>109</v>
      </c>
      <c r="G6" s="243" t="s">
        <v>110</v>
      </c>
      <c r="H6" s="243" t="s">
        <v>111</v>
      </c>
      <c r="I6" s="243" t="s">
        <v>112</v>
      </c>
      <c r="J6" s="243" t="s">
        <v>113</v>
      </c>
      <c r="K6" s="243" t="s">
        <v>114</v>
      </c>
      <c r="L6" s="243" t="s">
        <v>115</v>
      </c>
      <c r="M6" s="243" t="s">
        <v>116</v>
      </c>
      <c r="N6" s="243" t="s">
        <v>117</v>
      </c>
      <c r="O6" s="248" t="s">
        <v>74</v>
      </c>
      <c r="Q6" s="293" t="s">
        <v>106</v>
      </c>
    </row>
    <row r="7" spans="2:17" ht="16" x14ac:dyDescent="0.15">
      <c r="B7" s="282" t="s">
        <v>137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4"/>
      <c r="Q7" s="144"/>
    </row>
    <row r="8" spans="2:17" ht="16" x14ac:dyDescent="0.15">
      <c r="B8" s="284" t="s">
        <v>127</v>
      </c>
      <c r="C8" s="283">
        <f>VLOOKUP(B7,'Tab. 6'!$B$38:$C$44,2,0)</f>
        <v>49000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244"/>
      <c r="Q8" s="144"/>
    </row>
    <row r="9" spans="2:17" ht="16" x14ac:dyDescent="0.15">
      <c r="B9" s="284" t="s">
        <v>156</v>
      </c>
      <c r="C9" s="283">
        <f>VLOOKUP(B7,'Tab. 6'!$B$25:$D$31,2,0)</f>
        <v>30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44"/>
      <c r="Q9" s="144"/>
    </row>
    <row r="10" spans="2:17" ht="16" x14ac:dyDescent="0.15">
      <c r="B10" s="284" t="s">
        <v>157</v>
      </c>
      <c r="C10" s="283">
        <f>VLOOKUP(B7,'Tab. 6'!$B$25:$D$31,3,0)</f>
        <v>45000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44"/>
      <c r="Q10" s="144"/>
    </row>
    <row r="11" spans="2:17" ht="16" x14ac:dyDescent="0.15">
      <c r="B11" s="136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244"/>
      <c r="Q11" s="144"/>
    </row>
    <row r="12" spans="2:17" ht="16" x14ac:dyDescent="0.15">
      <c r="B12" s="136" t="s">
        <v>126</v>
      </c>
      <c r="C12" s="253">
        <f>+C8</f>
        <v>49000</v>
      </c>
      <c r="D12" s="238">
        <f>+C14</f>
        <v>45751.950579015094</v>
      </c>
      <c r="E12" s="238">
        <f t="shared" ref="E12:N12" si="0">+D14</f>
        <v>45751.950579015102</v>
      </c>
      <c r="F12" s="238">
        <f t="shared" si="0"/>
        <v>47930.614892301528</v>
      </c>
      <c r="G12" s="238">
        <f t="shared" si="0"/>
        <v>47930.614892301535</v>
      </c>
      <c r="H12" s="238">
        <f t="shared" si="0"/>
        <v>45000</v>
      </c>
      <c r="I12" s="238">
        <f t="shared" si="0"/>
        <v>47930.614892301528</v>
      </c>
      <c r="J12" s="238">
        <f t="shared" si="0"/>
        <v>45751.950579015094</v>
      </c>
      <c r="K12" s="238">
        <f t="shared" si="0"/>
        <v>45751.950579015102</v>
      </c>
      <c r="L12" s="238">
        <f t="shared" si="0"/>
        <v>45000</v>
      </c>
      <c r="M12" s="238">
        <f t="shared" si="0"/>
        <v>45000</v>
      </c>
      <c r="N12" s="238">
        <f t="shared" si="0"/>
        <v>45000</v>
      </c>
      <c r="O12" s="153"/>
      <c r="Q12" s="294"/>
    </row>
    <row r="13" spans="2:17" ht="16" x14ac:dyDescent="0.15">
      <c r="B13" s="246" t="s">
        <v>158</v>
      </c>
      <c r="C13" s="238">
        <f>IFERROR(VLOOKUP($B7,'Tab. 6'!$B$5:$D$7,3,0),0)*'Tab 5'!C$15+IFERROR(VLOOKUP($B7,'Tab. 6'!$B$12:$D$16,3,0),0)*'Tab 5'!C$28</f>
        <v>39148.523110472415</v>
      </c>
      <c r="D13" s="238">
        <f>IFERROR(VLOOKUP($B7,'Tab. 6'!$B$5:$D$7,3,0),0)*'Tab 5'!D$15+IFERROR(VLOOKUP($B7,'Tab. 6'!$B$12:$D$16,3,0),0)*'Tab 5'!D$28</f>
        <v>45751.950579015094</v>
      </c>
      <c r="E13" s="238">
        <f>IFERROR(VLOOKUP($B7,'Tab. 6'!$B$5:$D$7,3,0),0)*'Tab 5'!E$15+IFERROR(VLOOKUP($B7,'Tab. 6'!$B$12:$D$16,3,0),0)*'Tab 5'!E$28</f>
        <v>45751.950579015102</v>
      </c>
      <c r="F13" s="238">
        <f>IFERROR(VLOOKUP($B7,'Tab. 6'!$B$5:$D$7,3,0),0)*'Tab 5'!F$15+IFERROR(VLOOKUP($B7,'Tab. 6'!$B$12:$D$16,3,0),0)*'Tab 5'!F$28</f>
        <v>47930.614892301528</v>
      </c>
      <c r="G13" s="238">
        <f>IFERROR(VLOOKUP($B7,'Tab. 6'!$B$5:$D$7,3,0),0)*'Tab 5'!G$15+IFERROR(VLOOKUP($B7,'Tab. 6'!$B$12:$D$16,3,0),0)*'Tab 5'!G$28</f>
        <v>47930.614892301535</v>
      </c>
      <c r="H13" s="238">
        <f>IFERROR(VLOOKUP($B7,'Tab. 6'!$B$5:$D$7,3,0),0)*'Tab 5'!H$15+IFERROR(VLOOKUP($B7,'Tab. 6'!$B$12:$D$16,3,0),0)*'Tab 5'!H$28</f>
        <v>26143.971759437198</v>
      </c>
      <c r="I13" s="238">
        <f>IFERROR(VLOOKUP($B7,'Tab. 6'!$B$5:$D$7,3,0),0)*'Tab 5'!I$15+IFERROR(VLOOKUP($B7,'Tab. 6'!$B$12:$D$16,3,0),0)*'Tab 5'!I$28</f>
        <v>47930.614892301528</v>
      </c>
      <c r="J13" s="238">
        <f>IFERROR(VLOOKUP($B7,'Tab. 6'!$B$5:$D$7,3,0),0)*'Tab 5'!J$15+IFERROR(VLOOKUP($B7,'Tab. 6'!$B$12:$D$16,3,0),0)*'Tab 5'!J$28</f>
        <v>45751.950579015094</v>
      </c>
      <c r="K13" s="238">
        <f>IFERROR(VLOOKUP($B7,'Tab. 6'!$B$5:$D$7,3,0),0)*'Tab 5'!K$15+IFERROR(VLOOKUP($B7,'Tab. 6'!$B$12:$D$16,3,0),0)*'Tab 5'!K$28</f>
        <v>45751.950579015102</v>
      </c>
      <c r="L13" s="238">
        <f>IFERROR(VLOOKUP($B7,'Tab. 6'!$B$5:$D$7,3,0),0)*'Tab 5'!L$15+IFERROR(VLOOKUP($B7,'Tab. 6'!$B$12:$D$16,3,0),0)*'Tab 5'!L$28</f>
        <v>26143.971759437194</v>
      </c>
      <c r="M13" s="238">
        <f>IFERROR(VLOOKUP($B7,'Tab. 6'!$B$5:$D$7,3,0),0)*'Tab 5'!M$15+IFERROR(VLOOKUP($B7,'Tab. 6'!$B$12:$D$16,3,0),0)*'Tab 5'!M$28</f>
        <v>38522.594289811255</v>
      </c>
      <c r="N13" s="238">
        <f>IFERROR(VLOOKUP($B7,'Tab. 6'!$B$5:$D$7,3,0),0)*'Tab 5'!N$15+IFERROR(VLOOKUP($B7,'Tab. 6'!$B$12:$D$16,3,0),0)*'Tab 5'!N$28</f>
        <v>42802.88254423473</v>
      </c>
      <c r="O13" s="153">
        <f>SUM(C13:N13)</f>
        <v>499561.59045635769</v>
      </c>
      <c r="Q13" s="294">
        <f>IFERROR(VLOOKUP($B7,'Tab. 6'!$B$5:$D$7,3,0),0)*'Tab 5'!Q$15+IFERROR(VLOOKUP($B7,'Tab. 6'!$B$12:$D$16,3,0),0)*'Tab 5'!Q$28</f>
        <v>49223.314925869949</v>
      </c>
    </row>
    <row r="14" spans="2:17" ht="17" thickBot="1" x14ac:dyDescent="0.2">
      <c r="B14" s="246" t="s">
        <v>131</v>
      </c>
      <c r="C14" s="238">
        <f>+IF(D13&gt;=$C10,D13,$C10)</f>
        <v>45751.950579015094</v>
      </c>
      <c r="D14" s="238">
        <f t="shared" ref="D14:G14" si="1">+IF(E13&gt;=$C10,E13,$C10)</f>
        <v>45751.950579015102</v>
      </c>
      <c r="E14" s="238">
        <f t="shared" si="1"/>
        <v>47930.614892301528</v>
      </c>
      <c r="F14" s="238">
        <f t="shared" si="1"/>
        <v>47930.614892301535</v>
      </c>
      <c r="G14" s="238">
        <f t="shared" si="1"/>
        <v>45000</v>
      </c>
      <c r="H14" s="238">
        <f>+IF(I13&gt;=$C10,I13,$C10)</f>
        <v>47930.614892301528</v>
      </c>
      <c r="I14" s="238">
        <f>+IF(J13&gt;=$C10,J13,$C10)</f>
        <v>45751.950579015094</v>
      </c>
      <c r="J14" s="238">
        <f>+IF(K13&gt;=$C10,K13,$C10)</f>
        <v>45751.950579015102</v>
      </c>
      <c r="K14" s="238">
        <f t="shared" ref="K14" si="2">+IF(L13&gt;=$C10,L13,$C10)</f>
        <v>45000</v>
      </c>
      <c r="L14" s="238">
        <f>+IF(M13&gt;=$C10,M13,$C10)</f>
        <v>45000</v>
      </c>
      <c r="M14" s="238">
        <f t="shared" ref="M14" si="3">+IF(N13&gt;=$C10,N13,$C10)</f>
        <v>45000</v>
      </c>
      <c r="N14" s="238">
        <f>+IF(Q13&gt;=$C10,Q13,$C10)</f>
        <v>49223.314925869949</v>
      </c>
      <c r="O14" s="153"/>
      <c r="Q14" s="295"/>
    </row>
    <row r="15" spans="2:17" ht="17" thickBot="1" x14ac:dyDescent="0.2">
      <c r="B15" s="247" t="s">
        <v>159</v>
      </c>
      <c r="C15" s="242">
        <f>(C14-C12+C13)</f>
        <v>35900.47368948751</v>
      </c>
      <c r="D15" s="242">
        <f t="shared" ref="D15:N15" si="4">(D14-D12+D13)</f>
        <v>45751.950579015102</v>
      </c>
      <c r="E15" s="242">
        <f t="shared" si="4"/>
        <v>47930.614892301528</v>
      </c>
      <c r="F15" s="242">
        <f t="shared" si="4"/>
        <v>47930.614892301535</v>
      </c>
      <c r="G15" s="242">
        <f t="shared" si="4"/>
        <v>45000</v>
      </c>
      <c r="H15" s="242">
        <f>(H14-H12+H13)</f>
        <v>29074.586651738726</v>
      </c>
      <c r="I15" s="242">
        <f t="shared" si="4"/>
        <v>45751.950579015094</v>
      </c>
      <c r="J15" s="242">
        <f t="shared" si="4"/>
        <v>45751.950579015102</v>
      </c>
      <c r="K15" s="242">
        <f t="shared" si="4"/>
        <v>45000</v>
      </c>
      <c r="L15" s="242">
        <f t="shared" si="4"/>
        <v>26143.971759437194</v>
      </c>
      <c r="M15" s="242">
        <f t="shared" si="4"/>
        <v>38522.594289811255</v>
      </c>
      <c r="N15" s="242">
        <f t="shared" si="4"/>
        <v>47026.197470104678</v>
      </c>
      <c r="O15" s="252">
        <f>SUM(C15:N15)</f>
        <v>499784.90538222773</v>
      </c>
    </row>
    <row r="16" spans="2:17" ht="16" x14ac:dyDescent="0.15">
      <c r="B16" s="282" t="s">
        <v>138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44"/>
      <c r="Q16" s="143"/>
    </row>
    <row r="17" spans="2:17" ht="16" x14ac:dyDescent="0.15">
      <c r="B17" s="284" t="s">
        <v>127</v>
      </c>
      <c r="C17" s="283">
        <f>VLOOKUP(B16,'Tab. 6'!$B$38:$C$44,2,0)</f>
        <v>60000</v>
      </c>
      <c r="D17" s="101"/>
      <c r="E17" s="101"/>
      <c r="F17" s="101"/>
      <c r="G17" s="101"/>
      <c r="H17" s="312"/>
      <c r="I17" s="312"/>
      <c r="J17" s="101"/>
      <c r="K17" s="101"/>
      <c r="L17" s="101"/>
      <c r="M17" s="101"/>
      <c r="N17" s="101"/>
      <c r="O17" s="244"/>
      <c r="Q17" s="144"/>
    </row>
    <row r="18" spans="2:17" ht="16" x14ac:dyDescent="0.15">
      <c r="B18" s="284" t="s">
        <v>156</v>
      </c>
      <c r="C18" s="283">
        <f>VLOOKUP(B16,'Tab. 6'!$B$25:$D$31,2,0)</f>
        <v>15</v>
      </c>
      <c r="D18" s="101"/>
      <c r="E18" s="101"/>
      <c r="F18" s="101"/>
      <c r="G18" s="101"/>
      <c r="H18" s="312"/>
      <c r="I18" s="101"/>
      <c r="J18" s="101"/>
      <c r="K18" s="101"/>
      <c r="L18" s="101"/>
      <c r="M18" s="101"/>
      <c r="N18" s="101"/>
      <c r="O18" s="244"/>
      <c r="Q18" s="144"/>
    </row>
    <row r="19" spans="2:17" ht="16" x14ac:dyDescent="0.15">
      <c r="B19" s="284" t="s">
        <v>157</v>
      </c>
      <c r="C19" s="283">
        <f>VLOOKUP(B16,'Tab. 6'!$B$25:$D$31,3,0)</f>
        <v>60000</v>
      </c>
      <c r="D19" s="101"/>
      <c r="E19" s="101"/>
      <c r="F19" s="101"/>
      <c r="G19" s="101"/>
      <c r="H19" s="312"/>
      <c r="I19" s="101"/>
      <c r="J19" s="101"/>
      <c r="K19" s="101"/>
      <c r="L19" s="101"/>
      <c r="M19" s="101"/>
      <c r="N19" s="101"/>
      <c r="O19" s="244"/>
      <c r="Q19" s="144"/>
    </row>
    <row r="20" spans="2:17" ht="16" x14ac:dyDescent="0.15">
      <c r="B20" s="136"/>
      <c r="C20" s="101"/>
      <c r="D20" s="101"/>
      <c r="E20" s="101"/>
      <c r="F20" s="101"/>
      <c r="G20" s="101"/>
      <c r="H20" s="312"/>
      <c r="I20" s="101"/>
      <c r="J20" s="101"/>
      <c r="K20" s="101"/>
      <c r="L20" s="101"/>
      <c r="M20" s="101"/>
      <c r="N20" s="101"/>
      <c r="O20" s="244"/>
      <c r="Q20" s="144"/>
    </row>
    <row r="21" spans="2:17" ht="16" x14ac:dyDescent="0.15">
      <c r="B21" s="136" t="s">
        <v>126</v>
      </c>
      <c r="C21" s="253">
        <f>+C17</f>
        <v>60000</v>
      </c>
      <c r="D21" s="238">
        <f>+C23</f>
        <v>60000</v>
      </c>
      <c r="E21" s="238">
        <f t="shared" ref="E21" si="5">+D23</f>
        <v>60000</v>
      </c>
      <c r="F21" s="238">
        <f t="shared" ref="F21" si="6">+E23</f>
        <v>60000</v>
      </c>
      <c r="G21" s="238">
        <f t="shared" ref="G21" si="7">+F23</f>
        <v>60000</v>
      </c>
      <c r="H21" s="238">
        <f t="shared" ref="H21" si="8">+G23</f>
        <v>60000</v>
      </c>
      <c r="I21" s="238">
        <f t="shared" ref="I21" si="9">+H23</f>
        <v>60000</v>
      </c>
      <c r="J21" s="238">
        <f t="shared" ref="J21" si="10">+I23</f>
        <v>60000</v>
      </c>
      <c r="K21" s="238">
        <f t="shared" ref="K21" si="11">+J23</f>
        <v>60000</v>
      </c>
      <c r="L21" s="238">
        <f t="shared" ref="L21" si="12">+K23</f>
        <v>60000</v>
      </c>
      <c r="M21" s="238">
        <f t="shared" ref="M21" si="13">+L23</f>
        <v>60000</v>
      </c>
      <c r="N21" s="238">
        <f t="shared" ref="N21" si="14">+M23</f>
        <v>60000</v>
      </c>
      <c r="O21" s="153"/>
      <c r="Q21" s="294"/>
    </row>
    <row r="22" spans="2:17" ht="16" x14ac:dyDescent="0.15">
      <c r="B22" s="246" t="s">
        <v>158</v>
      </c>
      <c r="C22" s="238">
        <f>IFERROR(VLOOKUP($B16,'Tab. 6'!$B$5:$D$7,3,0),0)*'Tab 5'!C$15+IFERROR(VLOOKUP($B16,'Tab. 6'!$B$12:$D$16,3,0),0)*'Tab 5'!C$28</f>
        <v>52198.030813963218</v>
      </c>
      <c r="D22" s="238">
        <f>IFERROR(VLOOKUP($B16,'Tab. 6'!$B$5:$D$7,3,0),0)*'Tab 5'!D$15+IFERROR(VLOOKUP($B16,'Tab. 6'!$B$12:$D$16,3,0),0)*'Tab 5'!D$28</f>
        <v>61002.600772020123</v>
      </c>
      <c r="E22" s="238">
        <f>IFERROR(VLOOKUP($B16,'Tab. 6'!$B$5:$D$7,3,0),0)*'Tab 5'!E$15+IFERROR(VLOOKUP($B16,'Tab. 6'!$B$12:$D$16,3,0),0)*'Tab 5'!E$28</f>
        <v>61002.600772020131</v>
      </c>
      <c r="F22" s="238">
        <f>IFERROR(VLOOKUP($B16,'Tab. 6'!$B$5:$D$7,3,0),0)*'Tab 5'!F$15+IFERROR(VLOOKUP($B16,'Tab. 6'!$B$12:$D$16,3,0),0)*'Tab 5'!F$28</f>
        <v>63907.486523068699</v>
      </c>
      <c r="G22" s="238">
        <f>IFERROR(VLOOKUP($B16,'Tab. 6'!$B$5:$D$7,3,0),0)*'Tab 5'!G$15+IFERROR(VLOOKUP($B16,'Tab. 6'!$B$12:$D$16,3,0),0)*'Tab 5'!G$28</f>
        <v>63907.486523068714</v>
      </c>
      <c r="H22" s="238">
        <f>IFERROR(VLOOKUP($B16,'Tab. 6'!$B$5:$D$7,3,0),0)*'Tab 5'!H$15+IFERROR(VLOOKUP($B16,'Tab. 6'!$B$12:$D$16,3,0),0)*'Tab 5'!H$28</f>
        <v>34858.629012582933</v>
      </c>
      <c r="I22" s="238">
        <f>IFERROR(VLOOKUP($B16,'Tab. 6'!$B$5:$D$7,3,0),0)*'Tab 5'!I$15+IFERROR(VLOOKUP($B16,'Tab. 6'!$B$12:$D$16,3,0),0)*'Tab 5'!I$28</f>
        <v>63907.486523068706</v>
      </c>
      <c r="J22" s="238">
        <f>IFERROR(VLOOKUP($B16,'Tab. 6'!$B$5:$D$7,3,0),0)*'Tab 5'!J$15+IFERROR(VLOOKUP($B16,'Tab. 6'!$B$12:$D$16,3,0),0)*'Tab 5'!J$28</f>
        <v>61002.600772020123</v>
      </c>
      <c r="K22" s="238">
        <f>IFERROR(VLOOKUP($B16,'Tab. 6'!$B$5:$D$7,3,0),0)*'Tab 5'!K$15+IFERROR(VLOOKUP($B16,'Tab. 6'!$B$12:$D$16,3,0),0)*'Tab 5'!K$28</f>
        <v>61002.600772020138</v>
      </c>
      <c r="L22" s="238">
        <f>IFERROR(VLOOKUP($B16,'Tab. 6'!$B$5:$D$7,3,0),0)*'Tab 5'!L$15+IFERROR(VLOOKUP($B16,'Tab. 6'!$B$12:$D$16,3,0),0)*'Tab 5'!L$28</f>
        <v>34858.629012582925</v>
      </c>
      <c r="M22" s="238">
        <f>IFERROR(VLOOKUP($B16,'Tab. 6'!$B$5:$D$7,3,0),0)*'Tab 5'!M$15+IFERROR(VLOOKUP($B16,'Tab. 6'!$B$12:$D$16,3,0),0)*'Tab 5'!M$28</f>
        <v>51363.459053081679</v>
      </c>
      <c r="N22" s="238">
        <f>IFERROR(VLOOKUP($B16,'Tab. 6'!$B$5:$D$7,3,0),0)*'Tab 5'!N$15+IFERROR(VLOOKUP($B16,'Tab. 6'!$B$12:$D$16,3,0),0)*'Tab 5'!N$28</f>
        <v>57070.510058979642</v>
      </c>
      <c r="O22" s="153">
        <f>SUM(C22:N22)</f>
        <v>666082.12060847692</v>
      </c>
      <c r="Q22" s="294">
        <f>IFERROR(VLOOKUP($B16,'Tab. 6'!$B$5:$D$7,3,0),0)*'Tab 5'!Q$15+IFERROR(VLOOKUP($B16,'Tab. 6'!$B$12:$D$16,3,0),0)*'Tab 5'!Q$28</f>
        <v>65631.086567826598</v>
      </c>
    </row>
    <row r="23" spans="2:17" ht="17" thickBot="1" x14ac:dyDescent="0.2">
      <c r="B23" s="246" t="s">
        <v>131</v>
      </c>
      <c r="C23" s="238">
        <f>+IF(D22/2&gt;=$C19,D22/2,$C19)</f>
        <v>60000</v>
      </c>
      <c r="D23" s="238">
        <f t="shared" ref="D23:M23" si="15">+IF(E22/2&gt;=$C19,E22/2,$C19)</f>
        <v>60000</v>
      </c>
      <c r="E23" s="238">
        <f t="shared" si="15"/>
        <v>60000</v>
      </c>
      <c r="F23" s="238">
        <f t="shared" si="15"/>
        <v>60000</v>
      </c>
      <c r="G23" s="238">
        <f t="shared" si="15"/>
        <v>60000</v>
      </c>
      <c r="H23" s="238">
        <f t="shared" si="15"/>
        <v>60000</v>
      </c>
      <c r="I23" s="238">
        <f t="shared" si="15"/>
        <v>60000</v>
      </c>
      <c r="J23" s="238">
        <f t="shared" si="15"/>
        <v>60000</v>
      </c>
      <c r="K23" s="238">
        <f t="shared" si="15"/>
        <v>60000</v>
      </c>
      <c r="L23" s="238">
        <f t="shared" si="15"/>
        <v>60000</v>
      </c>
      <c r="M23" s="238">
        <f t="shared" si="15"/>
        <v>60000</v>
      </c>
      <c r="N23" s="238">
        <f>+IF(Q22/2&gt;=$C19,Q22/2,$C19)</f>
        <v>60000</v>
      </c>
      <c r="O23" s="153"/>
      <c r="Q23" s="295"/>
    </row>
    <row r="24" spans="2:17" ht="17" thickBot="1" x14ac:dyDescent="0.2">
      <c r="B24" s="247" t="s">
        <v>159</v>
      </c>
      <c r="C24" s="242">
        <f>(C23-C21+C22)</f>
        <v>52198.030813963218</v>
      </c>
      <c r="D24" s="242">
        <f t="shared" ref="D24:N24" si="16">(D23-D21+D22)</f>
        <v>61002.600772020123</v>
      </c>
      <c r="E24" s="242">
        <f t="shared" si="16"/>
        <v>61002.600772020131</v>
      </c>
      <c r="F24" s="242">
        <f t="shared" si="16"/>
        <v>63907.486523068699</v>
      </c>
      <c r="G24" s="242">
        <f t="shared" si="16"/>
        <v>63907.486523068714</v>
      </c>
      <c r="H24" s="242">
        <f t="shared" si="16"/>
        <v>34858.629012582933</v>
      </c>
      <c r="I24" s="242">
        <f t="shared" si="16"/>
        <v>63907.486523068706</v>
      </c>
      <c r="J24" s="242">
        <f t="shared" si="16"/>
        <v>61002.600772020123</v>
      </c>
      <c r="K24" s="242">
        <f t="shared" si="16"/>
        <v>61002.600772020138</v>
      </c>
      <c r="L24" s="242">
        <f t="shared" si="16"/>
        <v>34858.629012582925</v>
      </c>
      <c r="M24" s="242">
        <f t="shared" si="16"/>
        <v>51363.459053081679</v>
      </c>
      <c r="N24" s="242">
        <f t="shared" si="16"/>
        <v>57070.510058979642</v>
      </c>
      <c r="O24" s="252">
        <f>SUM(C24:N24)</f>
        <v>666082.12060847692</v>
      </c>
    </row>
    <row r="25" spans="2:17" ht="16" x14ac:dyDescent="0.15">
      <c r="B25" s="282" t="s">
        <v>139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244"/>
      <c r="Q25" s="143"/>
    </row>
    <row r="26" spans="2:17" ht="16" x14ac:dyDescent="0.15">
      <c r="B26" s="284" t="s">
        <v>127</v>
      </c>
      <c r="C26" s="283">
        <f>VLOOKUP(B25,'Tab. 6'!$B$38:$C$44,2,0)</f>
        <v>62800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244"/>
      <c r="Q26" s="144"/>
    </row>
    <row r="27" spans="2:17" ht="16" x14ac:dyDescent="0.15">
      <c r="B27" s="284" t="s">
        <v>156</v>
      </c>
      <c r="C27" s="283">
        <f>VLOOKUP(B25,'Tab. 6'!$B$25:$D$31,2,0)</f>
        <v>15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244"/>
      <c r="Q27" s="144"/>
    </row>
    <row r="28" spans="2:17" ht="16" x14ac:dyDescent="0.15">
      <c r="B28" s="284" t="s">
        <v>157</v>
      </c>
      <c r="C28" s="283">
        <f>VLOOKUP(B25,'Tab. 6'!$B$25:$D$31,3,0)</f>
        <v>62800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244"/>
      <c r="Q28" s="144"/>
    </row>
    <row r="29" spans="2:17" ht="16" x14ac:dyDescent="0.15">
      <c r="B29" s="136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244"/>
      <c r="Q29" s="144"/>
    </row>
    <row r="30" spans="2:17" ht="16" x14ac:dyDescent="0.15">
      <c r="B30" s="136" t="s">
        <v>126</v>
      </c>
      <c r="C30" s="253">
        <f>+C26</f>
        <v>62800</v>
      </c>
      <c r="D30" s="238">
        <f>+C32</f>
        <v>62800</v>
      </c>
      <c r="E30" s="238">
        <f t="shared" ref="E30" si="17">+D32</f>
        <v>62800</v>
      </c>
      <c r="F30" s="238">
        <f t="shared" ref="F30" si="18">+E32</f>
        <v>62800</v>
      </c>
      <c r="G30" s="238">
        <f t="shared" ref="G30" si="19">+F32</f>
        <v>62800</v>
      </c>
      <c r="H30" s="238">
        <f t="shared" ref="H30" si="20">+G32</f>
        <v>62800</v>
      </c>
      <c r="I30" s="238">
        <f t="shared" ref="I30" si="21">+H32</f>
        <v>62800</v>
      </c>
      <c r="J30" s="238">
        <f t="shared" ref="J30" si="22">+I32</f>
        <v>62800</v>
      </c>
      <c r="K30" s="238">
        <f t="shared" ref="K30" si="23">+J32</f>
        <v>62800</v>
      </c>
      <c r="L30" s="238">
        <f t="shared" ref="L30" si="24">+K32</f>
        <v>62800</v>
      </c>
      <c r="M30" s="238">
        <f t="shared" ref="M30" si="25">+L32</f>
        <v>62800</v>
      </c>
      <c r="N30" s="238">
        <f t="shared" ref="N30" si="26">+M32</f>
        <v>62800</v>
      </c>
      <c r="O30" s="153"/>
      <c r="Q30" s="294"/>
    </row>
    <row r="31" spans="2:17" ht="16" x14ac:dyDescent="0.15">
      <c r="B31" s="246" t="s">
        <v>158</v>
      </c>
      <c r="C31" s="238">
        <f>IFERROR(VLOOKUP($B25,'Tab. 6'!$B$5:$D$7,3,0),0)*'Tab 5'!C$15+IFERROR(VLOOKUP($B25,'Tab. 6'!$B$12:$D$16,3,0),0)*'Tab 5'!C$28</f>
        <v>55084.729428936451</v>
      </c>
      <c r="D31" s="238">
        <f>IFERROR(VLOOKUP($B25,'Tab. 6'!$B$5:$D$7,3,0),0)*'Tab 5'!D$15+IFERROR(VLOOKUP($B25,'Tab. 6'!$B$12:$D$16,3,0),0)*'Tab 5'!D$28</f>
        <v>63995.535783171807</v>
      </c>
      <c r="E31" s="238">
        <f>IFERROR(VLOOKUP($B25,'Tab. 6'!$B$5:$D$7,3,0),0)*'Tab 5'!E$15+IFERROR(VLOOKUP($B25,'Tab. 6'!$B$12:$D$16,3,0),0)*'Tab 5'!E$28</f>
        <v>64138.05649798856</v>
      </c>
      <c r="F31" s="238">
        <f>IFERROR(VLOOKUP($B25,'Tab. 6'!$B$5:$D$7,3,0),0)*'Tab 5'!F$15+IFERROR(VLOOKUP($B25,'Tab. 6'!$B$12:$D$16,3,0),0)*'Tab 5'!F$28</f>
        <v>67042.942249037122</v>
      </c>
      <c r="G31" s="238">
        <f>IFERROR(VLOOKUP($B25,'Tab. 6'!$B$5:$D$7,3,0),0)*'Tab 5'!G$15+IFERROR(VLOOKUP($B25,'Tab. 6'!$B$12:$D$16,3,0),0)*'Tab 5'!G$28</f>
        <v>65617.735100869671</v>
      </c>
      <c r="H31" s="238">
        <f>IFERROR(VLOOKUP($B25,'Tab. 6'!$B$5:$D$7,3,0),0)*'Tab 5'!H$15+IFERROR(VLOOKUP($B25,'Tab. 6'!$B$12:$D$16,3,0),0)*'Tab 5'!H$28</f>
        <v>37994.084738551363</v>
      </c>
      <c r="I31" s="238">
        <f>IFERROR(VLOOKUP($B25,'Tab. 6'!$B$5:$D$7,3,0),0)*'Tab 5'!I$15+IFERROR(VLOOKUP($B25,'Tab. 6'!$B$12:$D$16,3,0),0)*'Tab 5'!I$28</f>
        <v>66900.421534220382</v>
      </c>
      <c r="J31" s="238">
        <f>IFERROR(VLOOKUP($B25,'Tab. 6'!$B$5:$D$7,3,0),0)*'Tab 5'!J$15+IFERROR(VLOOKUP($B25,'Tab. 6'!$B$12:$D$16,3,0),0)*'Tab 5'!J$28</f>
        <v>63995.535783171807</v>
      </c>
      <c r="K31" s="238">
        <f>IFERROR(VLOOKUP($B25,'Tab. 6'!$B$5:$D$7,3,0),0)*'Tab 5'!K$15+IFERROR(VLOOKUP($B25,'Tab. 6'!$B$12:$D$16,3,0),0)*'Tab 5'!K$28</f>
        <v>62712.849349821096</v>
      </c>
      <c r="L31" s="238">
        <f>IFERROR(VLOOKUP($B25,'Tab. 6'!$B$5:$D$7,3,0),0)*'Tab 5'!L$15+IFERROR(VLOOKUP($B25,'Tab. 6'!$B$12:$D$16,3,0),0)*'Tab 5'!L$28</f>
        <v>37571.709677043931</v>
      </c>
      <c r="M31" s="238">
        <f>IFERROR(VLOOKUP($B25,'Tab. 6'!$B$5:$D$7,3,0),0)*'Tab 5'!M$15+IFERROR(VLOOKUP($B25,'Tab. 6'!$B$12:$D$16,3,0),0)*'Tab 5'!M$28</f>
        <v>54377.993124705012</v>
      </c>
      <c r="N31" s="238">
        <f>IFERROR(VLOOKUP($B25,'Tab. 6'!$B$5:$D$7,3,0),0)*'Tab 5'!N$15+IFERROR(VLOOKUP($B25,'Tab. 6'!$B$12:$D$16,3,0),0)*'Tab 5'!N$28</f>
        <v>60537.224241346477</v>
      </c>
      <c r="O31" s="153">
        <f>SUM(C31:N31)</f>
        <v>699968.81750886375</v>
      </c>
      <c r="Q31" s="294">
        <f>IFERROR(VLOOKUP($B25,'Tab. 6'!$B$5:$D$7,3,0),0)*'Tab 5'!Q$15+IFERROR(VLOOKUP($B25,'Tab. 6'!$B$12:$D$16,3,0),0)*'Tab 5'!Q$28</f>
        <v>68796.347343031099</v>
      </c>
    </row>
    <row r="32" spans="2:17" ht="17" thickBot="1" x14ac:dyDescent="0.2">
      <c r="B32" s="246" t="s">
        <v>131</v>
      </c>
      <c r="C32" s="238">
        <f>+IF(D31/2&gt;=$C28,D31/2,$C28)</f>
        <v>62800</v>
      </c>
      <c r="D32" s="238">
        <f t="shared" ref="D32:M32" si="27">+IF(E31/2&gt;=$C28,E31/2,$C28)</f>
        <v>62800</v>
      </c>
      <c r="E32" s="238">
        <f t="shared" si="27"/>
        <v>62800</v>
      </c>
      <c r="F32" s="238">
        <f t="shared" si="27"/>
        <v>62800</v>
      </c>
      <c r="G32" s="238">
        <f t="shared" si="27"/>
        <v>62800</v>
      </c>
      <c r="H32" s="238">
        <f t="shared" si="27"/>
        <v>62800</v>
      </c>
      <c r="I32" s="238">
        <f t="shared" si="27"/>
        <v>62800</v>
      </c>
      <c r="J32" s="238">
        <f t="shared" si="27"/>
        <v>62800</v>
      </c>
      <c r="K32" s="238">
        <f t="shared" si="27"/>
        <v>62800</v>
      </c>
      <c r="L32" s="238">
        <f t="shared" si="27"/>
        <v>62800</v>
      </c>
      <c r="M32" s="238">
        <f t="shared" si="27"/>
        <v>62800</v>
      </c>
      <c r="N32" s="238">
        <f>+IF(Q31/2&gt;=$C28,Q31/2,$C28)</f>
        <v>62800</v>
      </c>
      <c r="O32" s="153"/>
      <c r="Q32" s="295"/>
    </row>
    <row r="33" spans="2:17" ht="17" thickBot="1" x14ac:dyDescent="0.2">
      <c r="B33" s="247" t="s">
        <v>159</v>
      </c>
      <c r="C33" s="242">
        <f>(C32-C30+C31)</f>
        <v>55084.729428936451</v>
      </c>
      <c r="D33" s="242">
        <f t="shared" ref="D33:N33" si="28">(D32-D30+D31)</f>
        <v>63995.535783171807</v>
      </c>
      <c r="E33" s="242">
        <f t="shared" si="28"/>
        <v>64138.05649798856</v>
      </c>
      <c r="F33" s="242">
        <f t="shared" si="28"/>
        <v>67042.942249037122</v>
      </c>
      <c r="G33" s="242">
        <f t="shared" si="28"/>
        <v>65617.735100869671</v>
      </c>
      <c r="H33" s="242">
        <f t="shared" si="28"/>
        <v>37994.084738551363</v>
      </c>
      <c r="I33" s="242">
        <f t="shared" si="28"/>
        <v>66900.421534220382</v>
      </c>
      <c r="J33" s="242">
        <f t="shared" si="28"/>
        <v>63995.535783171807</v>
      </c>
      <c r="K33" s="242">
        <f t="shared" si="28"/>
        <v>62712.849349821096</v>
      </c>
      <c r="L33" s="242">
        <f t="shared" si="28"/>
        <v>37571.709677043931</v>
      </c>
      <c r="M33" s="242">
        <f t="shared" si="28"/>
        <v>54377.993124705012</v>
      </c>
      <c r="N33" s="242">
        <f t="shared" si="28"/>
        <v>60537.224241346477</v>
      </c>
      <c r="O33" s="252">
        <f>SUM(C33:N33)</f>
        <v>699968.81750886375</v>
      </c>
    </row>
    <row r="34" spans="2:17" ht="16" x14ac:dyDescent="0.15">
      <c r="B34" s="282" t="s">
        <v>85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244"/>
      <c r="Q34" s="143"/>
    </row>
    <row r="35" spans="2:17" ht="16" x14ac:dyDescent="0.15">
      <c r="B35" s="284" t="s">
        <v>127</v>
      </c>
      <c r="C35" s="283">
        <f>VLOOKUP(B34,'Tab. 6'!$B$38:$C$44,2,0)</f>
        <v>3500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244"/>
      <c r="Q35" s="144"/>
    </row>
    <row r="36" spans="2:17" ht="16" x14ac:dyDescent="0.15">
      <c r="B36" s="284" t="s">
        <v>156</v>
      </c>
      <c r="C36" s="283">
        <f>VLOOKUP(B34,'Tab. 6'!$B$25:$D$31,2,0)</f>
        <v>30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244"/>
      <c r="Q36" s="144"/>
    </row>
    <row r="37" spans="2:17" ht="16" x14ac:dyDescent="0.15">
      <c r="B37" s="284" t="s">
        <v>157</v>
      </c>
      <c r="C37" s="283">
        <f>VLOOKUP(B34,'Tab. 6'!$B$25:$D$31,3,0)</f>
        <v>3500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244"/>
      <c r="Q37" s="144"/>
    </row>
    <row r="38" spans="2:17" ht="16" x14ac:dyDescent="0.15">
      <c r="B38" s="136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244"/>
      <c r="Q38" s="144"/>
    </row>
    <row r="39" spans="2:17" ht="16" x14ac:dyDescent="0.15">
      <c r="B39" s="136" t="s">
        <v>126</v>
      </c>
      <c r="C39" s="253">
        <f>+C35</f>
        <v>3500</v>
      </c>
      <c r="D39" s="238">
        <f>+C41</f>
        <v>3500</v>
      </c>
      <c r="E39" s="238">
        <f t="shared" ref="E39" si="29">+D41</f>
        <v>3500</v>
      </c>
      <c r="F39" s="238">
        <f t="shared" ref="F39" si="30">+E41</f>
        <v>3500</v>
      </c>
      <c r="G39" s="238">
        <f t="shared" ref="G39" si="31">+F41</f>
        <v>3500</v>
      </c>
      <c r="H39" s="238">
        <f t="shared" ref="H39" si="32">+G41</f>
        <v>3500</v>
      </c>
      <c r="I39" s="238">
        <f t="shared" ref="I39" si="33">+H41</f>
        <v>3500</v>
      </c>
      <c r="J39" s="238">
        <f t="shared" ref="J39" si="34">+I41</f>
        <v>3500</v>
      </c>
      <c r="K39" s="238">
        <f t="shared" ref="K39" si="35">+J41</f>
        <v>3500</v>
      </c>
      <c r="L39" s="238">
        <f t="shared" ref="L39" si="36">+K41</f>
        <v>3500</v>
      </c>
      <c r="M39" s="238">
        <f t="shared" ref="M39" si="37">+L41</f>
        <v>3500</v>
      </c>
      <c r="N39" s="238">
        <f t="shared" ref="N39" si="38">+M41</f>
        <v>3500</v>
      </c>
      <c r="O39" s="153"/>
      <c r="Q39" s="294"/>
    </row>
    <row r="40" spans="2:17" ht="16" x14ac:dyDescent="0.15">
      <c r="B40" s="246" t="s">
        <v>158</v>
      </c>
      <c r="C40" s="238">
        <f>IFERROR(VLOOKUP($B34,'Tab. 6'!$B$5:$D$7,3,0),0)*'Tab 5'!C$15+IFERROR(VLOOKUP($B34,'Tab. 6'!$B$12:$D$16,3,0),0)*'Tab 5'!C$28</f>
        <v>1804.186634358271</v>
      </c>
      <c r="D40" s="238">
        <f>IFERROR(VLOOKUP($B34,'Tab. 6'!$B$5:$D$7,3,0),0)*'Tab 5'!D$15+IFERROR(VLOOKUP($B34,'Tab. 6'!$B$12:$D$16,3,0),0)*'Tab 5'!D$28</f>
        <v>1870.5843819698021</v>
      </c>
      <c r="E40" s="238">
        <f>IFERROR(VLOOKUP($B34,'Tab. 6'!$B$5:$D$7,3,0),0)*'Tab 5'!E$15+IFERROR(VLOOKUP($B34,'Tab. 6'!$B$12:$D$16,3,0),0)*'Tab 5'!E$28</f>
        <v>1959.6598287302672</v>
      </c>
      <c r="F40" s="238">
        <f>IFERROR(VLOOKUP($B34,'Tab. 6'!$B$5:$D$7,3,0),0)*'Tab 5'!F$15+IFERROR(VLOOKUP($B34,'Tab. 6'!$B$12:$D$16,3,0),0)*'Tab 5'!F$28</f>
        <v>1959.6598287302677</v>
      </c>
      <c r="G40" s="238">
        <f>IFERROR(VLOOKUP($B34,'Tab. 6'!$B$5:$D$7,3,0),0)*'Tab 5'!G$15+IFERROR(VLOOKUP($B34,'Tab. 6'!$B$12:$D$16,3,0),0)*'Tab 5'!G$28</f>
        <v>1068.9053611256004</v>
      </c>
      <c r="H40" s="238">
        <f>IFERROR(VLOOKUP($B34,'Tab. 6'!$B$5:$D$7,3,0),0)*'Tab 5'!H$15+IFERROR(VLOOKUP($B34,'Tab. 6'!$B$12:$D$16,3,0),0)*'Tab 5'!H$28</f>
        <v>1959.6598287302677</v>
      </c>
      <c r="I40" s="238">
        <f>IFERROR(VLOOKUP($B34,'Tab. 6'!$B$5:$D$7,3,0),0)*'Tab 5'!I$15+IFERROR(VLOOKUP($B34,'Tab. 6'!$B$12:$D$16,3,0),0)*'Tab 5'!I$28</f>
        <v>1870.5843819698011</v>
      </c>
      <c r="J40" s="238">
        <f>IFERROR(VLOOKUP($B34,'Tab. 6'!$B$5:$D$7,3,0),0)*'Tab 5'!J$15+IFERROR(VLOOKUP($B34,'Tab. 6'!$B$12:$D$16,3,0),0)*'Tab 5'!J$28</f>
        <v>1870.5843819698014</v>
      </c>
      <c r="K40" s="238">
        <f>IFERROR(VLOOKUP($B34,'Tab. 6'!$B$5:$D$7,3,0),0)*'Tab 5'!K$15+IFERROR(VLOOKUP($B34,'Tab. 6'!$B$12:$D$16,3,0),0)*'Tab 5'!K$28</f>
        <v>1068.9053611256004</v>
      </c>
      <c r="L40" s="238">
        <f>IFERROR(VLOOKUP($B34,'Tab. 6'!$B$5:$D$7,3,0),0)*'Tab 5'!L$15+IFERROR(VLOOKUP($B34,'Tab. 6'!$B$12:$D$16,3,0),0)*'Tab 5'!L$28</f>
        <v>1695.6754152881267</v>
      </c>
      <c r="M40" s="238">
        <f>IFERROR(VLOOKUP($B34,'Tab. 6'!$B$5:$D$7,3,0),0)*'Tab 5'!M$15+IFERROR(VLOOKUP($B34,'Tab. 6'!$B$12:$D$16,3,0),0)*'Tab 5'!M$28</f>
        <v>1884.0837947645841</v>
      </c>
      <c r="N40" s="238">
        <f>IFERROR(VLOOKUP($B34,'Tab. 6'!$B$5:$D$7,3,0),0)*'Tab 5'!N$15+IFERROR(VLOOKUP($B34,'Tab. 6'!$B$12:$D$16,3,0),0)*'Tab 5'!N$28</f>
        <v>2166.6963639792721</v>
      </c>
      <c r="O40" s="153">
        <f>SUM(C40:N40)</f>
        <v>21179.185562741666</v>
      </c>
      <c r="Q40" s="294">
        <f>IFERROR(VLOOKUP($B34,'Tab. 6'!$B$5:$D$7,3,0),0)*'Tab 5'!Q$15+IFERROR(VLOOKUP($B34,'Tab. 6'!$B$12:$D$16,3,0),0)*'Tab 5'!Q$28</f>
        <v>1978.2879845028142</v>
      </c>
    </row>
    <row r="41" spans="2:17" ht="17" thickBot="1" x14ac:dyDescent="0.2">
      <c r="B41" s="246" t="s">
        <v>131</v>
      </c>
      <c r="C41" s="238">
        <f>+IF(D40&gt;=$C37,D40,$C37)</f>
        <v>3500</v>
      </c>
      <c r="D41" s="238">
        <f t="shared" ref="D41:G41" si="39">+IF(E40&gt;=$C37,E40,$C37)</f>
        <v>3500</v>
      </c>
      <c r="E41" s="238">
        <f t="shared" si="39"/>
        <v>3500</v>
      </c>
      <c r="F41" s="238">
        <f t="shared" si="39"/>
        <v>3500</v>
      </c>
      <c r="G41" s="238">
        <f t="shared" si="39"/>
        <v>3500</v>
      </c>
      <c r="H41" s="238">
        <f>+IF(I40&gt;=$C37,I40,$C37)</f>
        <v>3500</v>
      </c>
      <c r="I41" s="238">
        <f>+IF(J40&gt;=$C37,J40,$C37)</f>
        <v>3500</v>
      </c>
      <c r="J41" s="238">
        <f>+IF(K40&gt;=$C37,K40,$C37)</f>
        <v>3500</v>
      </c>
      <c r="K41" s="238">
        <f t="shared" ref="K41" si="40">+IF(L40&gt;=$C37,L40,$C37)</f>
        <v>3500</v>
      </c>
      <c r="L41" s="238">
        <f>+IF(M40&gt;=$C37,M40,$C37)</f>
        <v>3500</v>
      </c>
      <c r="M41" s="238">
        <f t="shared" ref="M41" si="41">+IF(N40&gt;=$C37,N40,$C37)</f>
        <v>3500</v>
      </c>
      <c r="N41" s="238">
        <f>+IF(Q40&gt;=$C37,Q40,$C37)</f>
        <v>3500</v>
      </c>
      <c r="O41" s="153"/>
      <c r="Q41" s="295"/>
    </row>
    <row r="42" spans="2:17" ht="17" thickBot="1" x14ac:dyDescent="0.2">
      <c r="B42" s="247" t="s">
        <v>159</v>
      </c>
      <c r="C42" s="242">
        <f>(C41-C39+C40)</f>
        <v>1804.186634358271</v>
      </c>
      <c r="D42" s="242">
        <f t="shared" ref="D42:N42" si="42">(D41-D39+D40)</f>
        <v>1870.5843819698021</v>
      </c>
      <c r="E42" s="242">
        <f t="shared" si="42"/>
        <v>1959.6598287302672</v>
      </c>
      <c r="F42" s="242">
        <f t="shared" si="42"/>
        <v>1959.6598287302677</v>
      </c>
      <c r="G42" s="242">
        <f t="shared" si="42"/>
        <v>1068.9053611256004</v>
      </c>
      <c r="H42" s="242">
        <f t="shared" si="42"/>
        <v>1959.6598287302677</v>
      </c>
      <c r="I42" s="242">
        <f t="shared" si="42"/>
        <v>1870.5843819698011</v>
      </c>
      <c r="J42" s="242">
        <f t="shared" si="42"/>
        <v>1870.5843819698014</v>
      </c>
      <c r="K42" s="242">
        <f t="shared" si="42"/>
        <v>1068.9053611256004</v>
      </c>
      <c r="L42" s="242">
        <f t="shared" si="42"/>
        <v>1695.6754152881267</v>
      </c>
      <c r="M42" s="242">
        <f t="shared" si="42"/>
        <v>1884.0837947645841</v>
      </c>
      <c r="N42" s="242">
        <f t="shared" si="42"/>
        <v>2166.6963639792721</v>
      </c>
      <c r="O42" s="252">
        <f>SUM(C42:N42)</f>
        <v>21179.185562741666</v>
      </c>
    </row>
    <row r="43" spans="2:17" ht="16" x14ac:dyDescent="0.15">
      <c r="B43" s="282" t="s">
        <v>145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244"/>
      <c r="Q43" s="143"/>
    </row>
    <row r="44" spans="2:17" ht="16" x14ac:dyDescent="0.15">
      <c r="B44" s="284" t="s">
        <v>127</v>
      </c>
      <c r="C44" s="283">
        <f>VLOOKUP(B43,'Tab. 6'!$B$38:$C$44,2,0)</f>
        <v>7000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244"/>
      <c r="Q44" s="144"/>
    </row>
    <row r="45" spans="2:17" ht="16" x14ac:dyDescent="0.15">
      <c r="B45" s="284" t="s">
        <v>156</v>
      </c>
      <c r="C45" s="283">
        <f>VLOOKUP(B43,'Tab. 6'!$B$25:$D$31,2,0)</f>
        <v>30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244"/>
      <c r="Q45" s="144"/>
    </row>
    <row r="46" spans="2:17" ht="16" x14ac:dyDescent="0.15">
      <c r="B46" s="284" t="s">
        <v>157</v>
      </c>
      <c r="C46" s="283">
        <f>VLOOKUP(B43,'Tab. 6'!$B$25:$D$31,3,0)</f>
        <v>7000.0019999999995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244"/>
      <c r="Q46" s="144"/>
    </row>
    <row r="47" spans="2:17" ht="16" x14ac:dyDescent="0.15">
      <c r="B47" s="136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244"/>
      <c r="Q47" s="144"/>
    </row>
    <row r="48" spans="2:17" ht="16" x14ac:dyDescent="0.15">
      <c r="B48" s="136" t="s">
        <v>126</v>
      </c>
      <c r="C48" s="253">
        <f>+C44</f>
        <v>7000</v>
      </c>
      <c r="D48" s="238">
        <f>+C50</f>
        <v>7482.3375278792082</v>
      </c>
      <c r="E48" s="238">
        <f t="shared" ref="E48" si="43">+D50</f>
        <v>7838.6393149210689</v>
      </c>
      <c r="F48" s="238">
        <f t="shared" ref="F48" si="44">+E50</f>
        <v>7838.6393149210708</v>
      </c>
      <c r="G48" s="238">
        <f t="shared" ref="G48" si="45">+F50</f>
        <v>7000.0019999999995</v>
      </c>
      <c r="H48" s="238">
        <f t="shared" ref="H48" si="46">+G50</f>
        <v>7838.6393149210708</v>
      </c>
      <c r="I48" s="238">
        <f t="shared" ref="I48" si="47">+H50</f>
        <v>7482.3375278792046</v>
      </c>
      <c r="J48" s="238">
        <f t="shared" ref="J48" si="48">+I50</f>
        <v>7482.3375278792055</v>
      </c>
      <c r="K48" s="238">
        <f t="shared" ref="K48" si="49">+J50</f>
        <v>7000.0019999999995</v>
      </c>
      <c r="L48" s="238">
        <f t="shared" ref="L48" si="50">+K50</f>
        <v>7000.0019999999995</v>
      </c>
      <c r="M48" s="238">
        <f t="shared" ref="M48" si="51">+L50</f>
        <v>7536.3351790583365</v>
      </c>
      <c r="N48" s="238">
        <f t="shared" ref="N48" si="52">+M50</f>
        <v>8666.7854559170883</v>
      </c>
      <c r="O48" s="153"/>
      <c r="Q48" s="294"/>
    </row>
    <row r="49" spans="2:17" ht="16" x14ac:dyDescent="0.15">
      <c r="B49" s="246" t="s">
        <v>158</v>
      </c>
      <c r="C49" s="238">
        <f>IFERROR(VLOOKUP($B43,'Tab. 6'!$B$5:$D$7,3,0),0)*'Tab 5'!C$15+IFERROR(VLOOKUP($B43,'Tab. 6'!$B$12:$D$16,3,0),0)*'Tab 5'!C$28</f>
        <v>7216.7465374330841</v>
      </c>
      <c r="D49" s="238">
        <f>IFERROR(VLOOKUP($B43,'Tab. 6'!$B$5:$D$7,3,0),0)*'Tab 5'!D$15+IFERROR(VLOOKUP($B43,'Tab. 6'!$B$12:$D$16,3,0),0)*'Tab 5'!D$28</f>
        <v>7482.3375278792082</v>
      </c>
      <c r="E49" s="238">
        <f>IFERROR(VLOOKUP($B43,'Tab. 6'!$B$5:$D$7,3,0),0)*'Tab 5'!E$15+IFERROR(VLOOKUP($B43,'Tab. 6'!$B$12:$D$16,3,0),0)*'Tab 5'!E$28</f>
        <v>7838.6393149210689</v>
      </c>
      <c r="F49" s="238">
        <f>IFERROR(VLOOKUP($B43,'Tab. 6'!$B$5:$D$7,3,0),0)*'Tab 5'!F$15+IFERROR(VLOOKUP($B43,'Tab. 6'!$B$12:$D$16,3,0),0)*'Tab 5'!F$28</f>
        <v>7838.6393149210708</v>
      </c>
      <c r="G49" s="238">
        <f>IFERROR(VLOOKUP($B43,'Tab. 6'!$B$5:$D$7,3,0),0)*'Tab 5'!G$15+IFERROR(VLOOKUP($B43,'Tab. 6'!$B$12:$D$16,3,0),0)*'Tab 5'!G$28</f>
        <v>4275.6214445024016</v>
      </c>
      <c r="H49" s="238">
        <f>IFERROR(VLOOKUP($B43,'Tab. 6'!$B$5:$D$7,3,0),0)*'Tab 5'!H$15+IFERROR(VLOOKUP($B43,'Tab. 6'!$B$12:$D$16,3,0),0)*'Tab 5'!H$28</f>
        <v>7838.6393149210708</v>
      </c>
      <c r="I49" s="238">
        <f>IFERROR(VLOOKUP($B43,'Tab. 6'!$B$5:$D$7,3,0),0)*'Tab 5'!I$15+IFERROR(VLOOKUP($B43,'Tab. 6'!$B$12:$D$16,3,0),0)*'Tab 5'!I$28</f>
        <v>7482.3375278792046</v>
      </c>
      <c r="J49" s="238">
        <f>IFERROR(VLOOKUP($B43,'Tab. 6'!$B$5:$D$7,3,0),0)*'Tab 5'!J$15+IFERROR(VLOOKUP($B43,'Tab. 6'!$B$12:$D$16,3,0),0)*'Tab 5'!J$28</f>
        <v>7482.3375278792055</v>
      </c>
      <c r="K49" s="238">
        <f>IFERROR(VLOOKUP($B43,'Tab. 6'!$B$5:$D$7,3,0),0)*'Tab 5'!K$15+IFERROR(VLOOKUP($B43,'Tab. 6'!$B$12:$D$16,3,0),0)*'Tab 5'!K$28</f>
        <v>4275.6214445024016</v>
      </c>
      <c r="L49" s="238">
        <f>IFERROR(VLOOKUP($B43,'Tab. 6'!$B$5:$D$7,3,0),0)*'Tab 5'!L$15+IFERROR(VLOOKUP($B43,'Tab. 6'!$B$12:$D$16,3,0),0)*'Tab 5'!L$28</f>
        <v>6782.7016611525069</v>
      </c>
      <c r="M49" s="238">
        <f>IFERROR(VLOOKUP($B43,'Tab. 6'!$B$5:$D$7,3,0),0)*'Tab 5'!M$15+IFERROR(VLOOKUP($B43,'Tab. 6'!$B$12:$D$16,3,0),0)*'Tab 5'!M$28</f>
        <v>7536.3351790583365</v>
      </c>
      <c r="N49" s="238">
        <f>IFERROR(VLOOKUP($B43,'Tab. 6'!$B$5:$D$7,3,0),0)*'Tab 5'!N$15+IFERROR(VLOOKUP($B43,'Tab. 6'!$B$12:$D$16,3,0),0)*'Tab 5'!N$28</f>
        <v>8666.7854559170883</v>
      </c>
      <c r="O49" s="153">
        <f>SUM(C49:N49)</f>
        <v>84716.742250966665</v>
      </c>
      <c r="Q49" s="294">
        <f>IFERROR(VLOOKUP($B43,'Tab. 6'!$B$5:$D$7,3,0),0)*'Tab 5'!Q$15+IFERROR(VLOOKUP($B43,'Tab. 6'!$B$12:$D$16,3,0),0)*'Tab 5'!Q$28</f>
        <v>7913.1519380112568</v>
      </c>
    </row>
    <row r="50" spans="2:17" ht="17" thickBot="1" x14ac:dyDescent="0.2">
      <c r="B50" s="246" t="s">
        <v>131</v>
      </c>
      <c r="C50" s="238">
        <f>+IF(D49&gt;=$C46,D49,$C46)</f>
        <v>7482.3375278792082</v>
      </c>
      <c r="D50" s="238">
        <f t="shared" ref="D50:G50" si="53">+IF(E49&gt;=$C46,E49,$C46)</f>
        <v>7838.6393149210689</v>
      </c>
      <c r="E50" s="238">
        <f t="shared" si="53"/>
        <v>7838.6393149210708</v>
      </c>
      <c r="F50" s="238">
        <f t="shared" si="53"/>
        <v>7000.0019999999995</v>
      </c>
      <c r="G50" s="238">
        <f t="shared" si="53"/>
        <v>7838.6393149210708</v>
      </c>
      <c r="H50" s="238">
        <f>+IF(I49&gt;=$C46,I49,$C46)</f>
        <v>7482.3375278792046</v>
      </c>
      <c r="I50" s="238">
        <f>+IF(J49&gt;=$C46,J49,$C46)</f>
        <v>7482.3375278792055</v>
      </c>
      <c r="J50" s="238">
        <f>+IF(K49&gt;=$C46,K49,$C46)</f>
        <v>7000.0019999999995</v>
      </c>
      <c r="K50" s="238">
        <f t="shared" ref="K50" si="54">+IF(L49&gt;=$C46,L49,$C46)</f>
        <v>7000.0019999999995</v>
      </c>
      <c r="L50" s="238">
        <f>+IF(M49&gt;=$C46,M49,$C46)</f>
        <v>7536.3351790583365</v>
      </c>
      <c r="M50" s="238">
        <f t="shared" ref="M50" si="55">+IF(N49&gt;=$C46,N49,$C46)</f>
        <v>8666.7854559170883</v>
      </c>
      <c r="N50" s="238">
        <f>+IF(Q49&gt;=$C46,Q49,$C46)</f>
        <v>7913.1519380112568</v>
      </c>
      <c r="O50" s="153"/>
      <c r="Q50" s="295"/>
    </row>
    <row r="51" spans="2:17" ht="17" thickBot="1" x14ac:dyDescent="0.2">
      <c r="B51" s="247" t="s">
        <v>159</v>
      </c>
      <c r="C51" s="242">
        <f>(C50-C48+C49)</f>
        <v>7699.0840653122923</v>
      </c>
      <c r="D51" s="242">
        <f t="shared" ref="D51:N51" si="56">(D50-D48+D49)</f>
        <v>7838.6393149210689</v>
      </c>
      <c r="E51" s="242">
        <f t="shared" si="56"/>
        <v>7838.6393149210708</v>
      </c>
      <c r="F51" s="242">
        <f t="shared" si="56"/>
        <v>7000.0019999999995</v>
      </c>
      <c r="G51" s="242">
        <f t="shared" si="56"/>
        <v>5114.2587594234728</v>
      </c>
      <c r="H51" s="242">
        <f t="shared" si="56"/>
        <v>7482.3375278792046</v>
      </c>
      <c r="I51" s="242">
        <f t="shared" si="56"/>
        <v>7482.3375278792055</v>
      </c>
      <c r="J51" s="242">
        <f t="shared" si="56"/>
        <v>7000.0019999999995</v>
      </c>
      <c r="K51" s="242">
        <f t="shared" si="56"/>
        <v>4275.6214445024016</v>
      </c>
      <c r="L51" s="242">
        <f t="shared" si="56"/>
        <v>7319.0348402108439</v>
      </c>
      <c r="M51" s="242">
        <f t="shared" si="56"/>
        <v>8666.7854559170883</v>
      </c>
      <c r="N51" s="242">
        <f t="shared" si="56"/>
        <v>7913.1519380112568</v>
      </c>
      <c r="O51" s="252">
        <f>SUM(C51:N51)</f>
        <v>85629.894188977923</v>
      </c>
    </row>
    <row r="52" spans="2:17" ht="16" x14ac:dyDescent="0.15">
      <c r="B52" s="282" t="s">
        <v>146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244"/>
      <c r="Q52" s="143"/>
    </row>
    <row r="53" spans="2:17" ht="16" x14ac:dyDescent="0.15">
      <c r="B53" s="284" t="s">
        <v>127</v>
      </c>
      <c r="C53" s="283">
        <f>VLOOKUP(B52,'Tab. 6'!$B$38:$C$44,2,0)</f>
        <v>21000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244"/>
      <c r="Q53" s="144"/>
    </row>
    <row r="54" spans="2:17" ht="16" x14ac:dyDescent="0.15">
      <c r="B54" s="284" t="s">
        <v>156</v>
      </c>
      <c r="C54" s="283">
        <f>VLOOKUP(B52,'Tab. 6'!$B$25:$D$31,2,0)</f>
        <v>30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244"/>
      <c r="Q54" s="144"/>
    </row>
    <row r="55" spans="2:17" ht="16" x14ac:dyDescent="0.15">
      <c r="B55" s="284" t="s">
        <v>157</v>
      </c>
      <c r="C55" s="283">
        <f>VLOOKUP(B52,'Tab. 6'!$B$25:$D$31,3,0)</f>
        <v>21000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244"/>
      <c r="Q55" s="144"/>
    </row>
    <row r="56" spans="2:17" ht="16" x14ac:dyDescent="0.15">
      <c r="B56" s="136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244"/>
      <c r="Q56" s="144"/>
    </row>
    <row r="57" spans="2:17" ht="16" x14ac:dyDescent="0.15">
      <c r="B57" s="136" t="s">
        <v>126</v>
      </c>
      <c r="C57" s="253">
        <f>+C53</f>
        <v>21000</v>
      </c>
      <c r="D57" s="238">
        <f>+C59</f>
        <v>21000</v>
      </c>
      <c r="E57" s="238">
        <f t="shared" ref="E57" si="57">+D59</f>
        <v>21000</v>
      </c>
      <c r="F57" s="238">
        <f t="shared" ref="F57" si="58">+E59</f>
        <v>21000</v>
      </c>
      <c r="G57" s="238">
        <f t="shared" ref="G57" si="59">+F59</f>
        <v>21000</v>
      </c>
      <c r="H57" s="238">
        <f t="shared" ref="H57" si="60">+G59</f>
        <v>21000</v>
      </c>
      <c r="I57" s="238">
        <f t="shared" ref="I57" si="61">+H59</f>
        <v>21000</v>
      </c>
      <c r="J57" s="238">
        <f t="shared" ref="J57" si="62">+I59</f>
        <v>21000</v>
      </c>
      <c r="K57" s="238">
        <f t="shared" ref="K57" si="63">+J59</f>
        <v>21000</v>
      </c>
      <c r="L57" s="238">
        <f t="shared" ref="L57" si="64">+K59</f>
        <v>21000</v>
      </c>
      <c r="M57" s="238">
        <f t="shared" ref="M57" si="65">+L59</f>
        <v>21000</v>
      </c>
      <c r="N57" s="238">
        <f t="shared" ref="N57" si="66">+M59</f>
        <v>21000</v>
      </c>
      <c r="O57" s="153"/>
      <c r="Q57" s="294"/>
    </row>
    <row r="58" spans="2:17" ht="16" x14ac:dyDescent="0.15">
      <c r="B58" s="246" t="s">
        <v>158</v>
      </c>
      <c r="C58" s="238">
        <f>IFERROR(VLOOKUP($B52,'Tab. 6'!$B$5:$D$7,3,0),0)*'Tab 5'!C$15+IFERROR(VLOOKUP($B52,'Tab. 6'!$B$12:$D$16,3,0),0)*'Tab 5'!C$28</f>
        <v>10825.119806149625</v>
      </c>
      <c r="D58" s="238">
        <f>IFERROR(VLOOKUP($B52,'Tab. 6'!$B$5:$D$7,3,0),0)*'Tab 5'!D$15+IFERROR(VLOOKUP($B52,'Tab. 6'!$B$12:$D$16,3,0),0)*'Tab 5'!D$28</f>
        <v>11223.506291818812</v>
      </c>
      <c r="E58" s="238">
        <f>IFERROR(VLOOKUP($B52,'Tab. 6'!$B$5:$D$7,3,0),0)*'Tab 5'!E$15+IFERROR(VLOOKUP($B52,'Tab. 6'!$B$12:$D$16,3,0),0)*'Tab 5'!E$28</f>
        <v>11757.958972381603</v>
      </c>
      <c r="F58" s="238">
        <f>IFERROR(VLOOKUP($B52,'Tab. 6'!$B$5:$D$7,3,0),0)*'Tab 5'!F$15+IFERROR(VLOOKUP($B52,'Tab. 6'!$B$12:$D$16,3,0),0)*'Tab 5'!F$28</f>
        <v>11757.958972381606</v>
      </c>
      <c r="G58" s="238">
        <f>IFERROR(VLOOKUP($B52,'Tab. 6'!$B$5:$D$7,3,0),0)*'Tab 5'!G$15+IFERROR(VLOOKUP($B52,'Tab. 6'!$B$12:$D$16,3,0),0)*'Tab 5'!G$28</f>
        <v>6413.4321667536024</v>
      </c>
      <c r="H58" s="238">
        <f>IFERROR(VLOOKUP($B52,'Tab. 6'!$B$5:$D$7,3,0),0)*'Tab 5'!H$15+IFERROR(VLOOKUP($B52,'Tab. 6'!$B$12:$D$16,3,0),0)*'Tab 5'!H$28</f>
        <v>11757.958972381606</v>
      </c>
      <c r="I58" s="238">
        <f>IFERROR(VLOOKUP($B52,'Tab. 6'!$B$5:$D$7,3,0),0)*'Tab 5'!I$15+IFERROR(VLOOKUP($B52,'Tab. 6'!$B$12:$D$16,3,0),0)*'Tab 5'!I$28</f>
        <v>11223.506291818807</v>
      </c>
      <c r="J58" s="238">
        <f>IFERROR(VLOOKUP($B52,'Tab. 6'!$B$5:$D$7,3,0),0)*'Tab 5'!J$15+IFERROR(VLOOKUP($B52,'Tab. 6'!$B$12:$D$16,3,0),0)*'Tab 5'!J$28</f>
        <v>11223.506291818809</v>
      </c>
      <c r="K58" s="238">
        <f>IFERROR(VLOOKUP($B52,'Tab. 6'!$B$5:$D$7,3,0),0)*'Tab 5'!K$15+IFERROR(VLOOKUP($B52,'Tab. 6'!$B$12:$D$16,3,0),0)*'Tab 5'!K$28</f>
        <v>6413.4321667536024</v>
      </c>
      <c r="L58" s="238">
        <f>IFERROR(VLOOKUP($B52,'Tab. 6'!$B$5:$D$7,3,0),0)*'Tab 5'!L$15+IFERROR(VLOOKUP($B52,'Tab. 6'!$B$12:$D$16,3,0),0)*'Tab 5'!L$28</f>
        <v>10174.05249172876</v>
      </c>
      <c r="M58" s="238">
        <f>IFERROR(VLOOKUP($B52,'Tab. 6'!$B$5:$D$7,3,0),0)*'Tab 5'!M$15+IFERROR(VLOOKUP($B52,'Tab. 6'!$B$12:$D$16,3,0),0)*'Tab 5'!M$28</f>
        <v>11304.502768587505</v>
      </c>
      <c r="N58" s="238">
        <f>IFERROR(VLOOKUP($B52,'Tab. 6'!$B$5:$D$7,3,0),0)*'Tab 5'!N$15+IFERROR(VLOOKUP($B52,'Tab. 6'!$B$12:$D$16,3,0),0)*'Tab 5'!N$28</f>
        <v>13000.178183875632</v>
      </c>
      <c r="O58" s="153">
        <f>SUM(C58:N58)</f>
        <v>127075.11337644995</v>
      </c>
      <c r="Q58" s="294">
        <f>IFERROR(VLOOKUP($B52,'Tab. 6'!$B$5:$D$7,3,0),0)*'Tab 5'!Q$15+IFERROR(VLOOKUP($B52,'Tab. 6'!$B$12:$D$16,3,0),0)*'Tab 5'!Q$28</f>
        <v>11869.727907016884</v>
      </c>
    </row>
    <row r="59" spans="2:17" ht="17" thickBot="1" x14ac:dyDescent="0.2">
      <c r="B59" s="246" t="s">
        <v>131</v>
      </c>
      <c r="C59" s="238">
        <f>+IF(D58&gt;=$C55,D58,$C55)</f>
        <v>21000</v>
      </c>
      <c r="D59" s="238">
        <f t="shared" ref="D59:G59" si="67">+IF(E58&gt;=$C55,E58,$C55)</f>
        <v>21000</v>
      </c>
      <c r="E59" s="238">
        <f t="shared" si="67"/>
        <v>21000</v>
      </c>
      <c r="F59" s="238">
        <f t="shared" si="67"/>
        <v>21000</v>
      </c>
      <c r="G59" s="238">
        <f t="shared" si="67"/>
        <v>21000</v>
      </c>
      <c r="H59" s="238">
        <f>+IF(I58&gt;=$C55,I58,$C55)</f>
        <v>21000</v>
      </c>
      <c r="I59" s="238">
        <f>+IF(J58&gt;=$C55,J58,$C55)</f>
        <v>21000</v>
      </c>
      <c r="J59" s="238">
        <f>+IF(K58&gt;=$C55,K58,$C55)</f>
        <v>21000</v>
      </c>
      <c r="K59" s="238">
        <f t="shared" ref="K59" si="68">+IF(L58&gt;=$C55,L58,$C55)</f>
        <v>21000</v>
      </c>
      <c r="L59" s="238">
        <f>+IF(M58&gt;=$C55,M58,$C55)</f>
        <v>21000</v>
      </c>
      <c r="M59" s="238">
        <f t="shared" ref="M59" si="69">+IF(N58&gt;=$C55,N58,$C55)</f>
        <v>21000</v>
      </c>
      <c r="N59" s="238">
        <f>+IF(Q58&gt;=$C55,Q58,$C55)</f>
        <v>21000</v>
      </c>
      <c r="O59" s="153"/>
      <c r="Q59" s="295"/>
    </row>
    <row r="60" spans="2:17" ht="17" thickBot="1" x14ac:dyDescent="0.2">
      <c r="B60" s="247" t="s">
        <v>159</v>
      </c>
      <c r="C60" s="242">
        <f>(C59-C57+C58)</f>
        <v>10825.119806149625</v>
      </c>
      <c r="D60" s="242">
        <f t="shared" ref="D60:N60" si="70">(D59-D57+D58)</f>
        <v>11223.506291818812</v>
      </c>
      <c r="E60" s="242">
        <f t="shared" si="70"/>
        <v>11757.958972381603</v>
      </c>
      <c r="F60" s="242">
        <f t="shared" si="70"/>
        <v>11757.958972381606</v>
      </c>
      <c r="G60" s="242">
        <f t="shared" si="70"/>
        <v>6413.4321667536024</v>
      </c>
      <c r="H60" s="242">
        <f t="shared" si="70"/>
        <v>11757.958972381606</v>
      </c>
      <c r="I60" s="242">
        <f t="shared" si="70"/>
        <v>11223.506291818807</v>
      </c>
      <c r="J60" s="242">
        <f t="shared" si="70"/>
        <v>11223.506291818809</v>
      </c>
      <c r="K60" s="242">
        <f t="shared" si="70"/>
        <v>6413.4321667536024</v>
      </c>
      <c r="L60" s="242">
        <f t="shared" si="70"/>
        <v>10174.05249172876</v>
      </c>
      <c r="M60" s="242">
        <f t="shared" si="70"/>
        <v>11304.502768587505</v>
      </c>
      <c r="N60" s="242">
        <f t="shared" si="70"/>
        <v>13000.178183875632</v>
      </c>
      <c r="O60" s="252">
        <f>SUM(C60:N60)</f>
        <v>127075.11337644995</v>
      </c>
    </row>
    <row r="61" spans="2:17" ht="16" x14ac:dyDescent="0.15">
      <c r="B61" s="282" t="s">
        <v>147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244"/>
      <c r="Q61" s="143"/>
    </row>
    <row r="62" spans="2:17" ht="16" x14ac:dyDescent="0.15">
      <c r="B62" s="284" t="s">
        <v>127</v>
      </c>
      <c r="C62" s="283">
        <f>VLOOKUP(B61,'Tab. 6'!$B$38:$C$44,2,0)</f>
        <v>3500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244"/>
      <c r="Q62" s="144"/>
    </row>
    <row r="63" spans="2:17" ht="16" x14ac:dyDescent="0.15">
      <c r="B63" s="284" t="s">
        <v>156</v>
      </c>
      <c r="C63" s="283">
        <f>VLOOKUP(B61,'Tab. 6'!$B$25:$D$31,2,0)</f>
        <v>30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244"/>
      <c r="Q63" s="144"/>
    </row>
    <row r="64" spans="2:17" ht="16" x14ac:dyDescent="0.15">
      <c r="B64" s="284" t="s">
        <v>157</v>
      </c>
      <c r="C64" s="283">
        <f>VLOOKUP(B61,'Tab. 6'!$B$25:$D$31,3,0)</f>
        <v>3500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244"/>
      <c r="Q64" s="144"/>
    </row>
    <row r="65" spans="2:17" ht="16" x14ac:dyDescent="0.15">
      <c r="B65" s="136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244"/>
      <c r="Q65" s="144"/>
    </row>
    <row r="66" spans="2:17" ht="16" x14ac:dyDescent="0.15">
      <c r="B66" s="136" t="s">
        <v>126</v>
      </c>
      <c r="C66" s="253">
        <f>+C62</f>
        <v>3500</v>
      </c>
      <c r="D66" s="238">
        <f>+C68</f>
        <v>3741.1687639396041</v>
      </c>
      <c r="E66" s="238">
        <f t="shared" ref="E66" si="71">+D68</f>
        <v>3919.3196574605345</v>
      </c>
      <c r="F66" s="238">
        <f t="shared" ref="F66" si="72">+E68</f>
        <v>3919.3196574605354</v>
      </c>
      <c r="G66" s="238">
        <f t="shared" ref="G66" si="73">+F68</f>
        <v>3500</v>
      </c>
      <c r="H66" s="238">
        <f t="shared" ref="H66" si="74">+G68</f>
        <v>3919.3196574605354</v>
      </c>
      <c r="I66" s="238">
        <f t="shared" ref="I66" si="75">+H68</f>
        <v>3741.1687639396023</v>
      </c>
      <c r="J66" s="238">
        <f t="shared" ref="J66" si="76">+I68</f>
        <v>3741.1687639396027</v>
      </c>
      <c r="K66" s="238">
        <f t="shared" ref="K66" si="77">+J68</f>
        <v>3500</v>
      </c>
      <c r="L66" s="238">
        <f t="shared" ref="L66" si="78">+K68</f>
        <v>3500</v>
      </c>
      <c r="M66" s="238">
        <f t="shared" ref="M66" si="79">+L68</f>
        <v>3768.1675895291683</v>
      </c>
      <c r="N66" s="238">
        <f t="shared" ref="N66" si="80">+M68</f>
        <v>4333.3927279585441</v>
      </c>
      <c r="O66" s="153"/>
      <c r="Q66" s="294"/>
    </row>
    <row r="67" spans="2:17" ht="16" x14ac:dyDescent="0.15">
      <c r="B67" s="246" t="s">
        <v>158</v>
      </c>
      <c r="C67" s="238">
        <f>IFERROR(VLOOKUP($B61,'Tab. 6'!$B$5:$D$7,3,0),0)*'Tab 5'!C$15+IFERROR(VLOOKUP($B61,'Tab. 6'!$B$12:$D$16,3,0),0)*'Tab 5'!C$28</f>
        <v>3608.373268716542</v>
      </c>
      <c r="D67" s="238">
        <f>IFERROR(VLOOKUP($B61,'Tab. 6'!$B$5:$D$7,3,0),0)*'Tab 5'!D$15+IFERROR(VLOOKUP($B61,'Tab. 6'!$B$12:$D$16,3,0),0)*'Tab 5'!D$28</f>
        <v>3741.1687639396041</v>
      </c>
      <c r="E67" s="238">
        <f>IFERROR(VLOOKUP($B61,'Tab. 6'!$B$5:$D$7,3,0),0)*'Tab 5'!E$15+IFERROR(VLOOKUP($B61,'Tab. 6'!$B$12:$D$16,3,0),0)*'Tab 5'!E$28</f>
        <v>3919.3196574605345</v>
      </c>
      <c r="F67" s="238">
        <f>IFERROR(VLOOKUP($B61,'Tab. 6'!$B$5:$D$7,3,0),0)*'Tab 5'!F$15+IFERROR(VLOOKUP($B61,'Tab. 6'!$B$12:$D$16,3,0),0)*'Tab 5'!F$28</f>
        <v>3919.3196574605354</v>
      </c>
      <c r="G67" s="238">
        <f>IFERROR(VLOOKUP($B61,'Tab. 6'!$B$5:$D$7,3,0),0)*'Tab 5'!G$15+IFERROR(VLOOKUP($B61,'Tab. 6'!$B$12:$D$16,3,0),0)*'Tab 5'!G$28</f>
        <v>2137.8107222512008</v>
      </c>
      <c r="H67" s="238">
        <f>IFERROR(VLOOKUP($B61,'Tab. 6'!$B$5:$D$7,3,0),0)*'Tab 5'!H$15+IFERROR(VLOOKUP($B61,'Tab. 6'!$B$12:$D$16,3,0),0)*'Tab 5'!H$28</f>
        <v>3919.3196574605354</v>
      </c>
      <c r="I67" s="238">
        <f>IFERROR(VLOOKUP($B61,'Tab. 6'!$B$5:$D$7,3,0),0)*'Tab 5'!I$15+IFERROR(VLOOKUP($B61,'Tab. 6'!$B$12:$D$16,3,0),0)*'Tab 5'!I$28</f>
        <v>3741.1687639396023</v>
      </c>
      <c r="J67" s="238">
        <f>IFERROR(VLOOKUP($B61,'Tab. 6'!$B$5:$D$7,3,0),0)*'Tab 5'!J$15+IFERROR(VLOOKUP($B61,'Tab. 6'!$B$12:$D$16,3,0),0)*'Tab 5'!J$28</f>
        <v>3741.1687639396027</v>
      </c>
      <c r="K67" s="238">
        <f>IFERROR(VLOOKUP($B61,'Tab. 6'!$B$5:$D$7,3,0),0)*'Tab 5'!K$15+IFERROR(VLOOKUP($B61,'Tab. 6'!$B$12:$D$16,3,0),0)*'Tab 5'!K$28</f>
        <v>2137.8107222512008</v>
      </c>
      <c r="L67" s="238">
        <f>IFERROR(VLOOKUP($B61,'Tab. 6'!$B$5:$D$7,3,0),0)*'Tab 5'!L$15+IFERROR(VLOOKUP($B61,'Tab. 6'!$B$12:$D$16,3,0),0)*'Tab 5'!L$28</f>
        <v>3391.3508305762534</v>
      </c>
      <c r="M67" s="238">
        <f>IFERROR(VLOOKUP($B61,'Tab. 6'!$B$5:$D$7,3,0),0)*'Tab 5'!M$15+IFERROR(VLOOKUP($B61,'Tab. 6'!$B$12:$D$16,3,0),0)*'Tab 5'!M$28</f>
        <v>3768.1675895291683</v>
      </c>
      <c r="N67" s="238">
        <f>IFERROR(VLOOKUP($B61,'Tab. 6'!$B$5:$D$7,3,0),0)*'Tab 5'!N$15+IFERROR(VLOOKUP($B61,'Tab. 6'!$B$12:$D$16,3,0),0)*'Tab 5'!N$28</f>
        <v>4333.3927279585441</v>
      </c>
      <c r="O67" s="153">
        <f>SUM(C67:N67)</f>
        <v>42358.371125483332</v>
      </c>
      <c r="Q67" s="294">
        <f>IFERROR(VLOOKUP($B61,'Tab. 6'!$B$5:$D$7,3,0),0)*'Tab 5'!Q$15+IFERROR(VLOOKUP($B61,'Tab. 6'!$B$12:$D$16,3,0),0)*'Tab 5'!Q$28</f>
        <v>3956.5759690056284</v>
      </c>
    </row>
    <row r="68" spans="2:17" ht="17" thickBot="1" x14ac:dyDescent="0.2">
      <c r="B68" s="246" t="s">
        <v>131</v>
      </c>
      <c r="C68" s="238">
        <f>+IF(D67&gt;=$C64,D67,$C64)</f>
        <v>3741.1687639396041</v>
      </c>
      <c r="D68" s="238">
        <f t="shared" ref="D68:G68" si="81">+IF(E67&gt;=$C64,E67,$C64)</f>
        <v>3919.3196574605345</v>
      </c>
      <c r="E68" s="238">
        <f t="shared" si="81"/>
        <v>3919.3196574605354</v>
      </c>
      <c r="F68" s="238">
        <f t="shared" si="81"/>
        <v>3500</v>
      </c>
      <c r="G68" s="238">
        <f t="shared" si="81"/>
        <v>3919.3196574605354</v>
      </c>
      <c r="H68" s="238">
        <f>+IF(I67&gt;=$C64,I67,$C64)</f>
        <v>3741.1687639396023</v>
      </c>
      <c r="I68" s="238">
        <f>+IF(J67&gt;=$C64,J67,$C64)</f>
        <v>3741.1687639396027</v>
      </c>
      <c r="J68" s="238">
        <f>+IF(K67&gt;=$C64,K67,$C64)</f>
        <v>3500</v>
      </c>
      <c r="K68" s="238">
        <f t="shared" ref="K68" si="82">+IF(L67&gt;=$C64,L67,$C64)</f>
        <v>3500</v>
      </c>
      <c r="L68" s="238">
        <f>+IF(M67&gt;=$C64,M67,$C64)</f>
        <v>3768.1675895291683</v>
      </c>
      <c r="M68" s="238">
        <f t="shared" ref="M68" si="83">+IF(N67&gt;=$C64,N67,$C64)</f>
        <v>4333.3927279585441</v>
      </c>
      <c r="N68" s="238">
        <f>+IF(Q67&gt;=$C64,Q67,$C64)</f>
        <v>3956.5759690056284</v>
      </c>
      <c r="O68" s="153"/>
      <c r="Q68" s="295"/>
    </row>
    <row r="69" spans="2:17" ht="17" thickBot="1" x14ac:dyDescent="0.2">
      <c r="B69" s="247" t="s">
        <v>159</v>
      </c>
      <c r="C69" s="242">
        <f>(C68-C66+C67)</f>
        <v>3849.5420326561461</v>
      </c>
      <c r="D69" s="242">
        <f t="shared" ref="D69:N69" si="84">(D68-D66+D67)</f>
        <v>3919.3196574605345</v>
      </c>
      <c r="E69" s="242">
        <f t="shared" si="84"/>
        <v>3919.3196574605354</v>
      </c>
      <c r="F69" s="242">
        <f t="shared" si="84"/>
        <v>3500</v>
      </c>
      <c r="G69" s="242">
        <f t="shared" si="84"/>
        <v>2557.1303797117362</v>
      </c>
      <c r="H69" s="242">
        <f t="shared" si="84"/>
        <v>3741.1687639396023</v>
      </c>
      <c r="I69" s="242">
        <f t="shared" si="84"/>
        <v>3741.1687639396027</v>
      </c>
      <c r="J69" s="242">
        <f t="shared" si="84"/>
        <v>3500</v>
      </c>
      <c r="K69" s="242">
        <f t="shared" si="84"/>
        <v>2137.8107222512008</v>
      </c>
      <c r="L69" s="242">
        <f t="shared" si="84"/>
        <v>3659.5184201054217</v>
      </c>
      <c r="M69" s="242">
        <f t="shared" si="84"/>
        <v>4333.3927279585441</v>
      </c>
      <c r="N69" s="242">
        <f t="shared" si="84"/>
        <v>3956.5759690056284</v>
      </c>
      <c r="O69" s="252">
        <f>SUM(C69:N69)</f>
        <v>42814.947094488962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>
    <pageSetUpPr fitToPage="1"/>
  </sheetPr>
  <dimension ref="B2:O61"/>
  <sheetViews>
    <sheetView showGridLines="0" topLeftCell="A37" zoomScale="170" zoomScaleNormal="170" workbookViewId="0">
      <selection activeCell="C13" sqref="C13"/>
    </sheetView>
  </sheetViews>
  <sheetFormatPr baseColWidth="10" defaultRowHeight="13" x14ac:dyDescent="0.15"/>
  <cols>
    <col min="2" max="2" width="29" bestFit="1" customWidth="1"/>
    <col min="3" max="4" width="12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3" t="s">
        <v>167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2:15" x14ac:dyDescent="0.15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2:15" ht="14" thickBot="1" x14ac:dyDescent="0.2"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</row>
    <row r="5" spans="2:15" ht="16" x14ac:dyDescent="0.15">
      <c r="B5" s="236"/>
      <c r="C5" s="442" t="s">
        <v>91</v>
      </c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</row>
    <row r="6" spans="2:15" ht="16" x14ac:dyDescent="0.15">
      <c r="B6" s="245"/>
      <c r="C6" s="243" t="s">
        <v>106</v>
      </c>
      <c r="D6" s="243" t="s">
        <v>107</v>
      </c>
      <c r="E6" s="243" t="s">
        <v>108</v>
      </c>
      <c r="F6" s="243" t="s">
        <v>109</v>
      </c>
      <c r="G6" s="243" t="s">
        <v>110</v>
      </c>
      <c r="H6" s="243" t="s">
        <v>111</v>
      </c>
      <c r="I6" s="243" t="s">
        <v>112</v>
      </c>
      <c r="J6" s="243" t="s">
        <v>113</v>
      </c>
      <c r="K6" s="243" t="s">
        <v>114</v>
      </c>
      <c r="L6" s="243" t="s">
        <v>115</v>
      </c>
      <c r="M6" s="243" t="s">
        <v>116</v>
      </c>
      <c r="N6" s="243" t="s">
        <v>117</v>
      </c>
      <c r="O6" s="248" t="s">
        <v>74</v>
      </c>
    </row>
    <row r="7" spans="2:15" ht="16" x14ac:dyDescent="0.15">
      <c r="B7" s="282" t="s">
        <v>137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4"/>
    </row>
    <row r="8" spans="2:15" ht="16" x14ac:dyDescent="0.15">
      <c r="B8" s="284" t="s">
        <v>164</v>
      </c>
      <c r="C8" s="307">
        <f>VLOOKUP(B7,'Tab. 6'!$B$5:$F$16,4,0)</f>
        <v>5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244"/>
    </row>
    <row r="9" spans="2:15" ht="16" x14ac:dyDescent="0.15">
      <c r="B9" s="13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44"/>
    </row>
    <row r="10" spans="2:15" ht="16" x14ac:dyDescent="0.15">
      <c r="B10" s="136" t="s">
        <v>126</v>
      </c>
      <c r="C10" s="308">
        <f>C8*'Tab. 7'!C12</f>
        <v>245000</v>
      </c>
      <c r="D10" s="309">
        <f>+C13</f>
        <v>228759.75289507545</v>
      </c>
      <c r="E10" s="309">
        <f t="shared" ref="E10:N10" si="0">+D13</f>
        <v>228759.75289507548</v>
      </c>
      <c r="F10" s="309">
        <f t="shared" si="0"/>
        <v>239653.07446150761</v>
      </c>
      <c r="G10" s="309">
        <f t="shared" si="0"/>
        <v>239653.07446150764</v>
      </c>
      <c r="H10" s="309">
        <f>+G13</f>
        <v>224999.99999999997</v>
      </c>
      <c r="I10" s="309">
        <f t="shared" si="0"/>
        <v>239653.07446150761</v>
      </c>
      <c r="J10" s="309">
        <f t="shared" si="0"/>
        <v>228759.75289507545</v>
      </c>
      <c r="K10" s="309">
        <f t="shared" si="0"/>
        <v>228759.75289507548</v>
      </c>
      <c r="L10" s="309">
        <f t="shared" si="0"/>
        <v>224999.99999999997</v>
      </c>
      <c r="M10" s="309">
        <f t="shared" si="0"/>
        <v>224999.99999999997</v>
      </c>
      <c r="N10" s="309">
        <f t="shared" si="0"/>
        <v>224999.99999999997</v>
      </c>
      <c r="O10" s="153"/>
    </row>
    <row r="11" spans="2:15" ht="16" x14ac:dyDescent="0.15">
      <c r="B11" s="246" t="s">
        <v>165</v>
      </c>
      <c r="C11" s="308">
        <f>$C8*'Tab. 7'!C13</f>
        <v>195742.61555236208</v>
      </c>
      <c r="D11" s="308">
        <f>$C8*'Tab. 7'!D13</f>
        <v>228759.75289507548</v>
      </c>
      <c r="E11" s="308">
        <f>$C8*'Tab. 7'!E13</f>
        <v>228759.75289507551</v>
      </c>
      <c r="F11" s="308">
        <f>$C8*'Tab. 7'!F13</f>
        <v>239653.07446150764</v>
      </c>
      <c r="G11" s="308">
        <f>$C8*'Tab. 7'!G13</f>
        <v>239653.07446150767</v>
      </c>
      <c r="H11" s="308">
        <f>$C8*'Tab. 7'!H13</f>
        <v>130719.858797186</v>
      </c>
      <c r="I11" s="308">
        <f>$C8*'Tab. 7'!I13</f>
        <v>239653.07446150764</v>
      </c>
      <c r="J11" s="308">
        <f>$C8*'Tab. 7'!J13</f>
        <v>228759.75289507548</v>
      </c>
      <c r="K11" s="308">
        <f>$C8*'Tab. 7'!K13</f>
        <v>228759.75289507551</v>
      </c>
      <c r="L11" s="308">
        <f>$C8*'Tab. 7'!L13</f>
        <v>130719.85879718597</v>
      </c>
      <c r="M11" s="308">
        <f>$C8*'Tab. 7'!M13</f>
        <v>192612.97144905629</v>
      </c>
      <c r="N11" s="308">
        <f>$C8*'Tab. 7'!N13</f>
        <v>214014.41272117366</v>
      </c>
      <c r="O11" s="157">
        <f>SUM(C11:N11)</f>
        <v>2497807.9522817894</v>
      </c>
    </row>
    <row r="12" spans="2:15" ht="17" thickBot="1" x14ac:dyDescent="0.2">
      <c r="B12" s="246" t="s">
        <v>166</v>
      </c>
      <c r="C12" s="309">
        <f>$C8*'Tab. 7'!C15</f>
        <v>179502.36844743753</v>
      </c>
      <c r="D12" s="309">
        <f>$C8*'Tab. 7'!D15</f>
        <v>228759.75289507551</v>
      </c>
      <c r="E12" s="309">
        <f>$C8*'Tab. 7'!E15</f>
        <v>239653.07446150764</v>
      </c>
      <c r="F12" s="309">
        <f>$C8*'Tab. 7'!F15</f>
        <v>239653.07446150767</v>
      </c>
      <c r="G12" s="309">
        <f>$C8*'Tab. 7'!G15</f>
        <v>225000</v>
      </c>
      <c r="H12" s="309">
        <f>$C8*'Tab. 7'!H15</f>
        <v>145372.93325869364</v>
      </c>
      <c r="I12" s="309">
        <f>$C8*'Tab. 7'!I15</f>
        <v>228759.75289507548</v>
      </c>
      <c r="J12" s="309">
        <f>$C8*'Tab. 7'!J15</f>
        <v>228759.75289507551</v>
      </c>
      <c r="K12" s="309">
        <f>$C8*'Tab. 7'!K15</f>
        <v>225000</v>
      </c>
      <c r="L12" s="309">
        <f>$C8*'Tab. 7'!L15</f>
        <v>130719.85879718597</v>
      </c>
      <c r="M12" s="309">
        <f>$C8*'Tab. 7'!M15</f>
        <v>192612.97144905629</v>
      </c>
      <c r="N12" s="309">
        <f>$C8*'Tab. 7'!N15</f>
        <v>235130.98735052338</v>
      </c>
      <c r="O12" s="157">
        <f>SUM(C12:N12)</f>
        <v>2498924.526911139</v>
      </c>
    </row>
    <row r="13" spans="2:15" ht="17" thickBot="1" x14ac:dyDescent="0.2">
      <c r="B13" s="247" t="s">
        <v>131</v>
      </c>
      <c r="C13" s="310">
        <f>C10-C11+C12</f>
        <v>228759.75289507545</v>
      </c>
      <c r="D13" s="310">
        <f t="shared" ref="D13:N13" si="1">D10-D11+D12</f>
        <v>228759.75289507548</v>
      </c>
      <c r="E13" s="310">
        <f t="shared" si="1"/>
        <v>239653.07446150761</v>
      </c>
      <c r="F13" s="310">
        <f t="shared" si="1"/>
        <v>239653.07446150764</v>
      </c>
      <c r="G13" s="310">
        <f t="shared" si="1"/>
        <v>224999.99999999997</v>
      </c>
      <c r="H13" s="310">
        <f t="shared" si="1"/>
        <v>239653.07446150761</v>
      </c>
      <c r="I13" s="310">
        <f t="shared" si="1"/>
        <v>228759.75289507545</v>
      </c>
      <c r="J13" s="310">
        <f t="shared" si="1"/>
        <v>228759.75289507548</v>
      </c>
      <c r="K13" s="310">
        <f t="shared" si="1"/>
        <v>224999.99999999997</v>
      </c>
      <c r="L13" s="310">
        <f t="shared" si="1"/>
        <v>224999.99999999997</v>
      </c>
      <c r="M13" s="310">
        <f t="shared" si="1"/>
        <v>224999.99999999997</v>
      </c>
      <c r="N13" s="310">
        <f t="shared" si="1"/>
        <v>246116.57462934969</v>
      </c>
      <c r="O13" s="252"/>
    </row>
    <row r="14" spans="2:15" ht="16" x14ac:dyDescent="0.15">
      <c r="B14" s="282" t="s">
        <v>138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244"/>
    </row>
    <row r="15" spans="2:15" ht="16" x14ac:dyDescent="0.15">
      <c r="B15" s="284" t="s">
        <v>164</v>
      </c>
      <c r="C15" s="307">
        <f>VLOOKUP(B14,'Tab. 6'!$B$5:$F$16,4,0)</f>
        <v>74.999650000000003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244"/>
    </row>
    <row r="16" spans="2:15" ht="16" x14ac:dyDescent="0.15">
      <c r="B16" s="136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44"/>
    </row>
    <row r="17" spans="2:15" ht="16" x14ac:dyDescent="0.15">
      <c r="B17" s="136" t="s">
        <v>126</v>
      </c>
      <c r="C17" s="308">
        <f>C15*'Tab. 7'!C21</f>
        <v>4499979</v>
      </c>
      <c r="D17" s="309">
        <f>+C20</f>
        <v>4499979</v>
      </c>
      <c r="E17" s="309">
        <f t="shared" ref="E17:G17" si="2">+D20</f>
        <v>4499979</v>
      </c>
      <c r="F17" s="309">
        <f t="shared" si="2"/>
        <v>4499979</v>
      </c>
      <c r="G17" s="309">
        <f t="shared" si="2"/>
        <v>4499979</v>
      </c>
      <c r="H17" s="309">
        <f>+G20</f>
        <v>4499979</v>
      </c>
      <c r="I17" s="309">
        <f t="shared" ref="I17:N17" si="3">+H20</f>
        <v>4499979</v>
      </c>
      <c r="J17" s="309">
        <f t="shared" si="3"/>
        <v>4499979</v>
      </c>
      <c r="K17" s="309">
        <f t="shared" si="3"/>
        <v>4499979</v>
      </c>
      <c r="L17" s="309">
        <f t="shared" si="3"/>
        <v>4499979</v>
      </c>
      <c r="M17" s="309">
        <f t="shared" si="3"/>
        <v>4499979</v>
      </c>
      <c r="N17" s="309">
        <f t="shared" si="3"/>
        <v>4499979</v>
      </c>
      <c r="O17" s="153"/>
    </row>
    <row r="18" spans="2:15" ht="16" x14ac:dyDescent="0.15">
      <c r="B18" s="246" t="s">
        <v>165</v>
      </c>
      <c r="C18" s="308">
        <f>$C15*'Tab. 7'!C22</f>
        <v>3914834.0417364566</v>
      </c>
      <c r="D18" s="308">
        <f>$C15*'Tab. 7'!D22</f>
        <v>4575173.7069912395</v>
      </c>
      <c r="E18" s="308">
        <f>$C15*'Tab. 7'!E22</f>
        <v>4575173.7069912395</v>
      </c>
      <c r="F18" s="308">
        <f>$C15*'Tab. 7'!F22</f>
        <v>4793039.1216098694</v>
      </c>
      <c r="G18" s="308">
        <f>$C15*'Tab. 7'!G22</f>
        <v>4793039.1216098703</v>
      </c>
      <c r="H18" s="308">
        <f>$C15*'Tab. 7'!H22</f>
        <v>2614384.9754235656</v>
      </c>
      <c r="I18" s="308">
        <f>$C15*'Tab. 7'!I22</f>
        <v>4793039.1216098703</v>
      </c>
      <c r="J18" s="308">
        <f>$C15*'Tab. 7'!J22</f>
        <v>4575173.7069912395</v>
      </c>
      <c r="K18" s="308">
        <f>$C15*'Tab. 7'!K22</f>
        <v>4575173.7069912404</v>
      </c>
      <c r="L18" s="308">
        <f>$C15*'Tab. 7'!L22</f>
        <v>2614384.9754235651</v>
      </c>
      <c r="M18" s="308">
        <f>$C15*'Tab. 7'!M22</f>
        <v>3852241.4517704574</v>
      </c>
      <c r="N18" s="308">
        <f>$C15*'Tab. 7'!N22</f>
        <v>4280268.2797449529</v>
      </c>
      <c r="O18" s="157">
        <f>SUM(C18:N18)</f>
        <v>49955925.916893564</v>
      </c>
    </row>
    <row r="19" spans="2:15" ht="17" thickBot="1" x14ac:dyDescent="0.2">
      <c r="B19" s="246" t="s">
        <v>166</v>
      </c>
      <c r="C19" s="309">
        <f>$C15*'Tab. 7'!C24</f>
        <v>3914834.0417364566</v>
      </c>
      <c r="D19" s="309">
        <f>$C15*'Tab. 7'!D24</f>
        <v>4575173.7069912395</v>
      </c>
      <c r="E19" s="309">
        <f>$C15*'Tab. 7'!E24</f>
        <v>4575173.7069912395</v>
      </c>
      <c r="F19" s="309">
        <f>$C15*'Tab. 7'!F24</f>
        <v>4793039.1216098694</v>
      </c>
      <c r="G19" s="309">
        <f>$C15*'Tab. 7'!G24</f>
        <v>4793039.1216098703</v>
      </c>
      <c r="H19" s="309">
        <f>$C15*'Tab. 7'!H24</f>
        <v>2614384.9754235656</v>
      </c>
      <c r="I19" s="309">
        <f>$C15*'Tab. 7'!I24</f>
        <v>4793039.1216098703</v>
      </c>
      <c r="J19" s="309">
        <f>$C15*'Tab. 7'!J24</f>
        <v>4575173.7069912395</v>
      </c>
      <c r="K19" s="309">
        <f>$C15*'Tab. 7'!K24</f>
        <v>4575173.7069912404</v>
      </c>
      <c r="L19" s="309">
        <f>$C15*'Tab. 7'!L24</f>
        <v>2614384.9754235651</v>
      </c>
      <c r="M19" s="309">
        <f>$C15*'Tab. 7'!M24</f>
        <v>3852241.4517704574</v>
      </c>
      <c r="N19" s="309">
        <f>$C15*'Tab. 7'!N24</f>
        <v>4280268.2797449529</v>
      </c>
      <c r="O19" s="157">
        <f>SUM(C19:N19)</f>
        <v>49955925.916893564</v>
      </c>
    </row>
    <row r="20" spans="2:15" ht="17" thickBot="1" x14ac:dyDescent="0.2">
      <c r="B20" s="247" t="s">
        <v>131</v>
      </c>
      <c r="C20" s="310">
        <f>C17-C18+C19</f>
        <v>4499979</v>
      </c>
      <c r="D20" s="310">
        <f t="shared" ref="D20" si="4">D17-D18+D19</f>
        <v>4499979</v>
      </c>
      <c r="E20" s="310">
        <f t="shared" ref="E20" si="5">E17-E18+E19</f>
        <v>4499979</v>
      </c>
      <c r="F20" s="310">
        <f t="shared" ref="F20" si="6">F17-F18+F19</f>
        <v>4499979</v>
      </c>
      <c r="G20" s="310">
        <f t="shared" ref="G20" si="7">G17-G18+G19</f>
        <v>4499979</v>
      </c>
      <c r="H20" s="310">
        <f t="shared" ref="H20" si="8">H17-H18+H19</f>
        <v>4499979</v>
      </c>
      <c r="I20" s="310">
        <f t="shared" ref="I20" si="9">I17-I18+I19</f>
        <v>4499979</v>
      </c>
      <c r="J20" s="310">
        <f t="shared" ref="J20" si="10">J17-J18+J19</f>
        <v>4499979</v>
      </c>
      <c r="K20" s="310">
        <f t="shared" ref="K20" si="11">K17-K18+K19</f>
        <v>4499979</v>
      </c>
      <c r="L20" s="310">
        <f t="shared" ref="L20" si="12">L17-L18+L19</f>
        <v>4499979</v>
      </c>
      <c r="M20" s="310">
        <f t="shared" ref="M20" si="13">M17-M18+M19</f>
        <v>4499979</v>
      </c>
      <c r="N20" s="310">
        <f t="shared" ref="N20" si="14">N17-N18+N19</f>
        <v>4499979</v>
      </c>
      <c r="O20" s="252"/>
    </row>
    <row r="21" spans="2:15" ht="16" x14ac:dyDescent="0.15">
      <c r="B21" s="282" t="s">
        <v>139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244"/>
    </row>
    <row r="22" spans="2:15" ht="16" x14ac:dyDescent="0.15">
      <c r="B22" s="284" t="s">
        <v>164</v>
      </c>
      <c r="C22" s="307">
        <f>VLOOKUP(B21,'Tab. 6'!$B$5:$F$16,4,0)</f>
        <v>30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244"/>
    </row>
    <row r="23" spans="2:15" ht="16" x14ac:dyDescent="0.15">
      <c r="B23" s="13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244"/>
    </row>
    <row r="24" spans="2:15" ht="16" x14ac:dyDescent="0.15">
      <c r="B24" s="136" t="s">
        <v>126</v>
      </c>
      <c r="C24" s="308">
        <f>C22*'Tab. 7'!C30</f>
        <v>1884000</v>
      </c>
      <c r="D24" s="309">
        <f>+C27</f>
        <v>1884000</v>
      </c>
      <c r="E24" s="309">
        <f t="shared" ref="E24:G24" si="15">+D27</f>
        <v>1884000</v>
      </c>
      <c r="F24" s="309">
        <f t="shared" si="15"/>
        <v>1884000</v>
      </c>
      <c r="G24" s="309">
        <f t="shared" si="15"/>
        <v>1884000</v>
      </c>
      <c r="H24" s="309">
        <f>+G27</f>
        <v>1884000</v>
      </c>
      <c r="I24" s="309">
        <f t="shared" ref="I24:N24" si="16">+H27</f>
        <v>1884000</v>
      </c>
      <c r="J24" s="309">
        <f t="shared" si="16"/>
        <v>1884000</v>
      </c>
      <c r="K24" s="309">
        <f t="shared" si="16"/>
        <v>1884000</v>
      </c>
      <c r="L24" s="309">
        <f t="shared" si="16"/>
        <v>1884000</v>
      </c>
      <c r="M24" s="309">
        <f t="shared" si="16"/>
        <v>1884000</v>
      </c>
      <c r="N24" s="309">
        <f t="shared" si="16"/>
        <v>1884000</v>
      </c>
      <c r="O24" s="153"/>
    </row>
    <row r="25" spans="2:15" ht="16" x14ac:dyDescent="0.15">
      <c r="B25" s="246" t="s">
        <v>165</v>
      </c>
      <c r="C25" s="308">
        <f>$C22*'Tab. 7'!C31</f>
        <v>1652541.8828680934</v>
      </c>
      <c r="D25" s="308">
        <f>$C22*'Tab. 7'!D31</f>
        <v>1919866.0734951543</v>
      </c>
      <c r="E25" s="308">
        <f>$C22*'Tab. 7'!E31</f>
        <v>1924141.6949396569</v>
      </c>
      <c r="F25" s="308">
        <f>$C22*'Tab. 7'!F31</f>
        <v>2011288.2674711137</v>
      </c>
      <c r="G25" s="308">
        <f>$C22*'Tab. 7'!G31</f>
        <v>1968532.0530260901</v>
      </c>
      <c r="H25" s="308">
        <f>$C22*'Tab. 7'!H31</f>
        <v>1139822.5421565408</v>
      </c>
      <c r="I25" s="308">
        <f>$C22*'Tab. 7'!I31</f>
        <v>2007012.6460266116</v>
      </c>
      <c r="J25" s="308">
        <f>$C22*'Tab. 7'!J31</f>
        <v>1919866.0734951543</v>
      </c>
      <c r="K25" s="308">
        <f>$C22*'Tab. 7'!K31</f>
        <v>1881385.4804946329</v>
      </c>
      <c r="L25" s="308">
        <f>$C22*'Tab. 7'!L31</f>
        <v>1127151.2903113179</v>
      </c>
      <c r="M25" s="308">
        <f>$C22*'Tab. 7'!M31</f>
        <v>1631339.7937411503</v>
      </c>
      <c r="N25" s="308">
        <f>$C22*'Tab. 7'!N31</f>
        <v>1816116.7272403943</v>
      </c>
      <c r="O25" s="157">
        <f>SUM(C25:N25)</f>
        <v>20999064.52526591</v>
      </c>
    </row>
    <row r="26" spans="2:15" ht="17" thickBot="1" x14ac:dyDescent="0.2">
      <c r="B26" s="246" t="s">
        <v>166</v>
      </c>
      <c r="C26" s="309">
        <f>$C22*'Tab. 7'!C33</f>
        <v>1652541.8828680934</v>
      </c>
      <c r="D26" s="309">
        <f>$C22*'Tab. 7'!D33</f>
        <v>1919866.0734951543</v>
      </c>
      <c r="E26" s="309">
        <f>$C22*'Tab. 7'!E33</f>
        <v>1924141.6949396569</v>
      </c>
      <c r="F26" s="309">
        <f>$C22*'Tab. 7'!F33</f>
        <v>2011288.2674711137</v>
      </c>
      <c r="G26" s="309">
        <f>$C22*'Tab. 7'!G33</f>
        <v>1968532.0530260901</v>
      </c>
      <c r="H26" s="309">
        <f>$C22*'Tab. 7'!H33</f>
        <v>1139822.5421565408</v>
      </c>
      <c r="I26" s="309">
        <f>$C22*'Tab. 7'!I33</f>
        <v>2007012.6460266116</v>
      </c>
      <c r="J26" s="309">
        <f>$C22*'Tab. 7'!J33</f>
        <v>1919866.0734951543</v>
      </c>
      <c r="K26" s="309">
        <f>$C22*'Tab. 7'!K33</f>
        <v>1881385.4804946329</v>
      </c>
      <c r="L26" s="309">
        <f>$C22*'Tab. 7'!L33</f>
        <v>1127151.2903113179</v>
      </c>
      <c r="M26" s="309">
        <f>$C22*'Tab. 7'!M33</f>
        <v>1631339.7937411503</v>
      </c>
      <c r="N26" s="309">
        <f>$C22*'Tab. 7'!N33</f>
        <v>1816116.7272403943</v>
      </c>
      <c r="O26" s="157">
        <f>SUM(C26:N26)</f>
        <v>20999064.52526591</v>
      </c>
    </row>
    <row r="27" spans="2:15" ht="17" thickBot="1" x14ac:dyDescent="0.2">
      <c r="B27" s="247" t="s">
        <v>131</v>
      </c>
      <c r="C27" s="310">
        <f>C24-C25+C26</f>
        <v>1884000</v>
      </c>
      <c r="D27" s="310">
        <f t="shared" ref="D27" si="17">D24-D25+D26</f>
        <v>1884000</v>
      </c>
      <c r="E27" s="310">
        <f t="shared" ref="E27" si="18">E24-E25+E26</f>
        <v>1884000</v>
      </c>
      <c r="F27" s="310">
        <f t="shared" ref="F27" si="19">F24-F25+F26</f>
        <v>1884000</v>
      </c>
      <c r="G27" s="310">
        <f t="shared" ref="G27" si="20">G24-G25+G26</f>
        <v>1884000</v>
      </c>
      <c r="H27" s="310">
        <f t="shared" ref="H27" si="21">H24-H25+H26</f>
        <v>1884000</v>
      </c>
      <c r="I27" s="310">
        <f t="shared" ref="I27" si="22">I24-I25+I26</f>
        <v>1884000</v>
      </c>
      <c r="J27" s="310">
        <f t="shared" ref="J27" si="23">J24-J25+J26</f>
        <v>1884000</v>
      </c>
      <c r="K27" s="310">
        <f t="shared" ref="K27" si="24">K24-K25+K26</f>
        <v>1884000</v>
      </c>
      <c r="L27" s="310">
        <f t="shared" ref="L27" si="25">L24-L25+L26</f>
        <v>1884000</v>
      </c>
      <c r="M27" s="310">
        <f t="shared" ref="M27" si="26">M24-M25+M26</f>
        <v>1884000</v>
      </c>
      <c r="N27" s="310">
        <f t="shared" ref="N27" si="27">N24-N25+N26</f>
        <v>1884000</v>
      </c>
      <c r="O27" s="252"/>
    </row>
    <row r="28" spans="2:15" ht="16" x14ac:dyDescent="0.15">
      <c r="B28" s="282" t="s">
        <v>85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244"/>
    </row>
    <row r="29" spans="2:15" ht="16" x14ac:dyDescent="0.15">
      <c r="B29" s="284" t="s">
        <v>164</v>
      </c>
      <c r="C29" s="307">
        <f>VLOOKUP(B28,'Tab. 6'!$B$5:$F$16,4,0)</f>
        <v>50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244"/>
    </row>
    <row r="30" spans="2:15" ht="16" x14ac:dyDescent="0.15">
      <c r="B30" s="136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244"/>
    </row>
    <row r="31" spans="2:15" ht="16" x14ac:dyDescent="0.15">
      <c r="B31" s="136" t="s">
        <v>126</v>
      </c>
      <c r="C31" s="308">
        <f>C29*'Tab. 7'!C39</f>
        <v>175000</v>
      </c>
      <c r="D31" s="309">
        <f>+C34</f>
        <v>175000</v>
      </c>
      <c r="E31" s="309">
        <f t="shared" ref="E31:G31" si="28">+D34</f>
        <v>175000</v>
      </c>
      <c r="F31" s="309">
        <f t="shared" si="28"/>
        <v>175000</v>
      </c>
      <c r="G31" s="309">
        <f t="shared" si="28"/>
        <v>175000</v>
      </c>
      <c r="H31" s="309">
        <f>+G34</f>
        <v>175000</v>
      </c>
      <c r="I31" s="309">
        <f t="shared" ref="I31:N31" si="29">+H34</f>
        <v>175000</v>
      </c>
      <c r="J31" s="309">
        <f t="shared" si="29"/>
        <v>175000</v>
      </c>
      <c r="K31" s="309">
        <f t="shared" si="29"/>
        <v>175000</v>
      </c>
      <c r="L31" s="309">
        <f t="shared" si="29"/>
        <v>175000</v>
      </c>
      <c r="M31" s="309">
        <f t="shared" si="29"/>
        <v>175000</v>
      </c>
      <c r="N31" s="309">
        <f t="shared" si="29"/>
        <v>175000</v>
      </c>
      <c r="O31" s="153"/>
    </row>
    <row r="32" spans="2:15" ht="16" x14ac:dyDescent="0.15">
      <c r="B32" s="246" t="s">
        <v>165</v>
      </c>
      <c r="C32" s="308">
        <f>$C29*'Tab. 7'!C40</f>
        <v>90209.331717913548</v>
      </c>
      <c r="D32" s="308">
        <f>$C29*'Tab. 7'!D40</f>
        <v>93529.21909849011</v>
      </c>
      <c r="E32" s="308">
        <f>$C29*'Tab. 7'!E40</f>
        <v>97982.991436513359</v>
      </c>
      <c r="F32" s="308">
        <f>$C29*'Tab. 7'!F40</f>
        <v>97982.991436513388</v>
      </c>
      <c r="G32" s="308">
        <f>$C29*'Tab. 7'!G40</f>
        <v>53445.268056280023</v>
      </c>
      <c r="H32" s="308">
        <f>$C29*'Tab. 7'!H40</f>
        <v>97982.991436513388</v>
      </c>
      <c r="I32" s="308">
        <f>$C29*'Tab. 7'!I40</f>
        <v>93529.219098490052</v>
      </c>
      <c r="J32" s="308">
        <f>$C29*'Tab. 7'!J40</f>
        <v>93529.219098490066</v>
      </c>
      <c r="K32" s="308">
        <f>$C29*'Tab. 7'!K40</f>
        <v>53445.268056280023</v>
      </c>
      <c r="L32" s="308">
        <f>$C29*'Tab. 7'!L40</f>
        <v>84783.770764406334</v>
      </c>
      <c r="M32" s="308">
        <f>$C29*'Tab. 7'!M40</f>
        <v>94204.189738229208</v>
      </c>
      <c r="N32" s="308">
        <f>$C29*'Tab. 7'!N40</f>
        <v>108334.81819896361</v>
      </c>
      <c r="O32" s="157">
        <f>SUM(C32:N32)</f>
        <v>1058959.2781370829</v>
      </c>
    </row>
    <row r="33" spans="2:15" ht="17" thickBot="1" x14ac:dyDescent="0.2">
      <c r="B33" s="246" t="s">
        <v>166</v>
      </c>
      <c r="C33" s="309">
        <f>$C29*'Tab. 7'!C42</f>
        <v>90209.331717913548</v>
      </c>
      <c r="D33" s="309">
        <f>$C29*'Tab. 7'!D42</f>
        <v>93529.21909849011</v>
      </c>
      <c r="E33" s="309">
        <f>$C29*'Tab. 7'!E42</f>
        <v>97982.991436513359</v>
      </c>
      <c r="F33" s="309">
        <f>$C29*'Tab. 7'!F42</f>
        <v>97982.991436513388</v>
      </c>
      <c r="G33" s="309">
        <f>$C29*'Tab. 7'!G42</f>
        <v>53445.268056280023</v>
      </c>
      <c r="H33" s="309">
        <f>$C29*'Tab. 7'!H42</f>
        <v>97982.991436513388</v>
      </c>
      <c r="I33" s="309">
        <f>$C29*'Tab. 7'!I42</f>
        <v>93529.219098490052</v>
      </c>
      <c r="J33" s="309">
        <f>$C29*'Tab. 7'!J42</f>
        <v>93529.219098490066</v>
      </c>
      <c r="K33" s="309">
        <f>$C29*'Tab. 7'!K42</f>
        <v>53445.268056280023</v>
      </c>
      <c r="L33" s="309">
        <f>$C29*'Tab. 7'!L42</f>
        <v>84783.770764406334</v>
      </c>
      <c r="M33" s="309">
        <f>$C29*'Tab. 7'!M42</f>
        <v>94204.189738229208</v>
      </c>
      <c r="N33" s="309">
        <f>$C29*'Tab. 7'!N42</f>
        <v>108334.81819896361</v>
      </c>
      <c r="O33" s="157">
        <f>SUM(C33:N33)</f>
        <v>1058959.2781370829</v>
      </c>
    </row>
    <row r="34" spans="2:15" ht="17" thickBot="1" x14ac:dyDescent="0.2">
      <c r="B34" s="247" t="s">
        <v>131</v>
      </c>
      <c r="C34" s="310">
        <f>C31-C32+C33</f>
        <v>175000</v>
      </c>
      <c r="D34" s="310">
        <f t="shared" ref="D34" si="30">D31-D32+D33</f>
        <v>175000</v>
      </c>
      <c r="E34" s="310">
        <f t="shared" ref="E34" si="31">E31-E32+E33</f>
        <v>175000</v>
      </c>
      <c r="F34" s="310">
        <f t="shared" ref="F34" si="32">F31-F32+F33</f>
        <v>175000</v>
      </c>
      <c r="G34" s="310">
        <f t="shared" ref="G34" si="33">G31-G32+G33</f>
        <v>175000</v>
      </c>
      <c r="H34" s="310">
        <f t="shared" ref="H34" si="34">H31-H32+H33</f>
        <v>175000</v>
      </c>
      <c r="I34" s="310">
        <f t="shared" ref="I34" si="35">I31-I32+I33</f>
        <v>175000</v>
      </c>
      <c r="J34" s="310">
        <f t="shared" ref="J34" si="36">J31-J32+J33</f>
        <v>175000</v>
      </c>
      <c r="K34" s="310">
        <f t="shared" ref="K34" si="37">K31-K32+K33</f>
        <v>175000</v>
      </c>
      <c r="L34" s="310">
        <f t="shared" ref="L34" si="38">L31-L32+L33</f>
        <v>175000</v>
      </c>
      <c r="M34" s="310">
        <f t="shared" ref="M34" si="39">M31-M32+M33</f>
        <v>175000</v>
      </c>
      <c r="N34" s="310">
        <f t="shared" ref="N34" si="40">N31-N32+N33</f>
        <v>175000</v>
      </c>
      <c r="O34" s="252"/>
    </row>
    <row r="35" spans="2:15" ht="16" x14ac:dyDescent="0.15">
      <c r="B35" s="282" t="s">
        <v>145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244"/>
    </row>
    <row r="36" spans="2:15" ht="16" x14ac:dyDescent="0.15">
      <c r="B36" s="284" t="s">
        <v>164</v>
      </c>
      <c r="C36" s="307">
        <f>VLOOKUP(B35,'Tab. 6'!$B$5:$F$16,4,0)</f>
        <v>15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244"/>
    </row>
    <row r="37" spans="2:15" ht="16" x14ac:dyDescent="0.15">
      <c r="B37" s="136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244"/>
    </row>
    <row r="38" spans="2:15" ht="16" x14ac:dyDescent="0.15">
      <c r="B38" s="136" t="s">
        <v>126</v>
      </c>
      <c r="C38" s="308">
        <f>C36*'Tab. 7'!C48</f>
        <v>105000</v>
      </c>
      <c r="D38" s="309">
        <f>+C41</f>
        <v>112235.06291818812</v>
      </c>
      <c r="E38" s="309">
        <f t="shared" ref="E38:G38" si="41">+D41</f>
        <v>117579.58972381604</v>
      </c>
      <c r="F38" s="309">
        <f t="shared" si="41"/>
        <v>117579.58972381605</v>
      </c>
      <c r="G38" s="309">
        <f t="shared" si="41"/>
        <v>105000.03</v>
      </c>
      <c r="H38" s="309">
        <f>+G41</f>
        <v>117579.58972381605</v>
      </c>
      <c r="I38" s="309">
        <f t="shared" ref="I38:N38" si="42">+H41</f>
        <v>112235.06291818806</v>
      </c>
      <c r="J38" s="309">
        <f t="shared" si="42"/>
        <v>112235.06291818808</v>
      </c>
      <c r="K38" s="309">
        <f t="shared" si="42"/>
        <v>105000.03</v>
      </c>
      <c r="L38" s="309">
        <f t="shared" si="42"/>
        <v>105000.03</v>
      </c>
      <c r="M38" s="309">
        <f t="shared" si="42"/>
        <v>113045.02768587504</v>
      </c>
      <c r="N38" s="309">
        <f t="shared" si="42"/>
        <v>130001.78183875632</v>
      </c>
      <c r="O38" s="153"/>
    </row>
    <row r="39" spans="2:15" ht="16" x14ac:dyDescent="0.15">
      <c r="B39" s="246" t="s">
        <v>165</v>
      </c>
      <c r="C39" s="308">
        <f>$C36*'Tab. 7'!C49</f>
        <v>108251.19806149627</v>
      </c>
      <c r="D39" s="308">
        <f>$C36*'Tab. 7'!D49</f>
        <v>112235.06291818812</v>
      </c>
      <c r="E39" s="308">
        <f>$C36*'Tab. 7'!E49</f>
        <v>117579.58972381604</v>
      </c>
      <c r="F39" s="308">
        <f>$C36*'Tab. 7'!F49</f>
        <v>117579.58972381605</v>
      </c>
      <c r="G39" s="308">
        <f>$C36*'Tab. 7'!G49</f>
        <v>64134.321667536024</v>
      </c>
      <c r="H39" s="308">
        <f>$C36*'Tab. 7'!H49</f>
        <v>117579.58972381605</v>
      </c>
      <c r="I39" s="308">
        <f>$C36*'Tab. 7'!I49</f>
        <v>112235.06291818806</v>
      </c>
      <c r="J39" s="308">
        <f>$C36*'Tab. 7'!J49</f>
        <v>112235.06291818808</v>
      </c>
      <c r="K39" s="308">
        <f>$C36*'Tab. 7'!K49</f>
        <v>64134.321667536024</v>
      </c>
      <c r="L39" s="308">
        <f>$C36*'Tab. 7'!L49</f>
        <v>101740.52491728761</v>
      </c>
      <c r="M39" s="308">
        <f>$C36*'Tab. 7'!M49</f>
        <v>113045.02768587504</v>
      </c>
      <c r="N39" s="308">
        <f>$C36*'Tab. 7'!N49</f>
        <v>130001.78183875632</v>
      </c>
      <c r="O39" s="157">
        <f>SUM(C39:N39)</f>
        <v>1270751.1337644996</v>
      </c>
    </row>
    <row r="40" spans="2:15" ht="17" thickBot="1" x14ac:dyDescent="0.2">
      <c r="B40" s="246" t="s">
        <v>166</v>
      </c>
      <c r="C40" s="309">
        <f>$C36*'Tab. 7'!C51</f>
        <v>115486.26097968439</v>
      </c>
      <c r="D40" s="309">
        <f>$C36*'Tab. 7'!D51</f>
        <v>117579.58972381604</v>
      </c>
      <c r="E40" s="309">
        <f>$C36*'Tab. 7'!E51</f>
        <v>117579.58972381605</v>
      </c>
      <c r="F40" s="309">
        <f>$C36*'Tab. 7'!F51</f>
        <v>105000.03</v>
      </c>
      <c r="G40" s="309">
        <f>$C36*'Tab. 7'!G51</f>
        <v>76713.881391352086</v>
      </c>
      <c r="H40" s="309">
        <f>$C36*'Tab. 7'!H51</f>
        <v>112235.06291818806</v>
      </c>
      <c r="I40" s="309">
        <f>$C36*'Tab. 7'!I51</f>
        <v>112235.06291818808</v>
      </c>
      <c r="J40" s="309">
        <f>$C36*'Tab. 7'!J51</f>
        <v>105000.03</v>
      </c>
      <c r="K40" s="309">
        <f>$C36*'Tab. 7'!K51</f>
        <v>64134.321667536024</v>
      </c>
      <c r="L40" s="309">
        <f>$C36*'Tab. 7'!L51</f>
        <v>109785.52260316265</v>
      </c>
      <c r="M40" s="309">
        <f>$C36*'Tab. 7'!M51</f>
        <v>130001.78183875632</v>
      </c>
      <c r="N40" s="309">
        <f>$C36*'Tab. 7'!N51</f>
        <v>118697.27907016885</v>
      </c>
      <c r="O40" s="157">
        <f>SUM(C40:N40)</f>
        <v>1284448.4128346685</v>
      </c>
    </row>
    <row r="41" spans="2:15" ht="17" thickBot="1" x14ac:dyDescent="0.2">
      <c r="B41" s="247" t="s">
        <v>131</v>
      </c>
      <c r="C41" s="310">
        <f>C38-C39+C40</f>
        <v>112235.06291818812</v>
      </c>
      <c r="D41" s="310">
        <f t="shared" ref="D41" si="43">D38-D39+D40</f>
        <v>117579.58972381604</v>
      </c>
      <c r="E41" s="310">
        <f t="shared" ref="E41" si="44">E38-E39+E40</f>
        <v>117579.58972381605</v>
      </c>
      <c r="F41" s="310">
        <f t="shared" ref="F41" si="45">F38-F39+F40</f>
        <v>105000.03</v>
      </c>
      <c r="G41" s="310">
        <f t="shared" ref="G41" si="46">G38-G39+G40</f>
        <v>117579.58972381605</v>
      </c>
      <c r="H41" s="310">
        <f t="shared" ref="H41" si="47">H38-H39+H40</f>
        <v>112235.06291818806</v>
      </c>
      <c r="I41" s="310">
        <f t="shared" ref="I41" si="48">I38-I39+I40</f>
        <v>112235.06291818808</v>
      </c>
      <c r="J41" s="310">
        <f t="shared" ref="J41" si="49">J38-J39+J40</f>
        <v>105000.03</v>
      </c>
      <c r="K41" s="310">
        <f t="shared" ref="K41" si="50">K38-K39+K40</f>
        <v>105000.03</v>
      </c>
      <c r="L41" s="310">
        <f t="shared" ref="L41" si="51">L38-L39+L40</f>
        <v>113045.02768587504</v>
      </c>
      <c r="M41" s="310">
        <f t="shared" ref="M41" si="52">M38-M39+M40</f>
        <v>130001.78183875632</v>
      </c>
      <c r="N41" s="310">
        <f t="shared" ref="N41" si="53">N38-N39+N40</f>
        <v>118697.27907016885</v>
      </c>
      <c r="O41" s="252"/>
    </row>
    <row r="42" spans="2:15" ht="16" x14ac:dyDescent="0.15">
      <c r="B42" s="282" t="s">
        <v>146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244"/>
    </row>
    <row r="43" spans="2:15" ht="16" x14ac:dyDescent="0.15">
      <c r="B43" s="284" t="s">
        <v>164</v>
      </c>
      <c r="C43" s="307">
        <f>VLOOKUP(B42,'Tab. 6'!$B$5:$F$16,4,0)</f>
        <v>20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244"/>
    </row>
    <row r="44" spans="2:15" ht="16" x14ac:dyDescent="0.15">
      <c r="B44" s="136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244"/>
    </row>
    <row r="45" spans="2:15" ht="16" x14ac:dyDescent="0.15">
      <c r="B45" s="136" t="s">
        <v>126</v>
      </c>
      <c r="C45" s="308">
        <f>C43*'Tab. 7'!C57</f>
        <v>420000</v>
      </c>
      <c r="D45" s="309">
        <f>+C48</f>
        <v>420000</v>
      </c>
      <c r="E45" s="309">
        <f t="shared" ref="E45:G45" si="54">+D48</f>
        <v>420000</v>
      </c>
      <c r="F45" s="309">
        <f t="shared" si="54"/>
        <v>420000</v>
      </c>
      <c r="G45" s="309">
        <f t="shared" si="54"/>
        <v>420000</v>
      </c>
      <c r="H45" s="309">
        <f>+G48</f>
        <v>420000</v>
      </c>
      <c r="I45" s="309">
        <f t="shared" ref="I45:N45" si="55">+H48</f>
        <v>420000</v>
      </c>
      <c r="J45" s="309">
        <f t="shared" si="55"/>
        <v>420000</v>
      </c>
      <c r="K45" s="309">
        <f t="shared" si="55"/>
        <v>420000</v>
      </c>
      <c r="L45" s="309">
        <f t="shared" si="55"/>
        <v>420000</v>
      </c>
      <c r="M45" s="309">
        <f t="shared" si="55"/>
        <v>420000</v>
      </c>
      <c r="N45" s="309">
        <f t="shared" si="55"/>
        <v>420000</v>
      </c>
      <c r="O45" s="153"/>
    </row>
    <row r="46" spans="2:15" ht="16" x14ac:dyDescent="0.15">
      <c r="B46" s="246" t="s">
        <v>165</v>
      </c>
      <c r="C46" s="308">
        <f>$C43*'Tab. 7'!C58</f>
        <v>216502.3961229925</v>
      </c>
      <c r="D46" s="308">
        <f>$C43*'Tab. 7'!D58</f>
        <v>224470.12583637625</v>
      </c>
      <c r="E46" s="308">
        <f>$C43*'Tab. 7'!E58</f>
        <v>235159.17944763205</v>
      </c>
      <c r="F46" s="308">
        <f>$C43*'Tab. 7'!F58</f>
        <v>235159.17944763211</v>
      </c>
      <c r="G46" s="308">
        <f>$C43*'Tab. 7'!G58</f>
        <v>128268.64333507205</v>
      </c>
      <c r="H46" s="308">
        <f>$C43*'Tab. 7'!H58</f>
        <v>235159.17944763211</v>
      </c>
      <c r="I46" s="308">
        <f>$C43*'Tab. 7'!I58</f>
        <v>224470.12583637613</v>
      </c>
      <c r="J46" s="308">
        <f>$C43*'Tab. 7'!J58</f>
        <v>224470.12583637616</v>
      </c>
      <c r="K46" s="308">
        <f>$C43*'Tab. 7'!K58</f>
        <v>128268.64333507205</v>
      </c>
      <c r="L46" s="308">
        <f>$C43*'Tab. 7'!L58</f>
        <v>203481.04983457521</v>
      </c>
      <c r="M46" s="308">
        <f>$C43*'Tab. 7'!M58</f>
        <v>226090.05537175009</v>
      </c>
      <c r="N46" s="308">
        <f>$C43*'Tab. 7'!N58</f>
        <v>260003.56367751263</v>
      </c>
      <c r="O46" s="157">
        <f>SUM(C46:N46)</f>
        <v>2541502.2675289991</v>
      </c>
    </row>
    <row r="47" spans="2:15" ht="17" thickBot="1" x14ac:dyDescent="0.2">
      <c r="B47" s="246" t="s">
        <v>166</v>
      </c>
      <c r="C47" s="309">
        <f>$C43*'Tab. 7'!C60</f>
        <v>216502.3961229925</v>
      </c>
      <c r="D47" s="309">
        <f>$C43*'Tab. 7'!D60</f>
        <v>224470.12583637625</v>
      </c>
      <c r="E47" s="309">
        <f>$C43*'Tab. 7'!E60</f>
        <v>235159.17944763205</v>
      </c>
      <c r="F47" s="309">
        <f>$C43*'Tab. 7'!F60</f>
        <v>235159.17944763211</v>
      </c>
      <c r="G47" s="309">
        <f>$C43*'Tab. 7'!G60</f>
        <v>128268.64333507205</v>
      </c>
      <c r="H47" s="309">
        <f>$C43*'Tab. 7'!H60</f>
        <v>235159.17944763211</v>
      </c>
      <c r="I47" s="309">
        <f>$C43*'Tab. 7'!I60</f>
        <v>224470.12583637613</v>
      </c>
      <c r="J47" s="309">
        <f>$C43*'Tab. 7'!J60</f>
        <v>224470.12583637616</v>
      </c>
      <c r="K47" s="309">
        <f>$C43*'Tab. 7'!K60</f>
        <v>128268.64333507205</v>
      </c>
      <c r="L47" s="309">
        <f>$C43*'Tab. 7'!L60</f>
        <v>203481.04983457521</v>
      </c>
      <c r="M47" s="309">
        <f>$C43*'Tab. 7'!M60</f>
        <v>226090.05537175009</v>
      </c>
      <c r="N47" s="309">
        <f>$C43*'Tab. 7'!N60</f>
        <v>260003.56367751263</v>
      </c>
      <c r="O47" s="157">
        <f>SUM(C47:N47)</f>
        <v>2541502.2675289991</v>
      </c>
    </row>
    <row r="48" spans="2:15" ht="17" thickBot="1" x14ac:dyDescent="0.2">
      <c r="B48" s="247" t="s">
        <v>131</v>
      </c>
      <c r="C48" s="310">
        <f>C45-C46+C47</f>
        <v>420000</v>
      </c>
      <c r="D48" s="310">
        <f t="shared" ref="D48" si="56">D45-D46+D47</f>
        <v>420000</v>
      </c>
      <c r="E48" s="310">
        <f t="shared" ref="E48" si="57">E45-E46+E47</f>
        <v>420000</v>
      </c>
      <c r="F48" s="310">
        <f t="shared" ref="F48" si="58">F45-F46+F47</f>
        <v>420000</v>
      </c>
      <c r="G48" s="310">
        <f t="shared" ref="G48" si="59">G45-G46+G47</f>
        <v>420000</v>
      </c>
      <c r="H48" s="310">
        <f t="shared" ref="H48" si="60">H45-H46+H47</f>
        <v>420000</v>
      </c>
      <c r="I48" s="310">
        <f t="shared" ref="I48" si="61">I45-I46+I47</f>
        <v>420000</v>
      </c>
      <c r="J48" s="310">
        <f t="shared" ref="J48" si="62">J45-J46+J47</f>
        <v>420000</v>
      </c>
      <c r="K48" s="310">
        <f t="shared" ref="K48" si="63">K45-K46+K47</f>
        <v>420000</v>
      </c>
      <c r="L48" s="310">
        <f t="shared" ref="L48" si="64">L45-L46+L47</f>
        <v>420000</v>
      </c>
      <c r="M48" s="310">
        <f t="shared" ref="M48" si="65">M45-M46+M47</f>
        <v>420000</v>
      </c>
      <c r="N48" s="310">
        <f t="shared" ref="N48" si="66">N45-N46+N47</f>
        <v>420000</v>
      </c>
      <c r="O48" s="252"/>
    </row>
    <row r="49" spans="2:15" ht="16" x14ac:dyDescent="0.15">
      <c r="B49" s="282" t="s">
        <v>147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244"/>
    </row>
    <row r="50" spans="2:15" ht="16" x14ac:dyDescent="0.15">
      <c r="B50" s="284" t="s">
        <v>164</v>
      </c>
      <c r="C50" s="307">
        <f>VLOOKUP(B49,'Tab. 6'!$B$5:$F$16,4,0)</f>
        <v>50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244"/>
    </row>
    <row r="51" spans="2:15" ht="16" x14ac:dyDescent="0.15">
      <c r="B51" s="136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244"/>
    </row>
    <row r="52" spans="2:15" ht="16" x14ac:dyDescent="0.15">
      <c r="B52" s="136" t="s">
        <v>126</v>
      </c>
      <c r="C52" s="308">
        <f>C50*'Tab. 7'!C66</f>
        <v>175000</v>
      </c>
      <c r="D52" s="309">
        <f>+C55</f>
        <v>187058.43819698022</v>
      </c>
      <c r="E52" s="309">
        <f t="shared" ref="E52:G52" si="67">+D55</f>
        <v>195965.98287302672</v>
      </c>
      <c r="F52" s="309">
        <f t="shared" si="67"/>
        <v>195965.98287302678</v>
      </c>
      <c r="G52" s="309">
        <f t="shared" si="67"/>
        <v>175000</v>
      </c>
      <c r="H52" s="309">
        <f>+G55</f>
        <v>195965.98287302675</v>
      </c>
      <c r="I52" s="309">
        <f t="shared" ref="I52:N52" si="68">+H55</f>
        <v>187058.43819698007</v>
      </c>
      <c r="J52" s="309">
        <f t="shared" si="68"/>
        <v>187058.4381969801</v>
      </c>
      <c r="K52" s="309">
        <f t="shared" si="68"/>
        <v>174999.99999999997</v>
      </c>
      <c r="L52" s="309">
        <f t="shared" si="68"/>
        <v>174999.99999999997</v>
      </c>
      <c r="M52" s="309">
        <f t="shared" si="68"/>
        <v>188408.37947645839</v>
      </c>
      <c r="N52" s="309">
        <f t="shared" si="68"/>
        <v>216669.63639792718</v>
      </c>
      <c r="O52" s="153"/>
    </row>
    <row r="53" spans="2:15" ht="16" x14ac:dyDescent="0.15">
      <c r="B53" s="246" t="s">
        <v>165</v>
      </c>
      <c r="C53" s="308">
        <f>$C50*'Tab. 7'!C67</f>
        <v>180418.6634358271</v>
      </c>
      <c r="D53" s="308">
        <f>$C50*'Tab. 7'!D67</f>
        <v>187058.43819698022</v>
      </c>
      <c r="E53" s="308">
        <f>$C50*'Tab. 7'!E67</f>
        <v>195965.98287302672</v>
      </c>
      <c r="F53" s="308">
        <f>$C50*'Tab. 7'!F67</f>
        <v>195965.98287302678</v>
      </c>
      <c r="G53" s="308">
        <f>$C50*'Tab. 7'!G67</f>
        <v>106890.53611256005</v>
      </c>
      <c r="H53" s="308">
        <f>$C50*'Tab. 7'!H67</f>
        <v>195965.98287302678</v>
      </c>
      <c r="I53" s="308">
        <f>$C50*'Tab. 7'!I67</f>
        <v>187058.4381969801</v>
      </c>
      <c r="J53" s="308">
        <f>$C50*'Tab. 7'!J67</f>
        <v>187058.43819698013</v>
      </c>
      <c r="K53" s="308">
        <f>$C50*'Tab. 7'!K67</f>
        <v>106890.53611256005</v>
      </c>
      <c r="L53" s="308">
        <f>$C50*'Tab. 7'!L67</f>
        <v>169567.54152881267</v>
      </c>
      <c r="M53" s="308">
        <f>$C50*'Tab. 7'!M67</f>
        <v>188408.37947645842</v>
      </c>
      <c r="N53" s="308">
        <f>$C50*'Tab. 7'!N67</f>
        <v>216669.63639792721</v>
      </c>
      <c r="O53" s="157">
        <f>SUM(C53:N53)</f>
        <v>2117918.5562741659</v>
      </c>
    </row>
    <row r="54" spans="2:15" ht="17" thickBot="1" x14ac:dyDescent="0.2">
      <c r="B54" s="246" t="s">
        <v>166</v>
      </c>
      <c r="C54" s="309">
        <f>$C50*'Tab. 7'!C69</f>
        <v>192477.10163280732</v>
      </c>
      <c r="D54" s="309">
        <f>$C50*'Tab. 7'!D69</f>
        <v>195965.98287302672</v>
      </c>
      <c r="E54" s="309">
        <f>$C50*'Tab. 7'!E69</f>
        <v>195965.98287302678</v>
      </c>
      <c r="F54" s="309">
        <f>$C50*'Tab. 7'!F69</f>
        <v>175000</v>
      </c>
      <c r="G54" s="309">
        <f>$C50*'Tab. 7'!G69</f>
        <v>127856.51898558681</v>
      </c>
      <c r="H54" s="309">
        <f>$C50*'Tab. 7'!H69</f>
        <v>187058.4381969801</v>
      </c>
      <c r="I54" s="309">
        <f>$C50*'Tab. 7'!I69</f>
        <v>187058.43819698013</v>
      </c>
      <c r="J54" s="309">
        <f>$C50*'Tab. 7'!J69</f>
        <v>175000</v>
      </c>
      <c r="K54" s="309">
        <f>$C50*'Tab. 7'!K69</f>
        <v>106890.53611256005</v>
      </c>
      <c r="L54" s="309">
        <f>$C50*'Tab. 7'!L69</f>
        <v>182975.92100527108</v>
      </c>
      <c r="M54" s="309">
        <f>$C50*'Tab. 7'!M69</f>
        <v>216669.63639792721</v>
      </c>
      <c r="N54" s="309">
        <f>$C50*'Tab. 7'!N69</f>
        <v>197828.79845028141</v>
      </c>
      <c r="O54" s="157">
        <f>SUM(C54:N54)</f>
        <v>2140747.3547244477</v>
      </c>
    </row>
    <row r="55" spans="2:15" ht="17" thickBot="1" x14ac:dyDescent="0.2">
      <c r="B55" s="247" t="s">
        <v>131</v>
      </c>
      <c r="C55" s="310">
        <f>C52-C53+C54</f>
        <v>187058.43819698022</v>
      </c>
      <c r="D55" s="310">
        <f t="shared" ref="D55" si="69">D52-D53+D54</f>
        <v>195965.98287302672</v>
      </c>
      <c r="E55" s="310">
        <f t="shared" ref="E55" si="70">E52-E53+E54</f>
        <v>195965.98287302678</v>
      </c>
      <c r="F55" s="310">
        <f t="shared" ref="F55" si="71">F52-F53+F54</f>
        <v>175000</v>
      </c>
      <c r="G55" s="310">
        <f t="shared" ref="G55" si="72">G52-G53+G54</f>
        <v>195965.98287302675</v>
      </c>
      <c r="H55" s="310">
        <f t="shared" ref="H55" si="73">H52-H53+H54</f>
        <v>187058.43819698007</v>
      </c>
      <c r="I55" s="310">
        <f t="shared" ref="I55" si="74">I52-I53+I54</f>
        <v>187058.4381969801</v>
      </c>
      <c r="J55" s="310">
        <f t="shared" ref="J55" si="75">J52-J53+J54</f>
        <v>174999.99999999997</v>
      </c>
      <c r="K55" s="310">
        <f t="shared" ref="K55" si="76">K52-K53+K54</f>
        <v>174999.99999999997</v>
      </c>
      <c r="L55" s="310">
        <f t="shared" ref="L55" si="77">L52-L53+L54</f>
        <v>188408.37947645839</v>
      </c>
      <c r="M55" s="310">
        <f t="shared" ref="M55" si="78">M52-M53+M54</f>
        <v>216669.63639792718</v>
      </c>
      <c r="N55" s="310">
        <f t="shared" ref="N55" si="79">N52-N53+N54</f>
        <v>197828.79845028138</v>
      </c>
      <c r="O55" s="252"/>
    </row>
    <row r="56" spans="2:15" ht="16" x14ac:dyDescent="0.15">
      <c r="B56" s="313" t="s">
        <v>3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244"/>
    </row>
    <row r="57" spans="2:15" ht="16" x14ac:dyDescent="0.15">
      <c r="B57" s="315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244"/>
    </row>
    <row r="58" spans="2:15" ht="16" x14ac:dyDescent="0.15">
      <c r="B58" s="315" t="s">
        <v>126</v>
      </c>
      <c r="C58" s="316">
        <f>+C10+C17+C24+C31+C38+C45+C52</f>
        <v>7503979</v>
      </c>
      <c r="D58" s="316">
        <f>+C61</f>
        <v>7507032.2540102443</v>
      </c>
      <c r="E58" s="316">
        <f t="shared" ref="E58:G58" si="80">+D61</f>
        <v>7521284.3254919183</v>
      </c>
      <c r="F58" s="316">
        <f t="shared" si="80"/>
        <v>7532177.647058351</v>
      </c>
      <c r="G58" s="316">
        <f t="shared" si="80"/>
        <v>7498632.1044615079</v>
      </c>
      <c r="H58" s="316">
        <f>+G61</f>
        <v>7517524.5725968434</v>
      </c>
      <c r="I58" s="316">
        <f t="shared" ref="I58:N58" si="81">+H61</f>
        <v>7517925.5755766761</v>
      </c>
      <c r="J58" s="316">
        <f t="shared" si="81"/>
        <v>7507032.2540102443</v>
      </c>
      <c r="K58" s="316">
        <f t="shared" si="81"/>
        <v>7487738.7828950761</v>
      </c>
      <c r="L58" s="316">
        <f t="shared" si="81"/>
        <v>7483979.0300000003</v>
      </c>
      <c r="M58" s="316">
        <f t="shared" si="81"/>
        <v>7505432.4071623338</v>
      </c>
      <c r="N58" s="316">
        <f t="shared" si="81"/>
        <v>7550650.4182366831</v>
      </c>
      <c r="O58" s="153"/>
    </row>
    <row r="59" spans="2:15" ht="16" x14ac:dyDescent="0.15">
      <c r="B59" s="317" t="s">
        <v>165</v>
      </c>
      <c r="C59" s="316">
        <f>+C11+C18+C25+C32+C39+C46+C53</f>
        <v>6358500.1294951411</v>
      </c>
      <c r="D59" s="316">
        <f t="shared" ref="D59:N59" si="82">+D11+D18+D25+D32+D39+D46+D53</f>
        <v>7341092.3794315038</v>
      </c>
      <c r="E59" s="316">
        <f t="shared" si="82"/>
        <v>7374762.8983069602</v>
      </c>
      <c r="F59" s="316">
        <f t="shared" si="82"/>
        <v>7690668.20702348</v>
      </c>
      <c r="G59" s="316">
        <f t="shared" si="82"/>
        <v>7353963.0182689168</v>
      </c>
      <c r="H59" s="316">
        <f t="shared" si="82"/>
        <v>4531615.1198582817</v>
      </c>
      <c r="I59" s="316">
        <f t="shared" si="82"/>
        <v>7656997.6881480236</v>
      </c>
      <c r="J59" s="316">
        <f t="shared" si="82"/>
        <v>7341092.3794315038</v>
      </c>
      <c r="K59" s="316">
        <f t="shared" si="82"/>
        <v>7038057.709552398</v>
      </c>
      <c r="L59" s="316">
        <f t="shared" si="82"/>
        <v>4431829.0115771508</v>
      </c>
      <c r="M59" s="316">
        <f t="shared" si="82"/>
        <v>6297941.8692329768</v>
      </c>
      <c r="N59" s="316">
        <f t="shared" si="82"/>
        <v>7025409.2198196817</v>
      </c>
      <c r="O59" s="157">
        <f>SUM(C59:N59)</f>
        <v>80441929.630146012</v>
      </c>
    </row>
    <row r="60" spans="2:15" ht="17" thickBot="1" x14ac:dyDescent="0.2">
      <c r="B60" s="317" t="s">
        <v>166</v>
      </c>
      <c r="C60" s="316">
        <f>+C12+C19+C26+C33+C40+C47+C54</f>
        <v>6361553.3835053854</v>
      </c>
      <c r="D60" s="316">
        <f t="shared" ref="D60:N60" si="83">+D12+D19+D26+D33+D40+D47+D54</f>
        <v>7355344.4509131778</v>
      </c>
      <c r="E60" s="316">
        <f t="shared" si="83"/>
        <v>7385656.219873393</v>
      </c>
      <c r="F60" s="316">
        <f t="shared" si="83"/>
        <v>7657122.6644266369</v>
      </c>
      <c r="G60" s="316">
        <f t="shared" si="83"/>
        <v>7372855.4864042522</v>
      </c>
      <c r="H60" s="316">
        <f t="shared" si="83"/>
        <v>4532016.1228381144</v>
      </c>
      <c r="I60" s="316">
        <f t="shared" si="83"/>
        <v>7646104.3665815918</v>
      </c>
      <c r="J60" s="316">
        <f t="shared" si="83"/>
        <v>7321798.9083163356</v>
      </c>
      <c r="K60" s="316">
        <f t="shared" si="83"/>
        <v>7034297.9566573221</v>
      </c>
      <c r="L60" s="316">
        <f t="shared" si="83"/>
        <v>4453282.3887394844</v>
      </c>
      <c r="M60" s="316">
        <f t="shared" si="83"/>
        <v>6343159.8803073261</v>
      </c>
      <c r="N60" s="316">
        <f t="shared" si="83"/>
        <v>7016380.4537327988</v>
      </c>
      <c r="O60" s="157">
        <f>SUM(C60:N60)</f>
        <v>80479572.282295823</v>
      </c>
    </row>
    <row r="61" spans="2:15" ht="17" thickBot="1" x14ac:dyDescent="0.2">
      <c r="B61" s="318" t="s">
        <v>131</v>
      </c>
      <c r="C61" s="319">
        <f>C58-C59+C60</f>
        <v>7507032.2540102443</v>
      </c>
      <c r="D61" s="319">
        <f t="shared" ref="D61" si="84">D58-D59+D60</f>
        <v>7521284.3254919183</v>
      </c>
      <c r="E61" s="319">
        <f t="shared" ref="E61" si="85">E58-E59+E60</f>
        <v>7532177.647058351</v>
      </c>
      <c r="F61" s="319">
        <f t="shared" ref="F61" si="86">F58-F59+F60</f>
        <v>7498632.1044615079</v>
      </c>
      <c r="G61" s="319">
        <f t="shared" ref="G61" si="87">G58-G59+G60</f>
        <v>7517524.5725968434</v>
      </c>
      <c r="H61" s="319">
        <f t="shared" ref="H61" si="88">H58-H59+H60</f>
        <v>7517925.5755766761</v>
      </c>
      <c r="I61" s="319">
        <f t="shared" ref="I61" si="89">I58-I59+I60</f>
        <v>7507032.2540102443</v>
      </c>
      <c r="J61" s="319">
        <f t="shared" ref="J61" si="90">J58-J59+J60</f>
        <v>7487738.7828950761</v>
      </c>
      <c r="K61" s="319">
        <f t="shared" ref="K61" si="91">K58-K59+K60</f>
        <v>7483979.0300000003</v>
      </c>
      <c r="L61" s="319">
        <f t="shared" ref="L61" si="92">L58-L59+L60</f>
        <v>7505432.4071623338</v>
      </c>
      <c r="M61" s="319">
        <f t="shared" ref="M61" si="93">M58-M59+M60</f>
        <v>7550650.4182366831</v>
      </c>
      <c r="N61" s="319">
        <f t="shared" ref="N61" si="94">N58-N59+N60</f>
        <v>7541621.6521498002</v>
      </c>
      <c r="O61" s="252"/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>
    <pageSetUpPr fitToPage="1"/>
  </sheetPr>
  <dimension ref="B2:DG48"/>
  <sheetViews>
    <sheetView showGridLines="0" topLeftCell="K1" zoomScale="140" zoomScaleNormal="140" workbookViewId="0">
      <selection activeCell="B2" sqref="B2"/>
    </sheetView>
  </sheetViews>
  <sheetFormatPr baseColWidth="10" defaultColWidth="9.1640625" defaultRowHeight="16" x14ac:dyDescent="0.2"/>
  <cols>
    <col min="1" max="1" width="1.5" style="2" customWidth="1"/>
    <col min="2" max="2" width="20" style="2" customWidth="1"/>
    <col min="3" max="3" width="11.33203125" style="2" bestFit="1" customWidth="1"/>
    <col min="4" max="4" width="9.1640625" style="2"/>
    <col min="5" max="5" width="14" style="2" bestFit="1" customWidth="1"/>
    <col min="6" max="6" width="11.33203125" style="2" bestFit="1" customWidth="1"/>
    <col min="7" max="7" width="9.1640625" style="2"/>
    <col min="8" max="8" width="14" style="2" bestFit="1" customWidth="1"/>
    <col min="9" max="9" width="11.33203125" style="2" bestFit="1" customWidth="1"/>
    <col min="10" max="10" width="9.1640625" style="2"/>
    <col min="11" max="11" width="14" style="2" bestFit="1" customWidth="1"/>
    <col min="12" max="12" width="11.33203125" style="2" bestFit="1" customWidth="1"/>
    <col min="13" max="13" width="9.1640625" style="2"/>
    <col min="14" max="14" width="14" style="2" bestFit="1" customWidth="1"/>
    <col min="15" max="15" width="11.33203125" style="2" bestFit="1" customWidth="1"/>
    <col min="16" max="16" width="9.1640625" style="2"/>
    <col min="17" max="17" width="14" style="2" bestFit="1" customWidth="1"/>
    <col min="18" max="18" width="11.33203125" style="2" bestFit="1" customWidth="1"/>
    <col min="19" max="19" width="9.1640625" style="2"/>
    <col min="20" max="20" width="14" style="2" bestFit="1" customWidth="1"/>
    <col min="21" max="21" width="12.33203125" style="2" bestFit="1" customWidth="1"/>
    <col min="22" max="22" width="9.1640625" style="2"/>
    <col min="23" max="23" width="14" style="2" bestFit="1" customWidth="1"/>
    <col min="24" max="24" width="2.33203125" style="2" customWidth="1"/>
    <col min="25" max="25" width="15" style="2" bestFit="1" customWidth="1"/>
    <col min="26" max="26" width="8.6640625" style="2" bestFit="1" customWidth="1"/>
    <col min="27" max="27" width="16.5" style="2" bestFit="1" customWidth="1"/>
    <col min="28" max="28" width="8.6640625" style="2" bestFit="1" customWidth="1"/>
    <col min="29" max="29" width="10.33203125" style="2" bestFit="1" customWidth="1"/>
    <col min="30" max="30" width="8.6640625" style="2" bestFit="1" customWidth="1"/>
    <col min="31" max="31" width="10.33203125" style="2" bestFit="1" customWidth="1"/>
    <col min="32" max="33" width="8.6640625" style="2" bestFit="1" customWidth="1"/>
    <col min="34" max="34" width="12.83203125" style="2" bestFit="1" customWidth="1"/>
    <col min="35" max="35" width="9.1640625" style="2"/>
    <col min="36" max="36" width="14" style="2" bestFit="1" customWidth="1"/>
    <col min="37" max="16384" width="9.1640625" style="2"/>
  </cols>
  <sheetData>
    <row r="2" spans="2:24" x14ac:dyDescent="0.2">
      <c r="B2" s="73" t="s">
        <v>588</v>
      </c>
    </row>
    <row r="3" spans="2:24" x14ac:dyDescent="0.2">
      <c r="B3" s="11"/>
      <c r="E3" s="35"/>
    </row>
    <row r="4" spans="2:24" ht="17" thickBot="1" x14ac:dyDescent="0.25"/>
    <row r="5" spans="2:24" x14ac:dyDescent="0.2">
      <c r="B5" s="12"/>
      <c r="C5" s="436" t="s">
        <v>91</v>
      </c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8"/>
      <c r="X5" s="13"/>
    </row>
    <row r="6" spans="2:24" x14ac:dyDescent="0.2">
      <c r="B6" s="14"/>
      <c r="C6" s="440" t="s">
        <v>24</v>
      </c>
      <c r="D6" s="441"/>
      <c r="E6" s="441"/>
      <c r="F6" s="441" t="s">
        <v>25</v>
      </c>
      <c r="G6" s="441"/>
      <c r="H6" s="441"/>
      <c r="I6" s="441" t="s">
        <v>26</v>
      </c>
      <c r="J6" s="441"/>
      <c r="K6" s="441"/>
      <c r="L6" s="441" t="s">
        <v>27</v>
      </c>
      <c r="M6" s="441"/>
      <c r="N6" s="441"/>
      <c r="O6" s="441" t="s">
        <v>28</v>
      </c>
      <c r="P6" s="441"/>
      <c r="Q6" s="441"/>
      <c r="R6" s="441" t="s">
        <v>29</v>
      </c>
      <c r="S6" s="441"/>
      <c r="T6" s="416"/>
      <c r="U6" s="427" t="s">
        <v>2</v>
      </c>
      <c r="V6" s="428"/>
      <c r="W6" s="429"/>
      <c r="X6" s="15"/>
    </row>
    <row r="7" spans="2:24" x14ac:dyDescent="0.2">
      <c r="B7" s="16"/>
      <c r="C7" s="17" t="s">
        <v>0</v>
      </c>
      <c r="D7" s="15" t="s">
        <v>168</v>
      </c>
      <c r="E7" s="18" t="s">
        <v>1</v>
      </c>
      <c r="F7" s="19" t="s">
        <v>0</v>
      </c>
      <c r="G7" s="19" t="s">
        <v>168</v>
      </c>
      <c r="H7" s="20" t="s">
        <v>1</v>
      </c>
      <c r="I7" s="21" t="s">
        <v>0</v>
      </c>
      <c r="J7" s="19" t="s">
        <v>168</v>
      </c>
      <c r="K7" s="20" t="s">
        <v>1</v>
      </c>
      <c r="L7" s="21" t="s">
        <v>0</v>
      </c>
      <c r="M7" s="19" t="s">
        <v>168</v>
      </c>
      <c r="N7" s="20" t="s">
        <v>1</v>
      </c>
      <c r="O7" s="21" t="s">
        <v>0</v>
      </c>
      <c r="P7" s="19" t="s">
        <v>168</v>
      </c>
      <c r="Q7" s="20" t="s">
        <v>1</v>
      </c>
      <c r="R7" s="21" t="s">
        <v>0</v>
      </c>
      <c r="S7" s="19" t="s">
        <v>168</v>
      </c>
      <c r="T7" s="22" t="s">
        <v>1</v>
      </c>
      <c r="U7" s="23" t="s">
        <v>0</v>
      </c>
      <c r="V7" s="23" t="s">
        <v>168</v>
      </c>
      <c r="W7" s="24" t="s">
        <v>1</v>
      </c>
      <c r="X7" s="15"/>
    </row>
    <row r="8" spans="2:24" x14ac:dyDescent="0.2">
      <c r="B8" s="25"/>
      <c r="C8" s="16"/>
      <c r="E8" s="26"/>
      <c r="H8" s="26"/>
      <c r="I8" s="27"/>
      <c r="K8" s="26"/>
      <c r="L8" s="27"/>
      <c r="N8" s="26"/>
      <c r="O8" s="27"/>
      <c r="Q8" s="26"/>
      <c r="U8" s="28"/>
      <c r="V8" s="29"/>
      <c r="W8" s="30"/>
    </row>
    <row r="9" spans="2:24" x14ac:dyDescent="0.2">
      <c r="B9" s="16" t="s">
        <v>94</v>
      </c>
      <c r="C9" s="31">
        <f>'Tab 3'!C9</f>
        <v>18863.320540150991</v>
      </c>
      <c r="D9" s="57">
        <f>'Tab. 6'!$F$8</f>
        <v>108.74965</v>
      </c>
      <c r="E9" s="60">
        <f>C9*D9</f>
        <v>2051379.5065792312</v>
      </c>
      <c r="F9" s="32">
        <f>'Tab 3'!F9</f>
        <v>20959.245044612213</v>
      </c>
      <c r="G9" s="57">
        <f>'Tab. 6'!$F$8</f>
        <v>108.74965</v>
      </c>
      <c r="H9" s="60">
        <f>F9*G9</f>
        <v>2279310.5628658128</v>
      </c>
      <c r="I9" s="32">
        <f>'Tab 3'!I9</f>
        <v>24103.131801304044</v>
      </c>
      <c r="J9" s="57">
        <f>'Tab. 6'!$F$8</f>
        <v>108.74965</v>
      </c>
      <c r="K9" s="60">
        <f>I9*J9</f>
        <v>2621207.1472956846</v>
      </c>
      <c r="L9" s="32">
        <f>'Tab 3'!L9</f>
        <v>22007.207296842822</v>
      </c>
      <c r="M9" s="57">
        <f>'Tab. 6'!$F$8</f>
        <v>108.74965</v>
      </c>
      <c r="N9" s="60">
        <f>L9*M9</f>
        <v>2393276.0910091032</v>
      </c>
      <c r="O9" s="32">
        <f>'Tab 3'!O9</f>
        <v>22007.207296842822</v>
      </c>
      <c r="P9" s="57">
        <f>'Tab. 6'!$F$8</f>
        <v>108.74965</v>
      </c>
      <c r="Q9" s="60">
        <f>O9*P9</f>
        <v>2393276.0910091032</v>
      </c>
      <c r="R9" s="32">
        <f>'Tab 3'!R9</f>
        <v>23055.169549073435</v>
      </c>
      <c r="S9" s="57">
        <f>'Tab. 6'!$F$8</f>
        <v>108.74965</v>
      </c>
      <c r="T9" s="60">
        <f>R9*S9</f>
        <v>2507241.6191523941</v>
      </c>
      <c r="U9" s="34">
        <f>C9+F9+I9+L9+O9+R9</f>
        <v>130995.28152882634</v>
      </c>
      <c r="V9" s="62">
        <f>IFERROR(W9/U9,0)</f>
        <v>108.74965</v>
      </c>
      <c r="W9" s="65">
        <f>E9+H9+K9+N9+Q9+T9</f>
        <v>14245691.01791133</v>
      </c>
      <c r="X9" s="35"/>
    </row>
    <row r="10" spans="2:24" x14ac:dyDescent="0.2">
      <c r="B10" s="16" t="s">
        <v>95</v>
      </c>
      <c r="C10" s="31">
        <f>'Tab 3'!C10</f>
        <v>33131.005957446803</v>
      </c>
      <c r="D10" s="57">
        <f>'Tab. 6'!$F$8</f>
        <v>108.74965</v>
      </c>
      <c r="E10" s="60">
        <f>C10*D10</f>
        <v>3602985.302020255</v>
      </c>
      <c r="F10" s="32">
        <f>'Tab 3'!F10</f>
        <v>36812.228841607561</v>
      </c>
      <c r="G10" s="57">
        <f>'Tab. 6'!$F$8</f>
        <v>108.74965</v>
      </c>
      <c r="H10" s="60">
        <f>F10*G10</f>
        <v>4003317.0022447277</v>
      </c>
      <c r="I10" s="32">
        <f>'Tab 3'!I10</f>
        <v>42334.063167848697</v>
      </c>
      <c r="J10" s="57">
        <f>'Tab. 6'!$F$8</f>
        <v>108.74965</v>
      </c>
      <c r="K10" s="60">
        <f>I10*J10</f>
        <v>4603814.5525814369</v>
      </c>
      <c r="L10" s="32">
        <f>'Tab 3'!L10</f>
        <v>38652.84028368794</v>
      </c>
      <c r="M10" s="57">
        <f>'Tab. 6'!$F$8</f>
        <v>108.74965</v>
      </c>
      <c r="N10" s="60">
        <f>L10*M10</f>
        <v>4203482.8523569638</v>
      </c>
      <c r="O10" s="32">
        <f>'Tab 3'!O10</f>
        <v>38652.84028368794</v>
      </c>
      <c r="P10" s="57">
        <f>'Tab. 6'!$F$8</f>
        <v>108.74965</v>
      </c>
      <c r="Q10" s="60">
        <f>O10*P10</f>
        <v>4203482.8523569638</v>
      </c>
      <c r="R10" s="32">
        <f>'Tab 3'!R10</f>
        <v>40493.451725768318</v>
      </c>
      <c r="S10" s="57">
        <f>'Tab. 6'!$F$8</f>
        <v>108.74965</v>
      </c>
      <c r="T10" s="60">
        <f>R10*S10</f>
        <v>4403648.7024692008</v>
      </c>
      <c r="U10" s="34">
        <f>C10+F10+I10+L10+O10+R10</f>
        <v>230076.43026004726</v>
      </c>
      <c r="V10" s="62">
        <f t="shared" ref="V10:V12" si="0">IFERROR(W10/U10,0)</f>
        <v>108.74965</v>
      </c>
      <c r="W10" s="65">
        <f>E10+H10+K10+N10+Q10+T10</f>
        <v>25020731.264029548</v>
      </c>
      <c r="X10" s="35"/>
    </row>
    <row r="11" spans="2:24" x14ac:dyDescent="0.2">
      <c r="B11" s="16" t="s">
        <v>96</v>
      </c>
      <c r="C11" s="31">
        <f>'Tab 3'!C11</f>
        <v>293.61702127659601</v>
      </c>
      <c r="D11" s="57">
        <f>'Tab. 6'!$F$8</f>
        <v>108.74965</v>
      </c>
      <c r="E11" s="60">
        <f>C11*D11</f>
        <v>31930.748297872371</v>
      </c>
      <c r="F11" s="32">
        <f>'Tab 3'!F11</f>
        <v>326.2411347517733</v>
      </c>
      <c r="G11" s="57">
        <f>'Tab. 6'!$F$8</f>
        <v>108.74965</v>
      </c>
      <c r="H11" s="60">
        <f>F11*G11</f>
        <v>35478.609219858183</v>
      </c>
      <c r="I11" s="32">
        <f>'Tab 3'!I11</f>
        <v>375.1773049645393</v>
      </c>
      <c r="J11" s="57">
        <f>'Tab. 6'!$F$8</f>
        <v>108.74965</v>
      </c>
      <c r="K11" s="60">
        <f>I11*J11</f>
        <v>40800.400602836911</v>
      </c>
      <c r="L11" s="32">
        <f>'Tab 3'!L11</f>
        <v>342.55319148936201</v>
      </c>
      <c r="M11" s="57">
        <f>'Tab. 6'!$F$8</f>
        <v>108.74965</v>
      </c>
      <c r="N11" s="60">
        <f>L11*M11</f>
        <v>37252.5396808511</v>
      </c>
      <c r="O11" s="32">
        <f>'Tab 3'!O11</f>
        <v>342.55319148936201</v>
      </c>
      <c r="P11" s="57">
        <f>'Tab. 6'!$F$8</f>
        <v>108.74965</v>
      </c>
      <c r="Q11" s="60">
        <f>O11*P11</f>
        <v>37252.5396808511</v>
      </c>
      <c r="R11" s="32">
        <f>'Tab 3'!R11</f>
        <v>358.86524822695065</v>
      </c>
      <c r="S11" s="57">
        <f>'Tab. 6'!$F$8</f>
        <v>108.74965</v>
      </c>
      <c r="T11" s="60">
        <f>R11*S11</f>
        <v>39026.470141844002</v>
      </c>
      <c r="U11" s="34">
        <f>C11+F11+I11+L11+O11+R11</f>
        <v>2039.0070921985832</v>
      </c>
      <c r="V11" s="62">
        <f t="shared" si="0"/>
        <v>108.74965000000002</v>
      </c>
      <c r="W11" s="65">
        <f>E11+H11+K11+N11+Q11+T11</f>
        <v>221741.30762411369</v>
      </c>
      <c r="X11" s="35"/>
    </row>
    <row r="12" spans="2:24" s="11" customFormat="1" ht="17" thickBot="1" x14ac:dyDescent="0.25">
      <c r="B12" s="36" t="s">
        <v>84</v>
      </c>
      <c r="C12" s="37">
        <f>SUM(C9:C11)</f>
        <v>52287.943518874388</v>
      </c>
      <c r="D12" s="58">
        <f>E12/C12</f>
        <v>108.74965</v>
      </c>
      <c r="E12" s="61">
        <f>SUM(E9:E11)</f>
        <v>5686295.556897358</v>
      </c>
      <c r="F12" s="38">
        <f>SUM(F9:F11)</f>
        <v>58097.71502097154</v>
      </c>
      <c r="G12" s="58">
        <f>H12/F12</f>
        <v>108.74965000000002</v>
      </c>
      <c r="H12" s="61">
        <f>SUM(H9:H11)</f>
        <v>6318106.1743303984</v>
      </c>
      <c r="I12" s="38">
        <f>SUM(I9:I11)</f>
        <v>66812.372274117282</v>
      </c>
      <c r="J12" s="58">
        <f>K12/I12</f>
        <v>108.74965</v>
      </c>
      <c r="K12" s="61">
        <f>SUM(K9:K11)</f>
        <v>7265822.1004799586</v>
      </c>
      <c r="L12" s="38">
        <f>SUM(L9:L11)</f>
        <v>61002.600772020131</v>
      </c>
      <c r="M12" s="58">
        <f>N12/L12</f>
        <v>108.74964999999999</v>
      </c>
      <c r="N12" s="61">
        <f>SUM(N9:N11)</f>
        <v>6634011.4830469182</v>
      </c>
      <c r="O12" s="38">
        <f>SUM(O9:O11)</f>
        <v>61002.600772020131</v>
      </c>
      <c r="P12" s="58">
        <f>Q12/O12</f>
        <v>108.74964999999999</v>
      </c>
      <c r="Q12" s="61">
        <f>SUM(Q9:Q11)</f>
        <v>6634011.4830469182</v>
      </c>
      <c r="R12" s="38">
        <f>SUM(R9:R11)</f>
        <v>63907.486523068706</v>
      </c>
      <c r="S12" s="58">
        <f>T12/R12</f>
        <v>108.74965</v>
      </c>
      <c r="T12" s="61">
        <f>SUM(T9:T11)</f>
        <v>6949916.7917634388</v>
      </c>
      <c r="U12" s="37">
        <f>SUM(U9:U11)</f>
        <v>363110.71888107219</v>
      </c>
      <c r="V12" s="63">
        <f t="shared" si="0"/>
        <v>108.74965</v>
      </c>
      <c r="W12" s="66">
        <f>SUM(W9:W11)</f>
        <v>39488163.589564994</v>
      </c>
      <c r="X12" s="40"/>
    </row>
    <row r="13" spans="2:24" x14ac:dyDescent="0.2">
      <c r="B13" s="16"/>
      <c r="C13" s="16"/>
      <c r="D13" s="57"/>
      <c r="E13" s="60"/>
      <c r="G13" s="57"/>
      <c r="H13" s="60"/>
      <c r="J13" s="57"/>
      <c r="K13" s="60"/>
      <c r="M13" s="57"/>
      <c r="N13" s="60"/>
      <c r="P13" s="57"/>
      <c r="Q13" s="60"/>
      <c r="S13" s="57"/>
      <c r="T13" s="60"/>
      <c r="U13" s="28"/>
      <c r="V13" s="64"/>
      <c r="W13" s="65"/>
    </row>
    <row r="14" spans="2:24" x14ac:dyDescent="0.2">
      <c r="B14" s="25"/>
      <c r="C14" s="16"/>
      <c r="D14" s="57"/>
      <c r="E14" s="60"/>
      <c r="G14" s="57"/>
      <c r="H14" s="60"/>
      <c r="J14" s="57"/>
      <c r="K14" s="60"/>
      <c r="M14" s="57"/>
      <c r="N14" s="60"/>
      <c r="P14" s="57"/>
      <c r="Q14" s="60"/>
      <c r="S14" s="57"/>
      <c r="T14" s="60"/>
      <c r="U14" s="28"/>
      <c r="V14" s="64"/>
      <c r="W14" s="65"/>
    </row>
    <row r="15" spans="2:24" x14ac:dyDescent="0.2">
      <c r="B15" s="16" t="s">
        <v>94</v>
      </c>
      <c r="C15" s="31">
        <f>'Tab 3'!C15</f>
        <v>1198.375657844887</v>
      </c>
      <c r="D15" s="57">
        <f>'Tab. 6'!$F$17</f>
        <v>189</v>
      </c>
      <c r="E15" s="60">
        <f>C15*D15</f>
        <v>226492.99933268363</v>
      </c>
      <c r="F15" s="32">
        <f>'Tab 3'!F15</f>
        <v>1331.528508716541</v>
      </c>
      <c r="G15" s="57">
        <f>'Tab. 6'!$F$17</f>
        <v>189</v>
      </c>
      <c r="H15" s="60">
        <f>F15*G15</f>
        <v>251658.88814742625</v>
      </c>
      <c r="I15" s="32">
        <f>'Tab 3'!I15</f>
        <v>1531.257785024022</v>
      </c>
      <c r="J15" s="57">
        <f>'Tab. 6'!$F$17</f>
        <v>189</v>
      </c>
      <c r="K15" s="60">
        <f>I15*J15</f>
        <v>289407.72136954014</v>
      </c>
      <c r="L15" s="32">
        <f>'Tab 3'!L15</f>
        <v>1398.1049341523681</v>
      </c>
      <c r="M15" s="57">
        <f>'Tab. 6'!$F$17</f>
        <v>189</v>
      </c>
      <c r="N15" s="60">
        <f>L15*M15</f>
        <v>264241.83255479758</v>
      </c>
      <c r="O15" s="32">
        <f>'Tab 3'!O15</f>
        <v>1398.1049341523681</v>
      </c>
      <c r="P15" s="57">
        <f>'Tab. 6'!$F$17</f>
        <v>189</v>
      </c>
      <c r="Q15" s="60">
        <f>O15*P15</f>
        <v>264241.83255479758</v>
      </c>
      <c r="R15" s="32">
        <f>'Tab 3'!R15</f>
        <v>1464.6813595881949</v>
      </c>
      <c r="S15" s="57">
        <f>'Tab. 6'!$F$17</f>
        <v>189</v>
      </c>
      <c r="T15" s="60">
        <f>R15*S15</f>
        <v>276824.77696216886</v>
      </c>
      <c r="U15" s="34">
        <f>C15+F15+I15+L15+O15+R15</f>
        <v>8322.0531794783819</v>
      </c>
      <c r="V15" s="62">
        <f>IFERROR(W15/U15,0)</f>
        <v>188.99999999999997</v>
      </c>
      <c r="W15" s="65">
        <f>E15+H15+K15+N15+Q15+T15</f>
        <v>1572868.050921414</v>
      </c>
      <c r="X15" s="35"/>
    </row>
    <row r="16" spans="2:24" x14ac:dyDescent="0.2">
      <c r="B16" s="16" t="s">
        <v>95</v>
      </c>
      <c r="C16" s="31">
        <f>'Tab 3'!C16</f>
        <v>0</v>
      </c>
      <c r="D16" s="57">
        <f>'Tab. 6'!$F$17</f>
        <v>189</v>
      </c>
      <c r="E16" s="60">
        <f>C16*D16</f>
        <v>0</v>
      </c>
      <c r="F16" s="32">
        <f>'Tab 3'!F16</f>
        <v>0</v>
      </c>
      <c r="G16" s="57">
        <f>'Tab. 6'!$F$17</f>
        <v>189</v>
      </c>
      <c r="H16" s="60">
        <f>F16*G16</f>
        <v>0</v>
      </c>
      <c r="I16" s="32">
        <f>'Tab 3'!I16</f>
        <v>0</v>
      </c>
      <c r="J16" s="57">
        <f>'Tab. 6'!$F$17</f>
        <v>189</v>
      </c>
      <c r="K16" s="60">
        <f>I16*J16</f>
        <v>0</v>
      </c>
      <c r="L16" s="32">
        <f>'Tab 3'!L16</f>
        <v>0</v>
      </c>
      <c r="M16" s="57">
        <f>'Tab. 6'!$F$17</f>
        <v>189</v>
      </c>
      <c r="N16" s="60">
        <f>L16*M16</f>
        <v>0</v>
      </c>
      <c r="O16" s="32">
        <f>'Tab 3'!O16</f>
        <v>0</v>
      </c>
      <c r="P16" s="57">
        <f>'Tab. 6'!$F$17</f>
        <v>189</v>
      </c>
      <c r="Q16" s="60">
        <f>O16*P16</f>
        <v>0</v>
      </c>
      <c r="R16" s="32">
        <f>'Tab 3'!R16</f>
        <v>0</v>
      </c>
      <c r="S16" s="57">
        <f>'Tab. 6'!$F$17</f>
        <v>189</v>
      </c>
      <c r="T16" s="60">
        <f>R16*S16</f>
        <v>0</v>
      </c>
      <c r="U16" s="34">
        <f>C16+F16+I16+L16+O16+R16</f>
        <v>0</v>
      </c>
      <c r="V16" s="62">
        <f t="shared" ref="V16:V18" si="1">IFERROR(W16/U16,0)</f>
        <v>0</v>
      </c>
      <c r="W16" s="65">
        <f>E16+H16+K16+N16+Q16+T16</f>
        <v>0</v>
      </c>
      <c r="X16" s="35"/>
    </row>
    <row r="17" spans="2:111" x14ac:dyDescent="0.2">
      <c r="B17" s="16" t="s">
        <v>96</v>
      </c>
      <c r="C17" s="31">
        <f>'Tab 3'!C17</f>
        <v>2008.3404255319151</v>
      </c>
      <c r="D17" s="57">
        <f>'Tab. 6'!$F$17</f>
        <v>189</v>
      </c>
      <c r="E17" s="60">
        <f>C17*D17</f>
        <v>379576.34042553196</v>
      </c>
      <c r="F17" s="32">
        <f>'Tab 3'!F17</f>
        <v>2231.489361702128</v>
      </c>
      <c r="G17" s="57">
        <f>'Tab. 6'!$F$17</f>
        <v>189</v>
      </c>
      <c r="H17" s="60">
        <f>F17*G17</f>
        <v>421751.48936170217</v>
      </c>
      <c r="I17" s="32">
        <f>'Tab 3'!I17</f>
        <v>2566.2127659574471</v>
      </c>
      <c r="J17" s="57">
        <f>'Tab. 6'!$F$17</f>
        <v>189</v>
      </c>
      <c r="K17" s="60">
        <f>I17*J17</f>
        <v>485014.21276595752</v>
      </c>
      <c r="L17" s="32">
        <f>'Tab 3'!L17</f>
        <v>2343.0638297872342</v>
      </c>
      <c r="M17" s="57">
        <f>'Tab. 6'!$F$17</f>
        <v>189</v>
      </c>
      <c r="N17" s="60">
        <f>L17*M17</f>
        <v>442839.06382978725</v>
      </c>
      <c r="O17" s="32">
        <f>'Tab 3'!O17</f>
        <v>2343.0638297872342</v>
      </c>
      <c r="P17" s="57">
        <f>'Tab. 6'!$F$17</f>
        <v>189</v>
      </c>
      <c r="Q17" s="60">
        <f>O17*P17</f>
        <v>442839.06382978725</v>
      </c>
      <c r="R17" s="32">
        <f>'Tab 3'!R17</f>
        <v>2454.6382978723404</v>
      </c>
      <c r="S17" s="57">
        <f>'Tab. 6'!$F$17</f>
        <v>189</v>
      </c>
      <c r="T17" s="60">
        <f>R17*S17</f>
        <v>463926.63829787233</v>
      </c>
      <c r="U17" s="34">
        <f>C17+F17+I17+L17+O17+R17</f>
        <v>13946.808510638297</v>
      </c>
      <c r="V17" s="62">
        <f t="shared" si="1"/>
        <v>189.00000000000003</v>
      </c>
      <c r="W17" s="65">
        <f>E17+H17+K17+N17+Q17+T17</f>
        <v>2635946.8085106383</v>
      </c>
      <c r="X17" s="35"/>
    </row>
    <row r="18" spans="2:111" ht="17" thickBot="1" x14ac:dyDescent="0.25">
      <c r="B18" s="36" t="s">
        <v>85</v>
      </c>
      <c r="C18" s="37">
        <f>SUM(C15:C17)</f>
        <v>3206.7160833768021</v>
      </c>
      <c r="D18" s="58">
        <f>E18/C18</f>
        <v>189</v>
      </c>
      <c r="E18" s="61">
        <f>SUM(E15:E17)</f>
        <v>606069.33975821559</v>
      </c>
      <c r="F18" s="38">
        <f>SUM(F15:F17)</f>
        <v>3563.0178704186692</v>
      </c>
      <c r="G18" s="58">
        <f>H18/F18</f>
        <v>188.99999999999997</v>
      </c>
      <c r="H18" s="61">
        <f>SUM(H15:H17)</f>
        <v>673410.37750912842</v>
      </c>
      <c r="I18" s="38">
        <f>SUM(I15:I17)</f>
        <v>4097.4705509814694</v>
      </c>
      <c r="J18" s="58">
        <f>K18/I18</f>
        <v>189</v>
      </c>
      <c r="K18" s="61">
        <f>SUM(K15:K17)</f>
        <v>774421.93413549766</v>
      </c>
      <c r="L18" s="38">
        <f>SUM(L15:L17)</f>
        <v>3741.1687639396023</v>
      </c>
      <c r="M18" s="58">
        <f>N18/L18</f>
        <v>189</v>
      </c>
      <c r="N18" s="61">
        <f>SUM(N15:N17)</f>
        <v>707080.89638458483</v>
      </c>
      <c r="O18" s="38">
        <f>SUM(O15:O17)</f>
        <v>3741.1687639396023</v>
      </c>
      <c r="P18" s="58">
        <f>Q18/O18</f>
        <v>189</v>
      </c>
      <c r="Q18" s="61">
        <f>SUM(Q15:Q17)</f>
        <v>707080.89638458483</v>
      </c>
      <c r="R18" s="38">
        <f>SUM(R15:R17)</f>
        <v>3919.3196574605354</v>
      </c>
      <c r="S18" s="58">
        <f>T18/R18</f>
        <v>189</v>
      </c>
      <c r="T18" s="61">
        <f>SUM(T15:T17)</f>
        <v>740751.41526004113</v>
      </c>
      <c r="U18" s="37">
        <f>SUM(U15:U17)</f>
        <v>22268.861690116679</v>
      </c>
      <c r="V18" s="63">
        <f t="shared" si="1"/>
        <v>189.00000000000003</v>
      </c>
      <c r="W18" s="66">
        <f>SUM(W15:W17)</f>
        <v>4208814.8594320528</v>
      </c>
      <c r="X18" s="4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</row>
    <row r="19" spans="2:111" x14ac:dyDescent="0.2">
      <c r="B19" s="16"/>
      <c r="C19" s="16"/>
      <c r="D19" s="57"/>
      <c r="E19" s="60"/>
      <c r="G19" s="57"/>
      <c r="H19" s="60"/>
      <c r="J19" s="57"/>
      <c r="K19" s="60"/>
      <c r="M19" s="57"/>
      <c r="N19" s="60"/>
      <c r="P19" s="57"/>
      <c r="Q19" s="60"/>
      <c r="S19" s="57"/>
      <c r="T19" s="60"/>
      <c r="U19" s="28"/>
      <c r="V19" s="64"/>
      <c r="W19" s="65"/>
      <c r="X19" s="40"/>
      <c r="Y19" s="35"/>
      <c r="Z19" s="43"/>
      <c r="AA19" s="43"/>
    </row>
    <row r="20" spans="2:111" x14ac:dyDescent="0.2">
      <c r="B20" s="25"/>
      <c r="C20" s="16"/>
      <c r="D20" s="57"/>
      <c r="E20" s="60"/>
      <c r="G20" s="57"/>
      <c r="H20" s="60"/>
      <c r="J20" s="57"/>
      <c r="K20" s="60"/>
      <c r="M20" s="57"/>
      <c r="N20" s="60"/>
      <c r="P20" s="57"/>
      <c r="Q20" s="60"/>
      <c r="S20" s="57"/>
      <c r="T20" s="60"/>
      <c r="U20" s="28"/>
      <c r="V20" s="64"/>
      <c r="W20" s="65"/>
      <c r="X20" s="40"/>
      <c r="Y20" s="35"/>
      <c r="Z20" s="43"/>
      <c r="AA20" s="43"/>
    </row>
    <row r="21" spans="2:111" x14ac:dyDescent="0.2">
      <c r="B21" s="16" t="s">
        <v>94</v>
      </c>
      <c r="C21" s="41">
        <f>C9+C15</f>
        <v>20061.69619799588</v>
      </c>
      <c r="D21" s="59">
        <f>E21/C21</f>
        <v>113.54336559734512</v>
      </c>
      <c r="E21" s="60">
        <f>E9+E15</f>
        <v>2277872.5059119146</v>
      </c>
      <c r="F21" s="32">
        <f>F9+F15</f>
        <v>22290.773553328752</v>
      </c>
      <c r="G21" s="59">
        <f>H21/F21</f>
        <v>113.54336559734516</v>
      </c>
      <c r="H21" s="60">
        <f>H9+H15</f>
        <v>2530969.4510132391</v>
      </c>
      <c r="I21" s="32">
        <f>I9+I15</f>
        <v>25634.389586328067</v>
      </c>
      <c r="J21" s="59">
        <f>K21/I21</f>
        <v>113.54336559734514</v>
      </c>
      <c r="K21" s="60">
        <f>K9+K15</f>
        <v>2910614.8686652249</v>
      </c>
      <c r="L21" s="32">
        <f>L9+L15</f>
        <v>23405.31223099519</v>
      </c>
      <c r="M21" s="59">
        <f>N21/L21</f>
        <v>113.54336559734514</v>
      </c>
      <c r="N21" s="60">
        <f>N9+N15</f>
        <v>2657517.9235639009</v>
      </c>
      <c r="O21" s="32">
        <f>O9+O15</f>
        <v>23405.31223099519</v>
      </c>
      <c r="P21" s="59">
        <f>Q21/O21</f>
        <v>113.54336559734514</v>
      </c>
      <c r="Q21" s="60">
        <f>Q9+Q15</f>
        <v>2657517.9235639009</v>
      </c>
      <c r="R21" s="32">
        <f>R9+R15</f>
        <v>24519.850908661629</v>
      </c>
      <c r="S21" s="59">
        <f>T21/R21</f>
        <v>113.54336559734516</v>
      </c>
      <c r="T21" s="60">
        <f>T9+T15</f>
        <v>2784066.3961145631</v>
      </c>
      <c r="U21" s="34">
        <f>C21+F21+I21+L21+O21+R21</f>
        <v>139317.3347083047</v>
      </c>
      <c r="V21" s="62">
        <f>IFERROR(W21/U21,0)</f>
        <v>113.54336559734516</v>
      </c>
      <c r="W21" s="65">
        <f>E21+H21+K21+N21+Q21+T21</f>
        <v>15818559.068832744</v>
      </c>
      <c r="X21" s="40"/>
      <c r="Y21" s="35"/>
      <c r="Z21" s="43"/>
      <c r="AA21" s="43"/>
    </row>
    <row r="22" spans="2:111" x14ac:dyDescent="0.2">
      <c r="B22" s="16" t="s">
        <v>95</v>
      </c>
      <c r="C22" s="41">
        <f t="shared" ref="C22:C23" si="2">C10+C16</f>
        <v>33131.005957446803</v>
      </c>
      <c r="D22" s="59">
        <f>E22/C22</f>
        <v>108.74965</v>
      </c>
      <c r="E22" s="60">
        <f t="shared" ref="E22:F23" si="3">E10+E16</f>
        <v>3602985.302020255</v>
      </c>
      <c r="F22" s="32">
        <f t="shared" si="3"/>
        <v>36812.228841607561</v>
      </c>
      <c r="G22" s="59">
        <f>H22/F22</f>
        <v>108.74965</v>
      </c>
      <c r="H22" s="60">
        <f t="shared" ref="H22:I23" si="4">H10+H16</f>
        <v>4003317.0022447277</v>
      </c>
      <c r="I22" s="32">
        <f t="shared" si="4"/>
        <v>42334.063167848697</v>
      </c>
      <c r="J22" s="59">
        <f>K22/I22</f>
        <v>108.74965</v>
      </c>
      <c r="K22" s="60">
        <f t="shared" ref="K22:L23" si="5">K10+K16</f>
        <v>4603814.5525814369</v>
      </c>
      <c r="L22" s="32">
        <f t="shared" si="5"/>
        <v>38652.84028368794</v>
      </c>
      <c r="M22" s="59">
        <f>N22/L22</f>
        <v>108.74964999999999</v>
      </c>
      <c r="N22" s="60">
        <f t="shared" ref="N22:O23" si="6">N10+N16</f>
        <v>4203482.8523569638</v>
      </c>
      <c r="O22" s="32">
        <f t="shared" si="6"/>
        <v>38652.84028368794</v>
      </c>
      <c r="P22" s="59">
        <f>Q22/O22</f>
        <v>108.74964999999999</v>
      </c>
      <c r="Q22" s="60">
        <f t="shared" ref="Q22:R23" si="7">Q10+Q16</f>
        <v>4203482.8523569638</v>
      </c>
      <c r="R22" s="32">
        <f t="shared" si="7"/>
        <v>40493.451725768318</v>
      </c>
      <c r="S22" s="59">
        <f>T22/R22</f>
        <v>108.74965</v>
      </c>
      <c r="T22" s="60">
        <f t="shared" ref="T22:T23" si="8">T10+T16</f>
        <v>4403648.7024692008</v>
      </c>
      <c r="U22" s="34">
        <f>C22+F22+I22+L22+O22+R22</f>
        <v>230076.43026004726</v>
      </c>
      <c r="V22" s="62">
        <f t="shared" ref="V22:V24" si="9">IFERROR(W22/U22,0)</f>
        <v>108.74965</v>
      </c>
      <c r="W22" s="65">
        <f>E22+H22+K22+N22+Q22+T22</f>
        <v>25020731.264029548</v>
      </c>
      <c r="X22" s="40"/>
      <c r="Y22" s="35"/>
      <c r="Z22" s="43"/>
      <c r="AA22" s="43"/>
    </row>
    <row r="23" spans="2:111" x14ac:dyDescent="0.2">
      <c r="B23" s="16" t="s">
        <v>96</v>
      </c>
      <c r="C23" s="41">
        <f t="shared" si="2"/>
        <v>2301.9574468085111</v>
      </c>
      <c r="D23" s="59">
        <f>E23/C23</f>
        <v>178.76398596938776</v>
      </c>
      <c r="E23" s="60">
        <f t="shared" si="3"/>
        <v>411507.08872340433</v>
      </c>
      <c r="F23" s="32">
        <f t="shared" si="3"/>
        <v>2557.7304964539012</v>
      </c>
      <c r="G23" s="59">
        <f>H23/F23</f>
        <v>178.76398596938776</v>
      </c>
      <c r="H23" s="60">
        <f t="shared" si="4"/>
        <v>457230.09858156036</v>
      </c>
      <c r="I23" s="32">
        <f t="shared" si="4"/>
        <v>2941.3900709219865</v>
      </c>
      <c r="J23" s="59">
        <f>K23/I23</f>
        <v>178.76398596938776</v>
      </c>
      <c r="K23" s="60">
        <f t="shared" si="5"/>
        <v>525814.61336879444</v>
      </c>
      <c r="L23" s="32">
        <f t="shared" si="5"/>
        <v>2685.6170212765965</v>
      </c>
      <c r="M23" s="59">
        <f>N23/L23</f>
        <v>178.76398596938773</v>
      </c>
      <c r="N23" s="60">
        <f t="shared" si="6"/>
        <v>480091.60351063835</v>
      </c>
      <c r="O23" s="32">
        <f t="shared" si="6"/>
        <v>2685.6170212765965</v>
      </c>
      <c r="P23" s="59">
        <f>Q23/O23</f>
        <v>178.76398596938773</v>
      </c>
      <c r="Q23" s="60">
        <f t="shared" si="7"/>
        <v>480091.60351063835</v>
      </c>
      <c r="R23" s="32">
        <f t="shared" si="7"/>
        <v>2813.5035460992913</v>
      </c>
      <c r="S23" s="59">
        <f>T23/R23</f>
        <v>178.76398596938773</v>
      </c>
      <c r="T23" s="60">
        <f t="shared" si="8"/>
        <v>502953.10843971634</v>
      </c>
      <c r="U23" s="34">
        <f>C23+F23+I23+L23+O23+R23</f>
        <v>15985.815602836883</v>
      </c>
      <c r="V23" s="62">
        <f t="shared" si="9"/>
        <v>178.76398596938773</v>
      </c>
      <c r="W23" s="65">
        <f>E23+H23+K23+N23+Q23+T23</f>
        <v>2857688.1161347521</v>
      </c>
      <c r="X23" s="40"/>
      <c r="Y23" s="35"/>
      <c r="Z23" s="43"/>
      <c r="AA23" s="43"/>
    </row>
    <row r="24" spans="2:111" ht="17" thickBot="1" x14ac:dyDescent="0.25">
      <c r="B24" s="36" t="s">
        <v>3</v>
      </c>
      <c r="C24" s="37">
        <f>SUM(C21:C23)</f>
        <v>55494.659602251195</v>
      </c>
      <c r="D24" s="58">
        <f>E24/C24</f>
        <v>113.38685455060109</v>
      </c>
      <c r="E24" s="61">
        <f>SUM(E21:E23)</f>
        <v>6292364.8966555744</v>
      </c>
      <c r="F24" s="37">
        <f>SUM(F21:F23)</f>
        <v>61660.732891390209</v>
      </c>
      <c r="G24" s="58">
        <f>H24/F24</f>
        <v>113.3868545506011</v>
      </c>
      <c r="H24" s="61">
        <f>SUM(H21:H23)</f>
        <v>6991516.5518395267</v>
      </c>
      <c r="I24" s="37">
        <f>SUM(I21:I23)</f>
        <v>70909.842825098749</v>
      </c>
      <c r="J24" s="58">
        <f>K24/I24</f>
        <v>113.38685455060109</v>
      </c>
      <c r="K24" s="61">
        <f>SUM(K21:K23)</f>
        <v>8040244.0346154561</v>
      </c>
      <c r="L24" s="37">
        <f>SUM(L21:L23)</f>
        <v>64743.76953595972</v>
      </c>
      <c r="M24" s="58">
        <f>N24/L24</f>
        <v>113.3868545506011</v>
      </c>
      <c r="N24" s="61">
        <f>SUM(N21:N23)</f>
        <v>7341092.3794315029</v>
      </c>
      <c r="O24" s="37">
        <f>SUM(O21:O23)</f>
        <v>64743.76953595972</v>
      </c>
      <c r="P24" s="58">
        <f>Q24/O24</f>
        <v>113.3868545506011</v>
      </c>
      <c r="Q24" s="61">
        <f>SUM(Q21:Q23)</f>
        <v>7341092.3794315029</v>
      </c>
      <c r="R24" s="37">
        <f>SUM(R21:R23)</f>
        <v>67826.806180529238</v>
      </c>
      <c r="S24" s="58">
        <f>T24/R24</f>
        <v>113.38685455060109</v>
      </c>
      <c r="T24" s="61">
        <f>SUM(T21:T23)</f>
        <v>7690668.20702348</v>
      </c>
      <c r="U24" s="37">
        <f>SUM(U21:U23)</f>
        <v>385379.58057118882</v>
      </c>
      <c r="V24" s="63">
        <f t="shared" si="9"/>
        <v>113.3868545506011</v>
      </c>
      <c r="W24" s="66">
        <f>SUM(W21:W23)</f>
        <v>43696978.448997043</v>
      </c>
      <c r="X24" s="40"/>
      <c r="Y24" s="35"/>
      <c r="Z24" s="43"/>
      <c r="AA24" s="43"/>
    </row>
    <row r="25" spans="2:111" x14ac:dyDescent="0.2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0"/>
      <c r="Y25" s="35"/>
      <c r="Z25" s="43"/>
      <c r="AA25" s="43"/>
    </row>
    <row r="26" spans="2:111" x14ac:dyDescent="0.2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0"/>
      <c r="Y26" s="35"/>
      <c r="Z26" s="43"/>
      <c r="AA26" s="43"/>
    </row>
    <row r="27" spans="2:111" x14ac:dyDescent="0.2">
      <c r="W27" s="35"/>
    </row>
    <row r="28" spans="2:111" ht="17" thickBot="1" x14ac:dyDescent="0.25"/>
    <row r="29" spans="2:111" x14ac:dyDescent="0.2">
      <c r="B29" s="83"/>
      <c r="C29" s="436" t="s">
        <v>91</v>
      </c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8"/>
      <c r="X29" s="13"/>
      <c r="Y29" s="430" t="s">
        <v>3</v>
      </c>
      <c r="Z29" s="431"/>
      <c r="AA29" s="432"/>
    </row>
    <row r="30" spans="2:111" x14ac:dyDescent="0.2">
      <c r="B30" s="320"/>
      <c r="C30" s="417" t="s">
        <v>18</v>
      </c>
      <c r="D30" s="417"/>
      <c r="E30" s="418"/>
      <c r="F30" s="416" t="s">
        <v>19</v>
      </c>
      <c r="G30" s="417"/>
      <c r="H30" s="418"/>
      <c r="I30" s="416" t="s">
        <v>20</v>
      </c>
      <c r="J30" s="417"/>
      <c r="K30" s="418"/>
      <c r="L30" s="416" t="s">
        <v>21</v>
      </c>
      <c r="M30" s="417"/>
      <c r="N30" s="418"/>
      <c r="O30" s="416" t="s">
        <v>22</v>
      </c>
      <c r="P30" s="417"/>
      <c r="Q30" s="418"/>
      <c r="R30" s="416" t="s">
        <v>23</v>
      </c>
      <c r="S30" s="417"/>
      <c r="T30" s="419"/>
      <c r="U30" s="427" t="s">
        <v>170</v>
      </c>
      <c r="V30" s="428"/>
      <c r="W30" s="429"/>
      <c r="X30" s="15"/>
      <c r="Y30" s="433"/>
      <c r="Z30" s="434"/>
      <c r="AA30" s="435"/>
    </row>
    <row r="31" spans="2:111" x14ac:dyDescent="0.2">
      <c r="B31" s="79"/>
      <c r="C31" s="15" t="s">
        <v>0</v>
      </c>
      <c r="D31" s="15" t="s">
        <v>168</v>
      </c>
      <c r="E31" s="18" t="s">
        <v>1</v>
      </c>
      <c r="F31" s="15" t="s">
        <v>0</v>
      </c>
      <c r="G31" s="15" t="s">
        <v>168</v>
      </c>
      <c r="H31" s="18" t="s">
        <v>1</v>
      </c>
      <c r="I31" s="323" t="s">
        <v>0</v>
      </c>
      <c r="J31" s="15" t="s">
        <v>168</v>
      </c>
      <c r="K31" s="18" t="s">
        <v>1</v>
      </c>
      <c r="L31" s="323" t="s">
        <v>0</v>
      </c>
      <c r="M31" s="15" t="s">
        <v>168</v>
      </c>
      <c r="N31" s="18" t="s">
        <v>1</v>
      </c>
      <c r="O31" s="323" t="s">
        <v>0</v>
      </c>
      <c r="P31" s="15" t="s">
        <v>169</v>
      </c>
      <c r="Q31" s="18" t="s">
        <v>1</v>
      </c>
      <c r="R31" s="323" t="s">
        <v>0</v>
      </c>
      <c r="S31" s="15" t="s">
        <v>168</v>
      </c>
      <c r="T31" s="324" t="s">
        <v>1</v>
      </c>
      <c r="U31" s="23" t="s">
        <v>0</v>
      </c>
      <c r="V31" s="23" t="s">
        <v>168</v>
      </c>
      <c r="W31" s="24" t="s">
        <v>1</v>
      </c>
      <c r="X31" s="15"/>
      <c r="Y31" s="46" t="s">
        <v>0</v>
      </c>
      <c r="Z31" s="23" t="s">
        <v>168</v>
      </c>
      <c r="AA31" s="24" t="s">
        <v>1</v>
      </c>
    </row>
    <row r="32" spans="2:111" x14ac:dyDescent="0.2">
      <c r="B32" s="321"/>
      <c r="E32" s="26"/>
      <c r="H32" s="26"/>
      <c r="I32" s="27"/>
      <c r="K32" s="26"/>
      <c r="L32" s="27"/>
      <c r="N32" s="26"/>
      <c r="O32" s="27"/>
      <c r="Q32" s="26"/>
      <c r="U32" s="28"/>
      <c r="V32" s="29"/>
      <c r="W32" s="30"/>
      <c r="Y32" s="28"/>
      <c r="Z32" s="29"/>
      <c r="AA32" s="30"/>
    </row>
    <row r="33" spans="2:32" x14ac:dyDescent="0.2">
      <c r="B33" s="79" t="s">
        <v>94</v>
      </c>
      <c r="C33" s="32">
        <f>'Tab 3'!C33</f>
        <v>23055.169549073435</v>
      </c>
      <c r="D33" s="57">
        <f>'Tab. 6'!$F$8</f>
        <v>108.74965</v>
      </c>
      <c r="E33" s="60">
        <f>C33*D33</f>
        <v>2507241.6191523941</v>
      </c>
      <c r="F33" s="32">
        <f>'Tab 3'!F33</f>
        <v>12575.547026767326</v>
      </c>
      <c r="G33" s="57">
        <f>'Tab. 6'!$F$8</f>
        <v>108.74965</v>
      </c>
      <c r="H33" s="60">
        <f>F33*G33</f>
        <v>1367586.3377194875</v>
      </c>
      <c r="I33" s="32">
        <f>'Tab 3'!I33</f>
        <v>23055.169549073435</v>
      </c>
      <c r="J33" s="57">
        <f>'Tab. 6'!$F$8</f>
        <v>108.74965</v>
      </c>
      <c r="K33" s="60">
        <f>I33*J33</f>
        <v>2507241.6191523941</v>
      </c>
      <c r="L33" s="32">
        <f>'Tab 3'!L33</f>
        <v>22007.207296842822</v>
      </c>
      <c r="M33" s="57">
        <f>'Tab. 6'!$F$8</f>
        <v>108.74965</v>
      </c>
      <c r="N33" s="60">
        <f>L33*M33</f>
        <v>2393276.0910091032</v>
      </c>
      <c r="O33" s="32">
        <f>'Tab 3'!O33</f>
        <v>22007.207296842822</v>
      </c>
      <c r="P33" s="57">
        <f>'Tab. 6'!$F$8</f>
        <v>108.74965</v>
      </c>
      <c r="Q33" s="60">
        <f>O33*P33</f>
        <v>2393276.0910091032</v>
      </c>
      <c r="R33" s="32">
        <f>'Tab 3'!R33</f>
        <v>12575.547026767326</v>
      </c>
      <c r="S33" s="57">
        <f>'Tab. 6'!$F$8</f>
        <v>108.74965</v>
      </c>
      <c r="T33" s="60">
        <f>R33*S33</f>
        <v>1367586.3377194875</v>
      </c>
      <c r="U33" s="34">
        <f>C33+F33+I33+L33+O33+R33</f>
        <v>115275.84774536717</v>
      </c>
      <c r="V33" s="62">
        <f>IFERROR(W33/U33,0)</f>
        <v>108.74964999999999</v>
      </c>
      <c r="W33" s="65">
        <f>E33+H33+K33+N33+Q33+T33</f>
        <v>12536208.095761968</v>
      </c>
      <c r="X33" s="35"/>
      <c r="Y33" s="34">
        <f>U9+U33</f>
        <v>246271.12927419349</v>
      </c>
      <c r="Z33" s="62">
        <f>IFERROR(AA33/Y33,0)</f>
        <v>108.74965000000002</v>
      </c>
      <c r="AA33" s="65">
        <f>W9+W33</f>
        <v>26781899.1136733</v>
      </c>
    </row>
    <row r="34" spans="2:32" x14ac:dyDescent="0.2">
      <c r="B34" s="79" t="s">
        <v>95</v>
      </c>
      <c r="C34" s="32">
        <f>'Tab 3'!C34</f>
        <v>40493.451725768318</v>
      </c>
      <c r="D34" s="57">
        <f>'Tab. 6'!$F$8</f>
        <v>108.74965</v>
      </c>
      <c r="E34" s="60">
        <f>C34*D34</f>
        <v>4403648.7024692008</v>
      </c>
      <c r="F34" s="32">
        <f>'Tab 3'!F34</f>
        <v>22087.337304964538</v>
      </c>
      <c r="G34" s="57">
        <f>'Tab. 6'!$F$8</f>
        <v>108.74965</v>
      </c>
      <c r="H34" s="60">
        <f>F34*G34</f>
        <v>2401990.201346837</v>
      </c>
      <c r="I34" s="32">
        <f>'Tab 3'!I34</f>
        <v>40493.451725768318</v>
      </c>
      <c r="J34" s="57">
        <f>'Tab. 6'!$F$8</f>
        <v>108.74965</v>
      </c>
      <c r="K34" s="60">
        <f>I34*J34</f>
        <v>4403648.7024692008</v>
      </c>
      <c r="L34" s="32">
        <f>'Tab 3'!L34</f>
        <v>38652.84028368794</v>
      </c>
      <c r="M34" s="57">
        <f>'Tab. 6'!$F$8</f>
        <v>108.74965</v>
      </c>
      <c r="N34" s="60">
        <f>L34*M34</f>
        <v>4203482.8523569638</v>
      </c>
      <c r="O34" s="32">
        <f>'Tab 3'!O34</f>
        <v>38652.84028368794</v>
      </c>
      <c r="P34" s="57">
        <f>'Tab. 6'!$F$8</f>
        <v>108.74965</v>
      </c>
      <c r="Q34" s="60">
        <f>O34*P34</f>
        <v>4203482.8523569638</v>
      </c>
      <c r="R34" s="32">
        <f>'Tab 3'!R34</f>
        <v>22087.337304964538</v>
      </c>
      <c r="S34" s="57">
        <f>'Tab. 6'!$F$8</f>
        <v>108.74965</v>
      </c>
      <c r="T34" s="60">
        <f>R34*S34</f>
        <v>2401990.201346837</v>
      </c>
      <c r="U34" s="34">
        <f>C34+F34+I34+L34+O34+R34</f>
        <v>202467.25862884161</v>
      </c>
      <c r="V34" s="62">
        <f t="shared" ref="V34:V36" si="10">IFERROR(W34/U34,0)</f>
        <v>108.74964999999999</v>
      </c>
      <c r="W34" s="65">
        <f>E34+H34+K34+N34+Q34+T34</f>
        <v>22018243.512346003</v>
      </c>
      <c r="X34" s="35"/>
      <c r="Y34" s="34">
        <f>U10+U34</f>
        <v>432543.68888888886</v>
      </c>
      <c r="Z34" s="62">
        <f t="shared" ref="Z34:Z36" si="11">IFERROR(AA34/Y34,0)</f>
        <v>108.74964999999999</v>
      </c>
      <c r="AA34" s="65">
        <f>W10+W34</f>
        <v>47038974.776375547</v>
      </c>
    </row>
    <row r="35" spans="2:32" x14ac:dyDescent="0.2">
      <c r="B35" s="79" t="s">
        <v>96</v>
      </c>
      <c r="C35" s="32">
        <f>'Tab 3'!C35</f>
        <v>358.86524822695065</v>
      </c>
      <c r="D35" s="57">
        <f>'Tab. 6'!$F$8</f>
        <v>108.74965</v>
      </c>
      <c r="E35" s="60">
        <f>C35*D35</f>
        <v>39026.470141844002</v>
      </c>
      <c r="F35" s="32">
        <f>'Tab 3'!F35</f>
        <v>195.744680851064</v>
      </c>
      <c r="G35" s="57">
        <f>'Tab. 6'!$F$8</f>
        <v>108.74965</v>
      </c>
      <c r="H35" s="60">
        <f>F35*G35</f>
        <v>21287.165531914914</v>
      </c>
      <c r="I35" s="32">
        <f>'Tab 3'!I35</f>
        <v>358.86524822695065</v>
      </c>
      <c r="J35" s="57">
        <f>'Tab. 6'!$F$8</f>
        <v>108.74965</v>
      </c>
      <c r="K35" s="60">
        <f>I35*J35</f>
        <v>39026.470141844002</v>
      </c>
      <c r="L35" s="32">
        <f>'Tab 3'!L35</f>
        <v>342.55319148936201</v>
      </c>
      <c r="M35" s="57">
        <f>'Tab. 6'!$F$8</f>
        <v>108.74965</v>
      </c>
      <c r="N35" s="60">
        <f>L35*M35</f>
        <v>37252.5396808511</v>
      </c>
      <c r="O35" s="32">
        <f>'Tab 3'!O35</f>
        <v>342.55319148936201</v>
      </c>
      <c r="P35" s="57">
        <f>'Tab. 6'!$F$8</f>
        <v>108.74965</v>
      </c>
      <c r="Q35" s="60">
        <f>O35*P35</f>
        <v>37252.5396808511</v>
      </c>
      <c r="R35" s="32">
        <f>'Tab 3'!R35</f>
        <v>195.744680851064</v>
      </c>
      <c r="S35" s="57">
        <f>'Tab. 6'!$F$8</f>
        <v>108.74965</v>
      </c>
      <c r="T35" s="60">
        <f>R35*S35</f>
        <v>21287.165531914914</v>
      </c>
      <c r="U35" s="34">
        <f>C35+F35+I35+L35+O35+R35</f>
        <v>1794.3262411347532</v>
      </c>
      <c r="V35" s="62">
        <f t="shared" si="10"/>
        <v>108.74965000000002</v>
      </c>
      <c r="W35" s="65">
        <f>E35+H35+K35+N35+Q35+T35</f>
        <v>195132.35070922005</v>
      </c>
      <c r="X35" s="35"/>
      <c r="Y35" s="34">
        <f>U11+U35</f>
        <v>3833.3333333333367</v>
      </c>
      <c r="Z35" s="62">
        <f t="shared" si="11"/>
        <v>108.74965</v>
      </c>
      <c r="AA35" s="65">
        <f>W11+W35</f>
        <v>416873.65833333373</v>
      </c>
    </row>
    <row r="36" spans="2:32" ht="17" thickBot="1" x14ac:dyDescent="0.25">
      <c r="B36" s="322" t="s">
        <v>84</v>
      </c>
      <c r="C36" s="38">
        <f>SUM(C33:C35)</f>
        <v>63907.486523068706</v>
      </c>
      <c r="D36" s="58">
        <f>E36/C36</f>
        <v>108.74965</v>
      </c>
      <c r="E36" s="61">
        <f>SUM(E33:E35)</f>
        <v>6949916.7917634388</v>
      </c>
      <c r="F36" s="38">
        <f>SUM(F33:F35)</f>
        <v>34858.629012582933</v>
      </c>
      <c r="G36" s="58">
        <f>H36/F36</f>
        <v>108.74965</v>
      </c>
      <c r="H36" s="61">
        <f>SUM(H33:H35)</f>
        <v>3790863.7045982396</v>
      </c>
      <c r="I36" s="38">
        <f>SUM(I33:I35)</f>
        <v>63907.486523068706</v>
      </c>
      <c r="J36" s="58">
        <f>K36/I36</f>
        <v>108.74965</v>
      </c>
      <c r="K36" s="61">
        <f>SUM(K33:K35)</f>
        <v>6949916.7917634388</v>
      </c>
      <c r="L36" s="38">
        <f>SUM(L33:L35)</f>
        <v>61002.600772020131</v>
      </c>
      <c r="M36" s="58">
        <f>N36/L36</f>
        <v>108.74964999999999</v>
      </c>
      <c r="N36" s="61">
        <f>SUM(N33:N35)</f>
        <v>6634011.4830469182</v>
      </c>
      <c r="O36" s="38">
        <f>SUM(O33:O35)</f>
        <v>61002.600772020131</v>
      </c>
      <c r="P36" s="58">
        <f>Q36/O36</f>
        <v>108.74964999999999</v>
      </c>
      <c r="Q36" s="61">
        <f>SUM(Q33:Q35)</f>
        <v>6634011.4830469182</v>
      </c>
      <c r="R36" s="38">
        <f>SUM(R33:R35)</f>
        <v>34858.629012582933</v>
      </c>
      <c r="S36" s="58">
        <f>T36/R36</f>
        <v>108.74965</v>
      </c>
      <c r="T36" s="61">
        <f>SUM(T33:T35)</f>
        <v>3790863.7045982396</v>
      </c>
      <c r="U36" s="37">
        <f>SUM(U33:U35)</f>
        <v>319537.43261534348</v>
      </c>
      <c r="V36" s="63">
        <f t="shared" si="10"/>
        <v>108.74965000000002</v>
      </c>
      <c r="W36" s="66">
        <f>SUM(W33:W35)</f>
        <v>34749583.958817191</v>
      </c>
      <c r="X36" s="40"/>
      <c r="Y36" s="37">
        <f>SUM(Y33:Y35)</f>
        <v>682648.15149641572</v>
      </c>
      <c r="Z36" s="63">
        <f t="shared" si="11"/>
        <v>108.74964999999999</v>
      </c>
      <c r="AA36" s="66">
        <f>SUM(AA33:AA35)</f>
        <v>74237747.548382178</v>
      </c>
      <c r="AC36" s="47"/>
      <c r="AD36" s="47"/>
      <c r="AE36" s="47"/>
      <c r="AF36" s="42"/>
    </row>
    <row r="37" spans="2:32" x14ac:dyDescent="0.2">
      <c r="B37" s="79"/>
      <c r="D37" s="57"/>
      <c r="E37" s="60"/>
      <c r="G37" s="57"/>
      <c r="H37" s="60"/>
      <c r="J37" s="57"/>
      <c r="K37" s="60"/>
      <c r="M37" s="57"/>
      <c r="N37" s="60"/>
      <c r="P37" s="57"/>
      <c r="Q37" s="60"/>
      <c r="S37" s="57"/>
      <c r="T37" s="60"/>
      <c r="U37" s="28"/>
      <c r="V37" s="64"/>
      <c r="W37" s="65"/>
      <c r="Y37" s="28"/>
      <c r="Z37" s="64"/>
      <c r="AA37" s="65"/>
      <c r="AC37" s="47"/>
      <c r="AD37" s="47"/>
      <c r="AE37" s="47"/>
    </row>
    <row r="38" spans="2:32" x14ac:dyDescent="0.2">
      <c r="B38" s="321"/>
      <c r="D38" s="57"/>
      <c r="E38" s="60"/>
      <c r="G38" s="57"/>
      <c r="H38" s="60"/>
      <c r="J38" s="57"/>
      <c r="K38" s="60"/>
      <c r="M38" s="57"/>
      <c r="N38" s="60"/>
      <c r="P38" s="57"/>
      <c r="Q38" s="60"/>
      <c r="S38" s="57"/>
      <c r="T38" s="60"/>
      <c r="U38" s="28"/>
      <c r="V38" s="64"/>
      <c r="W38" s="65"/>
      <c r="Y38" s="28"/>
      <c r="Z38" s="64"/>
      <c r="AA38" s="65"/>
      <c r="AC38" s="47"/>
      <c r="AD38" s="47"/>
      <c r="AE38" s="47"/>
    </row>
    <row r="39" spans="2:32" x14ac:dyDescent="0.2">
      <c r="B39" s="79" t="s">
        <v>94</v>
      </c>
      <c r="C39" s="32">
        <f>'Tab 3'!C39</f>
        <v>1464.6813595881949</v>
      </c>
      <c r="D39" s="57">
        <f>'Tab. 6'!$F$17</f>
        <v>189</v>
      </c>
      <c r="E39" s="60">
        <f>C39*D39</f>
        <v>276824.77696216886</v>
      </c>
      <c r="F39" s="32">
        <f>'Tab 3'!F39</f>
        <v>798.91710522992457</v>
      </c>
      <c r="G39" s="57">
        <f>'Tab. 6'!$F$17</f>
        <v>189</v>
      </c>
      <c r="H39" s="60">
        <f>F39*G39</f>
        <v>150995.33288845574</v>
      </c>
      <c r="I39" s="32">
        <f>'Tab 3'!I39</f>
        <v>1464.6813595881949</v>
      </c>
      <c r="J39" s="57">
        <f>'Tab. 6'!$F$17</f>
        <v>189</v>
      </c>
      <c r="K39" s="60">
        <f>I39*J39</f>
        <v>276824.77696216886</v>
      </c>
      <c r="L39" s="32">
        <f>'Tab 3'!L39</f>
        <v>1398.1049341523681</v>
      </c>
      <c r="M39" s="57">
        <f>'Tab. 6'!$F$17</f>
        <v>189</v>
      </c>
      <c r="N39" s="60">
        <f>L39*M39</f>
        <v>264241.83255479758</v>
      </c>
      <c r="O39" s="32">
        <f>'Tab 3'!O39</f>
        <v>1398.1049341523681</v>
      </c>
      <c r="P39" s="57">
        <f>'Tab. 6'!$F$17</f>
        <v>189</v>
      </c>
      <c r="Q39" s="60">
        <f>O39*P39</f>
        <v>264241.83255479758</v>
      </c>
      <c r="R39" s="32">
        <f>'Tab 3'!R39</f>
        <v>798.91710522992457</v>
      </c>
      <c r="S39" s="57">
        <f>'Tab. 6'!$F$17</f>
        <v>189</v>
      </c>
      <c r="T39" s="60">
        <f>R39*S39</f>
        <v>150995.33288845574</v>
      </c>
      <c r="U39" s="34">
        <f>C39+F39+I39+L39+O39+R39</f>
        <v>7323.4067979409756</v>
      </c>
      <c r="V39" s="62">
        <f>IFERROR(W39/U39,0)</f>
        <v>189</v>
      </c>
      <c r="W39" s="65">
        <f>E39+H39+K39+N39+Q39+T39</f>
        <v>1384123.8848108444</v>
      </c>
      <c r="X39" s="35"/>
      <c r="Y39" s="34">
        <f>U15+U39</f>
        <v>15645.459977419358</v>
      </c>
      <c r="Z39" s="62">
        <f>IFERROR(AA39/Y39,0)</f>
        <v>189</v>
      </c>
      <c r="AA39" s="65">
        <f>W15+W39</f>
        <v>2956991.9357322585</v>
      </c>
      <c r="AC39" s="47"/>
      <c r="AD39" s="47"/>
      <c r="AE39" s="47"/>
    </row>
    <row r="40" spans="2:32" x14ac:dyDescent="0.2">
      <c r="B40" s="79" t="s">
        <v>95</v>
      </c>
      <c r="C40" s="32">
        <f>'Tab 3'!C40</f>
        <v>0</v>
      </c>
      <c r="D40" s="57">
        <f>'Tab. 6'!$F$17</f>
        <v>189</v>
      </c>
      <c r="E40" s="60">
        <f>C40*D40</f>
        <v>0</v>
      </c>
      <c r="F40" s="32">
        <f>'Tab 3'!F40</f>
        <v>0</v>
      </c>
      <c r="G40" s="57">
        <f>'Tab. 6'!$F$17</f>
        <v>189</v>
      </c>
      <c r="H40" s="60">
        <f>F40*G40</f>
        <v>0</v>
      </c>
      <c r="I40" s="32">
        <f>'Tab 3'!I40</f>
        <v>0</v>
      </c>
      <c r="J40" s="57">
        <f>'Tab. 6'!$F$17</f>
        <v>189</v>
      </c>
      <c r="K40" s="60">
        <f>I40*J40</f>
        <v>0</v>
      </c>
      <c r="L40" s="32">
        <f>'Tab 3'!L40</f>
        <v>0</v>
      </c>
      <c r="M40" s="57">
        <f>'Tab. 6'!$F$17</f>
        <v>189</v>
      </c>
      <c r="N40" s="60">
        <f>L40*M40</f>
        <v>0</v>
      </c>
      <c r="O40" s="32">
        <f>'Tab 3'!O40</f>
        <v>0</v>
      </c>
      <c r="P40" s="57">
        <f>'Tab. 6'!$F$17</f>
        <v>189</v>
      </c>
      <c r="Q40" s="60">
        <f>O40*P40</f>
        <v>0</v>
      </c>
      <c r="R40" s="32">
        <f>'Tab 3'!R40</f>
        <v>0</v>
      </c>
      <c r="S40" s="57">
        <f>'Tab. 6'!$F$17</f>
        <v>189</v>
      </c>
      <c r="T40" s="60">
        <f>R40*S40</f>
        <v>0</v>
      </c>
      <c r="U40" s="34">
        <f>C40+F40+I40+L40+O40+R40</f>
        <v>0</v>
      </c>
      <c r="V40" s="62">
        <f t="shared" ref="V40:V42" si="12">IFERROR(W40/U40,0)</f>
        <v>0</v>
      </c>
      <c r="W40" s="65">
        <f>E40+H40+K40+N40+Q40+T40</f>
        <v>0</v>
      </c>
      <c r="X40" s="35"/>
      <c r="Y40" s="34">
        <f>U16+U40</f>
        <v>0</v>
      </c>
      <c r="Z40" s="62">
        <f t="shared" ref="Z40:Z42" si="13">IFERROR(AA40/Y40,0)</f>
        <v>0</v>
      </c>
      <c r="AA40" s="65">
        <f>W16+W40</f>
        <v>0</v>
      </c>
      <c r="AC40" s="47"/>
      <c r="AD40" s="47"/>
      <c r="AE40" s="47"/>
    </row>
    <row r="41" spans="2:32" x14ac:dyDescent="0.2">
      <c r="B41" s="79" t="s">
        <v>96</v>
      </c>
      <c r="C41" s="32">
        <f>'Tab 3'!C41</f>
        <v>2454.6382978723404</v>
      </c>
      <c r="D41" s="57">
        <f>'Tab. 6'!$F$17</f>
        <v>189</v>
      </c>
      <c r="E41" s="60">
        <f>C41*D41</f>
        <v>463926.63829787233</v>
      </c>
      <c r="F41" s="32">
        <f>'Tab 3'!F41</f>
        <v>1338.8936170212767</v>
      </c>
      <c r="G41" s="57">
        <f>'Tab. 6'!$F$17</f>
        <v>189</v>
      </c>
      <c r="H41" s="60">
        <f>F41*G41</f>
        <v>253050.8936170213</v>
      </c>
      <c r="I41" s="32">
        <f>'Tab 3'!I41</f>
        <v>2454.6382978723404</v>
      </c>
      <c r="J41" s="57">
        <f>'Tab. 6'!$F$17</f>
        <v>189</v>
      </c>
      <c r="K41" s="60">
        <f>I41*J41</f>
        <v>463926.63829787233</v>
      </c>
      <c r="L41" s="32">
        <f>'Tab 3'!L41</f>
        <v>2343.0638297872342</v>
      </c>
      <c r="M41" s="57">
        <f>'Tab. 6'!$F$17</f>
        <v>189</v>
      </c>
      <c r="N41" s="60">
        <f>L41*M41</f>
        <v>442839.06382978725</v>
      </c>
      <c r="O41" s="32">
        <f>'Tab 3'!O41</f>
        <v>2343.0638297872342</v>
      </c>
      <c r="P41" s="57">
        <f>'Tab. 6'!$F$17</f>
        <v>189</v>
      </c>
      <c r="Q41" s="60">
        <f>O41*P41</f>
        <v>442839.06382978725</v>
      </c>
      <c r="R41" s="32">
        <f>'Tab 3'!R41</f>
        <v>1338.8936170212767</v>
      </c>
      <c r="S41" s="57">
        <f>'Tab. 6'!$F$17</f>
        <v>189</v>
      </c>
      <c r="T41" s="60">
        <f>R41*S41</f>
        <v>253050.8936170213</v>
      </c>
      <c r="U41" s="34">
        <f>C41+F41+I41+L41+O41+R41</f>
        <v>12273.191489361701</v>
      </c>
      <c r="V41" s="62">
        <f t="shared" si="12"/>
        <v>189</v>
      </c>
      <c r="W41" s="65">
        <f>E41+H41+K41+N41+Q41+T41</f>
        <v>2319633.1914893617</v>
      </c>
      <c r="X41" s="35"/>
      <c r="Y41" s="34">
        <f>U17+U41</f>
        <v>26220</v>
      </c>
      <c r="Z41" s="62">
        <f t="shared" si="13"/>
        <v>189</v>
      </c>
      <c r="AA41" s="65">
        <f>W17+W41</f>
        <v>4955580</v>
      </c>
      <c r="AC41" s="47"/>
      <c r="AD41" s="47"/>
      <c r="AE41" s="47"/>
    </row>
    <row r="42" spans="2:32" ht="17" thickBot="1" x14ac:dyDescent="0.25">
      <c r="B42" s="322" t="s">
        <v>85</v>
      </c>
      <c r="C42" s="38">
        <f>SUM(C39:C41)</f>
        <v>3919.3196574605354</v>
      </c>
      <c r="D42" s="58">
        <f>E42/C42</f>
        <v>189</v>
      </c>
      <c r="E42" s="61">
        <f>SUM(E39:E41)</f>
        <v>740751.41526004113</v>
      </c>
      <c r="F42" s="38">
        <f>SUM(F39:F41)</f>
        <v>2137.8107222512012</v>
      </c>
      <c r="G42" s="58">
        <f>H42/F42</f>
        <v>189</v>
      </c>
      <c r="H42" s="61">
        <f>SUM(H39:H41)</f>
        <v>404046.22650547704</v>
      </c>
      <c r="I42" s="38">
        <f>SUM(I39:I41)</f>
        <v>3919.3196574605354</v>
      </c>
      <c r="J42" s="58">
        <f>K42/I42</f>
        <v>189</v>
      </c>
      <c r="K42" s="61">
        <f>SUM(K39:K41)</f>
        <v>740751.41526004113</v>
      </c>
      <c r="L42" s="38">
        <f>SUM(L39:L41)</f>
        <v>3741.1687639396023</v>
      </c>
      <c r="M42" s="58">
        <f>N42/L42</f>
        <v>189</v>
      </c>
      <c r="N42" s="61">
        <f>SUM(N39:N41)</f>
        <v>707080.89638458483</v>
      </c>
      <c r="O42" s="38">
        <f>SUM(O39:O41)</f>
        <v>3741.1687639396023</v>
      </c>
      <c r="P42" s="58">
        <f>Q42/O42</f>
        <v>189</v>
      </c>
      <c r="Q42" s="61">
        <f>SUM(Q39:Q41)</f>
        <v>707080.89638458483</v>
      </c>
      <c r="R42" s="38">
        <f>SUM(R39:R41)</f>
        <v>2137.8107222512012</v>
      </c>
      <c r="S42" s="58">
        <f>T42/R42</f>
        <v>189</v>
      </c>
      <c r="T42" s="61">
        <f>SUM(T39:T41)</f>
        <v>404046.22650547704</v>
      </c>
      <c r="U42" s="37">
        <f>SUM(U39:U41)</f>
        <v>19596.598287302677</v>
      </c>
      <c r="V42" s="63">
        <f t="shared" si="12"/>
        <v>189</v>
      </c>
      <c r="W42" s="66">
        <f>SUM(W39:W41)</f>
        <v>3703757.0763002061</v>
      </c>
      <c r="X42" s="40"/>
      <c r="Y42" s="37">
        <f>SUM(Y39:Y41)</f>
        <v>41865.459977419356</v>
      </c>
      <c r="Z42" s="63">
        <f t="shared" si="13"/>
        <v>189</v>
      </c>
      <c r="AA42" s="66">
        <f>SUM(AA39:AA41)</f>
        <v>7912571.9357322585</v>
      </c>
      <c r="AC42" s="47"/>
      <c r="AD42" s="47"/>
      <c r="AE42" s="47"/>
      <c r="AF42" s="42"/>
    </row>
    <row r="43" spans="2:32" x14ac:dyDescent="0.2">
      <c r="B43" s="79"/>
      <c r="D43" s="57"/>
      <c r="E43" s="60"/>
      <c r="G43" s="57"/>
      <c r="H43" s="60"/>
      <c r="J43" s="57"/>
      <c r="K43" s="60"/>
      <c r="M43" s="57"/>
      <c r="N43" s="60"/>
      <c r="P43" s="57"/>
      <c r="Q43" s="60"/>
      <c r="S43" s="57"/>
      <c r="T43" s="60"/>
      <c r="U43" s="28"/>
      <c r="V43" s="64"/>
      <c r="W43" s="65"/>
      <c r="Y43" s="28"/>
      <c r="Z43" s="64"/>
      <c r="AA43" s="65"/>
    </row>
    <row r="44" spans="2:32" x14ac:dyDescent="0.2">
      <c r="B44" s="321"/>
      <c r="D44" s="57"/>
      <c r="E44" s="60"/>
      <c r="G44" s="57"/>
      <c r="H44" s="60"/>
      <c r="J44" s="57"/>
      <c r="K44" s="60"/>
      <c r="M44" s="57"/>
      <c r="N44" s="60"/>
      <c r="P44" s="57"/>
      <c r="Q44" s="60"/>
      <c r="S44" s="57"/>
      <c r="T44" s="60"/>
      <c r="U44" s="28"/>
      <c r="V44" s="64"/>
      <c r="W44" s="65"/>
      <c r="Y44" s="28"/>
      <c r="Z44" s="64"/>
      <c r="AA44" s="65"/>
    </row>
    <row r="45" spans="2:32" x14ac:dyDescent="0.2">
      <c r="B45" s="79" t="s">
        <v>94</v>
      </c>
      <c r="C45" s="32">
        <f>C33+C39</f>
        <v>24519.850908661629</v>
      </c>
      <c r="D45" s="59">
        <f>E45/C45</f>
        <v>113.54336559734516</v>
      </c>
      <c r="E45" s="60">
        <f>E33+E39</f>
        <v>2784066.3961145631</v>
      </c>
      <c r="F45" s="32">
        <f>F33+F39</f>
        <v>13374.464131997251</v>
      </c>
      <c r="G45" s="59">
        <f>H45/F45</f>
        <v>113.54336559734516</v>
      </c>
      <c r="H45" s="60">
        <f>H33+H39</f>
        <v>1518581.6706079433</v>
      </c>
      <c r="I45" s="32">
        <f>I33+I39</f>
        <v>24519.850908661629</v>
      </c>
      <c r="J45" s="59">
        <f>K45/I45</f>
        <v>113.54336559734516</v>
      </c>
      <c r="K45" s="60">
        <f>K33+K39</f>
        <v>2784066.3961145631</v>
      </c>
      <c r="L45" s="32">
        <f>L33+L39</f>
        <v>23405.31223099519</v>
      </c>
      <c r="M45" s="59">
        <f>N45/L45</f>
        <v>113.54336559734514</v>
      </c>
      <c r="N45" s="60">
        <f>N33+N39</f>
        <v>2657517.9235639009</v>
      </c>
      <c r="O45" s="32">
        <f>O33+O39</f>
        <v>23405.31223099519</v>
      </c>
      <c r="P45" s="59">
        <f>Q45/O45</f>
        <v>113.54336559734514</v>
      </c>
      <c r="Q45" s="60">
        <f>Q33+Q39</f>
        <v>2657517.9235639009</v>
      </c>
      <c r="R45" s="32">
        <f>R33+R39</f>
        <v>13374.464131997251</v>
      </c>
      <c r="S45" s="59">
        <f>T45/R45</f>
        <v>113.54336559734516</v>
      </c>
      <c r="T45" s="60">
        <f>T33+T39</f>
        <v>1518581.6706079433</v>
      </c>
      <c r="U45" s="34">
        <f>C45+F45+I45+L45+O45+R45</f>
        <v>122599.25454330814</v>
      </c>
      <c r="V45" s="62">
        <f>IFERROR(W45/U45,0)</f>
        <v>113.54336559734516</v>
      </c>
      <c r="W45" s="65">
        <f>E45+H45+K45+N45+Q45+T45</f>
        <v>13920331.980572816</v>
      </c>
      <c r="Y45" s="34">
        <f>U21+U45</f>
        <v>261916.58925161284</v>
      </c>
      <c r="Z45" s="62">
        <f>IFERROR(AA45/Y45,0)</f>
        <v>113.54336559734516</v>
      </c>
      <c r="AA45" s="65">
        <f>W21+W45</f>
        <v>29738891.04940556</v>
      </c>
    </row>
    <row r="46" spans="2:32" x14ac:dyDescent="0.2">
      <c r="B46" s="79" t="s">
        <v>95</v>
      </c>
      <c r="C46" s="32">
        <f t="shared" ref="C46" si="14">C34+C40</f>
        <v>40493.451725768318</v>
      </c>
      <c r="D46" s="59">
        <f>E46/C46</f>
        <v>108.74965</v>
      </c>
      <c r="E46" s="60">
        <f t="shared" ref="E46:F47" si="15">E34+E40</f>
        <v>4403648.7024692008</v>
      </c>
      <c r="F46" s="32">
        <f t="shared" si="15"/>
        <v>22087.337304964538</v>
      </c>
      <c r="G46" s="59">
        <f>H46/F46</f>
        <v>108.74965000000002</v>
      </c>
      <c r="H46" s="60">
        <f t="shared" ref="H46:I47" si="16">H34+H40</f>
        <v>2401990.201346837</v>
      </c>
      <c r="I46" s="32">
        <f t="shared" si="16"/>
        <v>40493.451725768318</v>
      </c>
      <c r="J46" s="59">
        <f>K46/I46</f>
        <v>108.74965</v>
      </c>
      <c r="K46" s="60">
        <f t="shared" ref="K46:L47" si="17">K34+K40</f>
        <v>4403648.7024692008</v>
      </c>
      <c r="L46" s="32">
        <f t="shared" si="17"/>
        <v>38652.84028368794</v>
      </c>
      <c r="M46" s="59">
        <f>N46/L46</f>
        <v>108.74964999999999</v>
      </c>
      <c r="N46" s="60">
        <f t="shared" ref="N46:O47" si="18">N34+N40</f>
        <v>4203482.8523569638</v>
      </c>
      <c r="O46" s="32">
        <f t="shared" si="18"/>
        <v>38652.84028368794</v>
      </c>
      <c r="P46" s="59">
        <f>Q46/O46</f>
        <v>108.74964999999999</v>
      </c>
      <c r="Q46" s="60">
        <f t="shared" ref="Q46:R47" si="19">Q34+Q40</f>
        <v>4203482.8523569638</v>
      </c>
      <c r="R46" s="32">
        <f t="shared" si="19"/>
        <v>22087.337304964538</v>
      </c>
      <c r="S46" s="59">
        <f>T46/R46</f>
        <v>108.74965000000002</v>
      </c>
      <c r="T46" s="60">
        <f t="shared" ref="T46:T47" si="20">T34+T40</f>
        <v>2401990.201346837</v>
      </c>
      <c r="U46" s="34">
        <f>C46+F46+I46+L46+O46+R46</f>
        <v>202467.25862884161</v>
      </c>
      <c r="V46" s="62">
        <f t="shared" ref="V46:V48" si="21">IFERROR(W46/U46,0)</f>
        <v>108.74964999999999</v>
      </c>
      <c r="W46" s="65">
        <f>E46+H46+K46+N46+Q46+T46</f>
        <v>22018243.512346003</v>
      </c>
      <c r="Y46" s="34">
        <f>U22+U46</f>
        <v>432543.68888888886</v>
      </c>
      <c r="Z46" s="62">
        <f t="shared" ref="Z46:Z48" si="22">IFERROR(AA46/Y46,0)</f>
        <v>108.74964999999999</v>
      </c>
      <c r="AA46" s="65">
        <f>W22+W46</f>
        <v>47038974.776375547</v>
      </c>
    </row>
    <row r="47" spans="2:32" x14ac:dyDescent="0.2">
      <c r="B47" s="79" t="s">
        <v>96</v>
      </c>
      <c r="C47" s="32">
        <f t="shared" ref="C47" si="23">C35+C41</f>
        <v>2813.5035460992913</v>
      </c>
      <c r="D47" s="59">
        <f>E47/C47</f>
        <v>178.76398596938773</v>
      </c>
      <c r="E47" s="60">
        <f t="shared" si="15"/>
        <v>502953.10843971634</v>
      </c>
      <c r="F47" s="32">
        <f t="shared" si="15"/>
        <v>1534.6382978723407</v>
      </c>
      <c r="G47" s="59">
        <f>H47/F47</f>
        <v>178.76398596938773</v>
      </c>
      <c r="H47" s="60">
        <f t="shared" si="16"/>
        <v>274338.05914893618</v>
      </c>
      <c r="I47" s="32">
        <f t="shared" si="16"/>
        <v>2813.5035460992913</v>
      </c>
      <c r="J47" s="59">
        <f>K47/I47</f>
        <v>178.76398596938773</v>
      </c>
      <c r="K47" s="60">
        <f t="shared" si="17"/>
        <v>502953.10843971634</v>
      </c>
      <c r="L47" s="32">
        <f t="shared" si="17"/>
        <v>2685.6170212765965</v>
      </c>
      <c r="M47" s="59">
        <f>N47/L47</f>
        <v>178.76398596938773</v>
      </c>
      <c r="N47" s="60">
        <f t="shared" si="18"/>
        <v>480091.60351063835</v>
      </c>
      <c r="O47" s="32">
        <f t="shared" si="18"/>
        <v>2685.6170212765965</v>
      </c>
      <c r="P47" s="59">
        <f>Q47/O47</f>
        <v>178.76398596938773</v>
      </c>
      <c r="Q47" s="60">
        <f t="shared" si="19"/>
        <v>480091.60351063835</v>
      </c>
      <c r="R47" s="32">
        <f t="shared" si="19"/>
        <v>1534.6382978723407</v>
      </c>
      <c r="S47" s="59">
        <f>T47/R47</f>
        <v>178.76398596938773</v>
      </c>
      <c r="T47" s="60">
        <f t="shared" si="20"/>
        <v>274338.05914893618</v>
      </c>
      <c r="U47" s="34">
        <f>C47+F47+I47+L47+O47+R47</f>
        <v>14067.517730496456</v>
      </c>
      <c r="V47" s="62">
        <f t="shared" si="21"/>
        <v>178.76398596938773</v>
      </c>
      <c r="W47" s="65">
        <f>E47+H47+K47+N47+Q47+T47</f>
        <v>2514765.5421985816</v>
      </c>
      <c r="Y47" s="34">
        <f>U23+U47</f>
        <v>30053.333333333339</v>
      </c>
      <c r="Z47" s="62">
        <f t="shared" si="22"/>
        <v>178.7639859693877</v>
      </c>
      <c r="AA47" s="65">
        <f>W23+W47</f>
        <v>5372453.6583333332</v>
      </c>
    </row>
    <row r="48" spans="2:32" ht="17" thickBot="1" x14ac:dyDescent="0.25">
      <c r="B48" s="322" t="s">
        <v>3</v>
      </c>
      <c r="C48" s="38">
        <f>SUM(C45:C47)</f>
        <v>67826.806180529238</v>
      </c>
      <c r="D48" s="58">
        <f>E48/C48</f>
        <v>113.38685455060109</v>
      </c>
      <c r="E48" s="61">
        <f>SUM(E45:E47)</f>
        <v>7690668.20702348</v>
      </c>
      <c r="F48" s="37">
        <f>SUM(F45:F47)</f>
        <v>36996.43973483413</v>
      </c>
      <c r="G48" s="58">
        <f>H48/F48</f>
        <v>113.3868545506011</v>
      </c>
      <c r="H48" s="61">
        <f>SUM(H45:H47)</f>
        <v>4194909.9311037166</v>
      </c>
      <c r="I48" s="37">
        <f>SUM(I45:I47)</f>
        <v>67826.806180529238</v>
      </c>
      <c r="J48" s="58">
        <f>K48/I48</f>
        <v>113.38685455060109</v>
      </c>
      <c r="K48" s="61">
        <f>SUM(K45:K47)</f>
        <v>7690668.20702348</v>
      </c>
      <c r="L48" s="37">
        <f>SUM(L45:L47)</f>
        <v>64743.76953595972</v>
      </c>
      <c r="M48" s="58">
        <f>N48/L48</f>
        <v>113.3868545506011</v>
      </c>
      <c r="N48" s="61">
        <f>SUM(N45:N47)</f>
        <v>7341092.3794315029</v>
      </c>
      <c r="O48" s="37">
        <f>SUM(O45:O47)</f>
        <v>64743.76953595972</v>
      </c>
      <c r="P48" s="58">
        <f>Q48/O48</f>
        <v>113.3868545506011</v>
      </c>
      <c r="Q48" s="61">
        <f>SUM(Q45:Q47)</f>
        <v>7341092.3794315029</v>
      </c>
      <c r="R48" s="37">
        <f>SUM(R45:R47)</f>
        <v>36996.43973483413</v>
      </c>
      <c r="S48" s="58">
        <f>T48/R48</f>
        <v>113.3868545506011</v>
      </c>
      <c r="T48" s="61">
        <f>SUM(T45:T47)</f>
        <v>4194909.9311037166</v>
      </c>
      <c r="U48" s="37">
        <f>SUM(U45:U47)</f>
        <v>339134.03090264625</v>
      </c>
      <c r="V48" s="63">
        <f t="shared" si="21"/>
        <v>113.38685455060109</v>
      </c>
      <c r="W48" s="66">
        <f>SUM(W45:W47)</f>
        <v>38453341.035117403</v>
      </c>
      <c r="Y48" s="37">
        <f>SUM(Y45:Y47)</f>
        <v>724513.61147383507</v>
      </c>
      <c r="Z48" s="63">
        <f t="shared" si="22"/>
        <v>113.38685455060107</v>
      </c>
      <c r="AA48" s="66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>
    <tabColor theme="0" tint="-0.499984740745262"/>
  </sheetPr>
  <dimension ref="B2:P195"/>
  <sheetViews>
    <sheetView topLeftCell="A64" zoomScale="176" zoomScaleNormal="190" workbookViewId="0">
      <selection activeCell="L12" sqref="L12"/>
    </sheetView>
  </sheetViews>
  <sheetFormatPr baseColWidth="10" defaultRowHeight="14" x14ac:dyDescent="0.2"/>
  <cols>
    <col min="1" max="1" width="10.83203125" style="1"/>
    <col min="2" max="4" width="13.5" style="1" customWidth="1"/>
    <col min="5" max="12" width="13.5" style="327" customWidth="1"/>
    <col min="13" max="13" width="12.1640625" style="1" customWidth="1"/>
    <col min="14" max="14" width="4" style="1" customWidth="1"/>
    <col min="15" max="16384" width="10.83203125" style="1"/>
  </cols>
  <sheetData>
    <row r="2" spans="2:16" x14ac:dyDescent="0.2">
      <c r="B2" s="1" t="s">
        <v>174</v>
      </c>
    </row>
    <row r="4" spans="2:16" x14ac:dyDescent="0.2">
      <c r="B4" s="1" t="s">
        <v>42</v>
      </c>
      <c r="E4" s="332">
        <v>0.23810000000000001</v>
      </c>
    </row>
    <row r="5" spans="2:16" x14ac:dyDescent="0.2">
      <c r="B5" s="1" t="s">
        <v>43</v>
      </c>
      <c r="E5" s="332">
        <f>33%-E4</f>
        <v>9.1900000000000009E-2</v>
      </c>
    </row>
    <row r="6" spans="2:16" x14ac:dyDescent="0.2">
      <c r="B6" s="1" t="s">
        <v>44</v>
      </c>
      <c r="E6" s="332">
        <v>0.25</v>
      </c>
    </row>
    <row r="8" spans="2:16" x14ac:dyDescent="0.2">
      <c r="B8" s="454" t="s">
        <v>65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</row>
    <row r="9" spans="2:16" x14ac:dyDescent="0.2">
      <c r="B9" s="328" t="s">
        <v>39</v>
      </c>
      <c r="C9" s="328" t="s">
        <v>569</v>
      </c>
      <c r="D9" s="328" t="s">
        <v>175</v>
      </c>
      <c r="E9" s="328" t="s">
        <v>557</v>
      </c>
      <c r="F9" s="329" t="s">
        <v>176</v>
      </c>
      <c r="G9" s="329" t="s">
        <v>34</v>
      </c>
      <c r="H9" s="329" t="s">
        <v>37</v>
      </c>
      <c r="I9" s="329" t="s">
        <v>177</v>
      </c>
      <c r="J9" s="329" t="s">
        <v>38</v>
      </c>
      <c r="K9" s="329" t="s">
        <v>178</v>
      </c>
      <c r="L9" s="329" t="s">
        <v>33</v>
      </c>
      <c r="M9" s="331" t="s">
        <v>179</v>
      </c>
    </row>
    <row r="10" spans="2:16" x14ac:dyDescent="0.2">
      <c r="B10" s="1" t="s">
        <v>372</v>
      </c>
      <c r="C10" s="1" t="s">
        <v>180</v>
      </c>
      <c r="D10" s="1" t="s">
        <v>180</v>
      </c>
      <c r="E10" s="1"/>
      <c r="F10" s="327">
        <v>52666.67</v>
      </c>
      <c r="G10" s="327">
        <f t="shared" ref="G10:G41" si="0">F10*$E$4</f>
        <v>12539.934127</v>
      </c>
      <c r="H10" s="327">
        <f>F10/12</f>
        <v>4388.8891666666668</v>
      </c>
      <c r="I10" s="327">
        <f t="shared" ref="I10:I41" si="1">H10*$E$4</f>
        <v>1044.9945105833333</v>
      </c>
      <c r="J10" s="327">
        <f>F10/12</f>
        <v>4388.8891666666668</v>
      </c>
      <c r="K10" s="327">
        <f t="shared" ref="K10:K41" si="2">J10*$E$4</f>
        <v>1044.9945105833333</v>
      </c>
      <c r="L10" s="327">
        <f>F10/13.5</f>
        <v>3901.2348148148149</v>
      </c>
      <c r="M10" s="330">
        <f>SUM(G10:L10)+F10</f>
        <v>79975.606296314814</v>
      </c>
    </row>
    <row r="11" spans="2:16" x14ac:dyDescent="0.2">
      <c r="B11" s="1" t="s">
        <v>373</v>
      </c>
      <c r="C11" s="1" t="s">
        <v>296</v>
      </c>
      <c r="D11" s="1" t="s">
        <v>181</v>
      </c>
      <c r="E11" s="1"/>
      <c r="F11" s="327">
        <v>23537.57</v>
      </c>
      <c r="G11" s="327">
        <f t="shared" si="0"/>
        <v>5604.2954170000003</v>
      </c>
      <c r="H11" s="327">
        <f t="shared" ref="H11:H53" si="3">F11/12</f>
        <v>1961.4641666666666</v>
      </c>
      <c r="I11" s="327">
        <f t="shared" si="1"/>
        <v>467.02461808333334</v>
      </c>
      <c r="J11" s="327">
        <f t="shared" ref="J11:J53" si="4">F11/12</f>
        <v>1961.4641666666666</v>
      </c>
      <c r="K11" s="327">
        <f t="shared" si="2"/>
        <v>467.02461808333334</v>
      </c>
      <c r="L11" s="327">
        <f t="shared" ref="L11:L53" si="5">F11/13.5</f>
        <v>1743.5237037037036</v>
      </c>
      <c r="M11" s="330">
        <f t="shared" ref="M11:M53" si="6">SUM(G11:L11)+F11</f>
        <v>35742.366690203708</v>
      </c>
    </row>
    <row r="12" spans="2:16" x14ac:dyDescent="0.2">
      <c r="B12" s="1" t="s">
        <v>374</v>
      </c>
      <c r="C12" s="1" t="s">
        <v>297</v>
      </c>
      <c r="D12" s="1" t="s">
        <v>182</v>
      </c>
      <c r="E12" s="1"/>
      <c r="F12" s="327">
        <v>40536.639999999999</v>
      </c>
      <c r="G12" s="327">
        <f t="shared" si="0"/>
        <v>9651.7739839999995</v>
      </c>
      <c r="H12" s="327">
        <f t="shared" si="3"/>
        <v>3378.0533333333333</v>
      </c>
      <c r="I12" s="327">
        <f t="shared" si="1"/>
        <v>804.31449866666662</v>
      </c>
      <c r="J12" s="327">
        <f t="shared" si="4"/>
        <v>3378.0533333333333</v>
      </c>
      <c r="K12" s="327">
        <f t="shared" si="2"/>
        <v>804.31449866666662</v>
      </c>
      <c r="L12" s="327">
        <f t="shared" si="5"/>
        <v>3002.7140740740742</v>
      </c>
      <c r="M12" s="330">
        <f t="shared" si="6"/>
        <v>61555.863722074071</v>
      </c>
      <c r="O12" s="1" t="s">
        <v>299</v>
      </c>
      <c r="P12" s="327">
        <f>SUMIF(Tabella2[Funzioni],$O12,Tabella2[Costo totale])</f>
        <v>2618573.9519654093</v>
      </c>
    </row>
    <row r="13" spans="2:16" x14ac:dyDescent="0.2">
      <c r="B13" s="1" t="s">
        <v>375</v>
      </c>
      <c r="C13" s="1" t="s">
        <v>183</v>
      </c>
      <c r="D13" s="1" t="s">
        <v>183</v>
      </c>
      <c r="E13" s="1"/>
      <c r="F13" s="327">
        <v>59504.31</v>
      </c>
      <c r="G13" s="327">
        <f t="shared" si="0"/>
        <v>14167.976210999999</v>
      </c>
      <c r="H13" s="327">
        <f t="shared" si="3"/>
        <v>4958.6925000000001</v>
      </c>
      <c r="I13" s="327">
        <f t="shared" si="1"/>
        <v>1180.6646842500002</v>
      </c>
      <c r="J13" s="327">
        <f t="shared" si="4"/>
        <v>4958.6925000000001</v>
      </c>
      <c r="K13" s="327">
        <f t="shared" si="2"/>
        <v>1180.6646842500002</v>
      </c>
      <c r="L13" s="327">
        <f t="shared" si="5"/>
        <v>4407.7266666666665</v>
      </c>
      <c r="M13" s="330">
        <f t="shared" si="6"/>
        <v>90358.727246166673</v>
      </c>
      <c r="O13" s="1" t="s">
        <v>300</v>
      </c>
      <c r="P13" s="327">
        <f>SUMIF(Tabella2[Funzioni],$O13,Tabella2[Costo totale])</f>
        <v>372741.48997968523</v>
      </c>
    </row>
    <row r="14" spans="2:16" x14ac:dyDescent="0.2">
      <c r="B14" s="1" t="s">
        <v>376</v>
      </c>
      <c r="C14" s="1" t="s">
        <v>299</v>
      </c>
      <c r="D14" s="1" t="s">
        <v>184</v>
      </c>
      <c r="E14" s="1"/>
      <c r="F14" s="327">
        <v>27109.83</v>
      </c>
      <c r="G14" s="327">
        <f t="shared" si="0"/>
        <v>6454.850523000001</v>
      </c>
      <c r="H14" s="327">
        <f t="shared" si="3"/>
        <v>2259.1525000000001</v>
      </c>
      <c r="I14" s="327">
        <f t="shared" si="1"/>
        <v>537.90421025000001</v>
      </c>
      <c r="J14" s="327">
        <f t="shared" si="4"/>
        <v>2259.1525000000001</v>
      </c>
      <c r="K14" s="327">
        <f t="shared" si="2"/>
        <v>537.90421025000001</v>
      </c>
      <c r="L14" s="327">
        <f t="shared" si="5"/>
        <v>2008.1355555555556</v>
      </c>
      <c r="M14" s="330">
        <f t="shared" si="6"/>
        <v>41166.929499055565</v>
      </c>
    </row>
    <row r="15" spans="2:16" x14ac:dyDescent="0.2">
      <c r="B15" s="1" t="s">
        <v>377</v>
      </c>
      <c r="C15" s="1" t="s">
        <v>299</v>
      </c>
      <c r="D15" s="1" t="s">
        <v>185</v>
      </c>
      <c r="E15" s="1" t="s">
        <v>294</v>
      </c>
      <c r="F15" s="327">
        <v>23062.27</v>
      </c>
      <c r="G15" s="327">
        <f t="shared" si="0"/>
        <v>5491.1264870000005</v>
      </c>
      <c r="H15" s="327">
        <f t="shared" si="3"/>
        <v>1921.8558333333333</v>
      </c>
      <c r="I15" s="327">
        <f t="shared" si="1"/>
        <v>457.59387391666667</v>
      </c>
      <c r="J15" s="327">
        <f t="shared" si="4"/>
        <v>1921.8558333333333</v>
      </c>
      <c r="K15" s="327">
        <f t="shared" si="2"/>
        <v>457.59387391666667</v>
      </c>
      <c r="L15" s="327">
        <f t="shared" si="5"/>
        <v>1708.3162962962963</v>
      </c>
      <c r="M15" s="330">
        <f t="shared" si="6"/>
        <v>35020.612197796298</v>
      </c>
    </row>
    <row r="16" spans="2:16" x14ac:dyDescent="0.2">
      <c r="B16" s="1" t="s">
        <v>378</v>
      </c>
      <c r="C16" s="1" t="s">
        <v>299</v>
      </c>
      <c r="D16" s="1" t="s">
        <v>186</v>
      </c>
      <c r="E16" s="1" t="s">
        <v>294</v>
      </c>
      <c r="F16" s="327">
        <v>22137.439999999999</v>
      </c>
      <c r="G16" s="327">
        <f t="shared" si="0"/>
        <v>5270.9244639999997</v>
      </c>
      <c r="H16" s="327">
        <f t="shared" si="3"/>
        <v>1844.7866666666666</v>
      </c>
      <c r="I16" s="327">
        <f t="shared" si="1"/>
        <v>439.24370533333331</v>
      </c>
      <c r="J16" s="327">
        <f t="shared" si="4"/>
        <v>1844.7866666666666</v>
      </c>
      <c r="K16" s="327">
        <f t="shared" si="2"/>
        <v>439.24370533333331</v>
      </c>
      <c r="L16" s="327">
        <f t="shared" si="5"/>
        <v>1639.8103703703703</v>
      </c>
      <c r="M16" s="330">
        <f t="shared" si="6"/>
        <v>33616.235578370368</v>
      </c>
    </row>
    <row r="17" spans="2:13" x14ac:dyDescent="0.2">
      <c r="B17" s="1" t="s">
        <v>379</v>
      </c>
      <c r="C17" s="1" t="s">
        <v>299</v>
      </c>
      <c r="D17" s="1" t="s">
        <v>187</v>
      </c>
      <c r="E17" s="1" t="s">
        <v>294</v>
      </c>
      <c r="F17" s="327">
        <v>20242.759999999998</v>
      </c>
      <c r="G17" s="327">
        <f t="shared" si="0"/>
        <v>4819.8011559999995</v>
      </c>
      <c r="H17" s="327">
        <f t="shared" si="3"/>
        <v>1686.8966666666665</v>
      </c>
      <c r="I17" s="327">
        <f t="shared" si="1"/>
        <v>401.65009633333329</v>
      </c>
      <c r="J17" s="327">
        <f t="shared" si="4"/>
        <v>1686.8966666666665</v>
      </c>
      <c r="K17" s="327">
        <f t="shared" si="2"/>
        <v>401.65009633333329</v>
      </c>
      <c r="L17" s="327">
        <f t="shared" si="5"/>
        <v>1499.4637037037037</v>
      </c>
      <c r="M17" s="330">
        <f t="shared" si="6"/>
        <v>30739.118385703703</v>
      </c>
    </row>
    <row r="18" spans="2:13" x14ac:dyDescent="0.2">
      <c r="B18" s="1" t="s">
        <v>380</v>
      </c>
      <c r="C18" s="1" t="s">
        <v>299</v>
      </c>
      <c r="D18" s="1" t="s">
        <v>188</v>
      </c>
      <c r="E18" s="1" t="s">
        <v>294</v>
      </c>
      <c r="F18" s="327">
        <v>20242.759999999998</v>
      </c>
      <c r="G18" s="327">
        <f t="shared" si="0"/>
        <v>4819.8011559999995</v>
      </c>
      <c r="H18" s="327">
        <f t="shared" si="3"/>
        <v>1686.8966666666665</v>
      </c>
      <c r="I18" s="327">
        <f t="shared" si="1"/>
        <v>401.65009633333329</v>
      </c>
      <c r="J18" s="327">
        <f t="shared" si="4"/>
        <v>1686.8966666666665</v>
      </c>
      <c r="K18" s="327">
        <f t="shared" si="2"/>
        <v>401.65009633333329</v>
      </c>
      <c r="L18" s="327">
        <f t="shared" si="5"/>
        <v>1499.4637037037037</v>
      </c>
      <c r="M18" s="330">
        <f t="shared" si="6"/>
        <v>30739.118385703703</v>
      </c>
    </row>
    <row r="19" spans="2:13" x14ac:dyDescent="0.2">
      <c r="B19" s="1" t="s">
        <v>381</v>
      </c>
      <c r="C19" s="1" t="s">
        <v>299</v>
      </c>
      <c r="D19" s="1" t="s">
        <v>189</v>
      </c>
      <c r="E19" s="1" t="s">
        <v>294</v>
      </c>
      <c r="F19" s="327">
        <v>20013.53</v>
      </c>
      <c r="G19" s="327">
        <f t="shared" si="0"/>
        <v>4765.221493</v>
      </c>
      <c r="H19" s="327">
        <f t="shared" si="3"/>
        <v>1667.7941666666666</v>
      </c>
      <c r="I19" s="327">
        <f t="shared" si="1"/>
        <v>397.1017910833333</v>
      </c>
      <c r="J19" s="327">
        <f t="shared" si="4"/>
        <v>1667.7941666666666</v>
      </c>
      <c r="K19" s="327">
        <f t="shared" si="2"/>
        <v>397.1017910833333</v>
      </c>
      <c r="L19" s="327">
        <f t="shared" si="5"/>
        <v>1482.4837037037037</v>
      </c>
      <c r="M19" s="330">
        <f t="shared" si="6"/>
        <v>30391.027112203701</v>
      </c>
    </row>
    <row r="20" spans="2:13" x14ac:dyDescent="0.2">
      <c r="B20" s="1" t="s">
        <v>382</v>
      </c>
      <c r="C20" s="1" t="s">
        <v>299</v>
      </c>
      <c r="D20" s="1" t="s">
        <v>190</v>
      </c>
      <c r="E20" s="1" t="s">
        <v>294</v>
      </c>
      <c r="F20" s="327">
        <v>18900.68</v>
      </c>
      <c r="G20" s="327">
        <f t="shared" si="0"/>
        <v>4500.2519080000002</v>
      </c>
      <c r="H20" s="327">
        <f t="shared" si="3"/>
        <v>1575.0566666666666</v>
      </c>
      <c r="I20" s="327">
        <f t="shared" si="1"/>
        <v>375.02099233333331</v>
      </c>
      <c r="J20" s="327">
        <f t="shared" si="4"/>
        <v>1575.0566666666666</v>
      </c>
      <c r="K20" s="327">
        <f t="shared" si="2"/>
        <v>375.02099233333331</v>
      </c>
      <c r="L20" s="327">
        <f t="shared" si="5"/>
        <v>1400.0503703703705</v>
      </c>
      <c r="M20" s="330">
        <f t="shared" si="6"/>
        <v>28701.137596370369</v>
      </c>
    </row>
    <row r="21" spans="2:13" x14ac:dyDescent="0.2">
      <c r="B21" s="1" t="s">
        <v>383</v>
      </c>
      <c r="C21" s="1" t="s">
        <v>299</v>
      </c>
      <c r="D21" s="1" t="s">
        <v>191</v>
      </c>
      <c r="E21" s="1" t="s">
        <v>294</v>
      </c>
      <c r="F21" s="327">
        <v>18510.68</v>
      </c>
      <c r="G21" s="327">
        <f t="shared" si="0"/>
        <v>4407.3929079999998</v>
      </c>
      <c r="H21" s="327">
        <f t="shared" si="3"/>
        <v>1542.5566666666666</v>
      </c>
      <c r="I21" s="327">
        <f t="shared" si="1"/>
        <v>367.28274233333332</v>
      </c>
      <c r="J21" s="327">
        <f t="shared" si="4"/>
        <v>1542.5566666666666</v>
      </c>
      <c r="K21" s="327">
        <f t="shared" si="2"/>
        <v>367.28274233333332</v>
      </c>
      <c r="L21" s="327">
        <f t="shared" si="5"/>
        <v>1371.1614814814816</v>
      </c>
      <c r="M21" s="330">
        <f t="shared" si="6"/>
        <v>28108.913207481484</v>
      </c>
    </row>
    <row r="22" spans="2:13" x14ac:dyDescent="0.2">
      <c r="B22" s="1" t="s">
        <v>384</v>
      </c>
      <c r="C22" s="1" t="s">
        <v>299</v>
      </c>
      <c r="D22" s="1" t="s">
        <v>192</v>
      </c>
      <c r="E22" s="1" t="s">
        <v>294</v>
      </c>
      <c r="F22" s="327">
        <v>14939.09</v>
      </c>
      <c r="G22" s="327">
        <f t="shared" si="0"/>
        <v>3556.9973290000003</v>
      </c>
      <c r="H22" s="327">
        <f t="shared" si="3"/>
        <v>1244.9241666666667</v>
      </c>
      <c r="I22" s="327">
        <f t="shared" si="1"/>
        <v>296.41644408333332</v>
      </c>
      <c r="J22" s="327">
        <f t="shared" si="4"/>
        <v>1244.9241666666667</v>
      </c>
      <c r="K22" s="327">
        <f t="shared" si="2"/>
        <v>296.41644408333332</v>
      </c>
      <c r="L22" s="327">
        <f t="shared" si="5"/>
        <v>1106.5992592592593</v>
      </c>
      <c r="M22" s="330">
        <f t="shared" si="6"/>
        <v>22685.36780975926</v>
      </c>
    </row>
    <row r="23" spans="2:13" x14ac:dyDescent="0.2">
      <c r="B23" s="1" t="s">
        <v>385</v>
      </c>
      <c r="C23" s="1" t="s">
        <v>299</v>
      </c>
      <c r="D23" s="1" t="s">
        <v>193</v>
      </c>
      <c r="E23" s="1" t="s">
        <v>294</v>
      </c>
      <c r="F23" s="327">
        <v>14939.09</v>
      </c>
      <c r="G23" s="327">
        <f t="shared" si="0"/>
        <v>3556.9973290000003</v>
      </c>
      <c r="H23" s="327">
        <f t="shared" si="3"/>
        <v>1244.9241666666667</v>
      </c>
      <c r="I23" s="327">
        <f t="shared" si="1"/>
        <v>296.41644408333332</v>
      </c>
      <c r="J23" s="327">
        <f t="shared" si="4"/>
        <v>1244.9241666666667</v>
      </c>
      <c r="K23" s="327">
        <f t="shared" si="2"/>
        <v>296.41644408333332</v>
      </c>
      <c r="L23" s="327">
        <f t="shared" si="5"/>
        <v>1106.5992592592593</v>
      </c>
      <c r="M23" s="330">
        <f t="shared" si="6"/>
        <v>22685.36780975926</v>
      </c>
    </row>
    <row r="24" spans="2:13" x14ac:dyDescent="0.2">
      <c r="B24" s="1" t="s">
        <v>386</v>
      </c>
      <c r="C24" s="1" t="s">
        <v>299</v>
      </c>
      <c r="D24" s="1" t="s">
        <v>194</v>
      </c>
      <c r="E24" s="1" t="s">
        <v>294</v>
      </c>
      <c r="F24" s="327">
        <v>14939.09</v>
      </c>
      <c r="G24" s="327">
        <f t="shared" si="0"/>
        <v>3556.9973290000003</v>
      </c>
      <c r="H24" s="327">
        <f t="shared" si="3"/>
        <v>1244.9241666666667</v>
      </c>
      <c r="I24" s="327">
        <f t="shared" si="1"/>
        <v>296.41644408333332</v>
      </c>
      <c r="J24" s="327">
        <f t="shared" si="4"/>
        <v>1244.9241666666667</v>
      </c>
      <c r="K24" s="327">
        <f t="shared" si="2"/>
        <v>296.41644408333332</v>
      </c>
      <c r="L24" s="327">
        <f t="shared" si="5"/>
        <v>1106.5992592592593</v>
      </c>
      <c r="M24" s="330">
        <f t="shared" si="6"/>
        <v>22685.36780975926</v>
      </c>
    </row>
    <row r="25" spans="2:13" x14ac:dyDescent="0.2">
      <c r="B25" s="1" t="s">
        <v>387</v>
      </c>
      <c r="C25" s="1" t="s">
        <v>299</v>
      </c>
      <c r="D25" s="1" t="s">
        <v>195</v>
      </c>
      <c r="E25" s="1" t="s">
        <v>294</v>
      </c>
      <c r="F25" s="327">
        <v>14939.09</v>
      </c>
      <c r="G25" s="327">
        <f t="shared" si="0"/>
        <v>3556.9973290000003</v>
      </c>
      <c r="H25" s="327">
        <f t="shared" si="3"/>
        <v>1244.9241666666667</v>
      </c>
      <c r="I25" s="327">
        <f t="shared" si="1"/>
        <v>296.41644408333332</v>
      </c>
      <c r="J25" s="327">
        <f t="shared" si="4"/>
        <v>1244.9241666666667</v>
      </c>
      <c r="K25" s="327">
        <f t="shared" si="2"/>
        <v>296.41644408333332</v>
      </c>
      <c r="L25" s="327">
        <f t="shared" si="5"/>
        <v>1106.5992592592593</v>
      </c>
      <c r="M25" s="330">
        <f t="shared" si="6"/>
        <v>22685.36780975926</v>
      </c>
    </row>
    <row r="26" spans="2:13" x14ac:dyDescent="0.2">
      <c r="B26" s="1" t="s">
        <v>388</v>
      </c>
      <c r="C26" s="1" t="s">
        <v>299</v>
      </c>
      <c r="D26" s="1" t="s">
        <v>196</v>
      </c>
      <c r="E26" s="1" t="s">
        <v>294</v>
      </c>
      <c r="F26" s="327">
        <v>14939.09</v>
      </c>
      <c r="G26" s="327">
        <f t="shared" si="0"/>
        <v>3556.9973290000003</v>
      </c>
      <c r="H26" s="327">
        <f t="shared" si="3"/>
        <v>1244.9241666666667</v>
      </c>
      <c r="I26" s="327">
        <f t="shared" si="1"/>
        <v>296.41644408333332</v>
      </c>
      <c r="J26" s="327">
        <f t="shared" si="4"/>
        <v>1244.9241666666667</v>
      </c>
      <c r="K26" s="327">
        <f t="shared" si="2"/>
        <v>296.41644408333332</v>
      </c>
      <c r="L26" s="327">
        <f t="shared" si="5"/>
        <v>1106.5992592592593</v>
      </c>
      <c r="M26" s="330">
        <f t="shared" si="6"/>
        <v>22685.36780975926</v>
      </c>
    </row>
    <row r="27" spans="2:13" x14ac:dyDescent="0.2">
      <c r="B27" s="1" t="s">
        <v>389</v>
      </c>
      <c r="C27" s="1" t="s">
        <v>299</v>
      </c>
      <c r="D27" s="1" t="s">
        <v>197</v>
      </c>
      <c r="E27" s="1" t="s">
        <v>294</v>
      </c>
      <c r="F27" s="327">
        <v>14939.09</v>
      </c>
      <c r="G27" s="327">
        <f t="shared" si="0"/>
        <v>3556.9973290000003</v>
      </c>
      <c r="H27" s="327">
        <f t="shared" si="3"/>
        <v>1244.9241666666667</v>
      </c>
      <c r="I27" s="327">
        <f t="shared" si="1"/>
        <v>296.41644408333332</v>
      </c>
      <c r="J27" s="327">
        <f t="shared" si="4"/>
        <v>1244.9241666666667</v>
      </c>
      <c r="K27" s="327">
        <f t="shared" si="2"/>
        <v>296.41644408333332</v>
      </c>
      <c r="L27" s="327">
        <f t="shared" si="5"/>
        <v>1106.5992592592593</v>
      </c>
      <c r="M27" s="330">
        <f t="shared" si="6"/>
        <v>22685.36780975926</v>
      </c>
    </row>
    <row r="28" spans="2:13" x14ac:dyDescent="0.2">
      <c r="B28" s="1" t="s">
        <v>390</v>
      </c>
      <c r="C28" s="1" t="s">
        <v>299</v>
      </c>
      <c r="D28" s="1" t="s">
        <v>198</v>
      </c>
      <c r="E28" s="1" t="s">
        <v>294</v>
      </c>
      <c r="F28" s="327">
        <v>14939.09</v>
      </c>
      <c r="G28" s="327">
        <f t="shared" si="0"/>
        <v>3556.9973290000003</v>
      </c>
      <c r="H28" s="327">
        <f t="shared" si="3"/>
        <v>1244.9241666666667</v>
      </c>
      <c r="I28" s="327">
        <f t="shared" si="1"/>
        <v>296.41644408333332</v>
      </c>
      <c r="J28" s="327">
        <f t="shared" si="4"/>
        <v>1244.9241666666667</v>
      </c>
      <c r="K28" s="327">
        <f t="shared" si="2"/>
        <v>296.41644408333332</v>
      </c>
      <c r="L28" s="327">
        <f t="shared" si="5"/>
        <v>1106.5992592592593</v>
      </c>
      <c r="M28" s="330">
        <f t="shared" si="6"/>
        <v>22685.36780975926</v>
      </c>
    </row>
    <row r="29" spans="2:13" x14ac:dyDescent="0.2">
      <c r="B29" s="1" t="s">
        <v>391</v>
      </c>
      <c r="C29" s="1" t="s">
        <v>299</v>
      </c>
      <c r="D29" s="1" t="s">
        <v>199</v>
      </c>
      <c r="E29" s="1" t="s">
        <v>294</v>
      </c>
      <c r="F29" s="327">
        <v>14939.09</v>
      </c>
      <c r="G29" s="327">
        <f t="shared" si="0"/>
        <v>3556.9973290000003</v>
      </c>
      <c r="H29" s="327">
        <f t="shared" si="3"/>
        <v>1244.9241666666667</v>
      </c>
      <c r="I29" s="327">
        <f t="shared" si="1"/>
        <v>296.41644408333332</v>
      </c>
      <c r="J29" s="327">
        <f t="shared" si="4"/>
        <v>1244.9241666666667</v>
      </c>
      <c r="K29" s="327">
        <f t="shared" si="2"/>
        <v>296.41644408333332</v>
      </c>
      <c r="L29" s="327">
        <f t="shared" si="5"/>
        <v>1106.5992592592593</v>
      </c>
      <c r="M29" s="330">
        <f t="shared" si="6"/>
        <v>22685.36780975926</v>
      </c>
    </row>
    <row r="30" spans="2:13" x14ac:dyDescent="0.2">
      <c r="B30" s="1" t="s">
        <v>392</v>
      </c>
      <c r="C30" s="1" t="s">
        <v>299</v>
      </c>
      <c r="D30" s="1" t="s">
        <v>200</v>
      </c>
      <c r="E30" s="1" t="s">
        <v>294</v>
      </c>
      <c r="F30" s="327">
        <v>14939.09</v>
      </c>
      <c r="G30" s="327">
        <f t="shared" si="0"/>
        <v>3556.9973290000003</v>
      </c>
      <c r="H30" s="327">
        <f t="shared" si="3"/>
        <v>1244.9241666666667</v>
      </c>
      <c r="I30" s="327">
        <f t="shared" si="1"/>
        <v>296.41644408333332</v>
      </c>
      <c r="J30" s="327">
        <f t="shared" si="4"/>
        <v>1244.9241666666667</v>
      </c>
      <c r="K30" s="327">
        <f t="shared" si="2"/>
        <v>296.41644408333332</v>
      </c>
      <c r="L30" s="327">
        <f t="shared" si="5"/>
        <v>1106.5992592592593</v>
      </c>
      <c r="M30" s="330">
        <f t="shared" si="6"/>
        <v>22685.36780975926</v>
      </c>
    </row>
    <row r="31" spans="2:13" x14ac:dyDescent="0.2">
      <c r="B31" s="1" t="s">
        <v>393</v>
      </c>
      <c r="C31" s="1" t="s">
        <v>299</v>
      </c>
      <c r="D31" s="1" t="s">
        <v>201</v>
      </c>
      <c r="E31" s="1" t="s">
        <v>294</v>
      </c>
      <c r="F31" s="327">
        <v>14939.09</v>
      </c>
      <c r="G31" s="327">
        <f t="shared" si="0"/>
        <v>3556.9973290000003</v>
      </c>
      <c r="H31" s="327">
        <f t="shared" si="3"/>
        <v>1244.9241666666667</v>
      </c>
      <c r="I31" s="327">
        <f t="shared" si="1"/>
        <v>296.41644408333332</v>
      </c>
      <c r="J31" s="327">
        <f t="shared" si="4"/>
        <v>1244.9241666666667</v>
      </c>
      <c r="K31" s="327">
        <f t="shared" si="2"/>
        <v>296.41644408333332</v>
      </c>
      <c r="L31" s="327">
        <f t="shared" si="5"/>
        <v>1106.5992592592593</v>
      </c>
      <c r="M31" s="330">
        <f t="shared" si="6"/>
        <v>22685.36780975926</v>
      </c>
    </row>
    <row r="32" spans="2:13" x14ac:dyDescent="0.2">
      <c r="B32" s="1" t="s">
        <v>394</v>
      </c>
      <c r="C32" s="1" t="s">
        <v>299</v>
      </c>
      <c r="D32" s="1" t="s">
        <v>202</v>
      </c>
      <c r="E32" s="1" t="s">
        <v>294</v>
      </c>
      <c r="F32" s="327">
        <v>14939.09</v>
      </c>
      <c r="G32" s="327">
        <f t="shared" si="0"/>
        <v>3556.9973290000003</v>
      </c>
      <c r="H32" s="327">
        <f t="shared" si="3"/>
        <v>1244.9241666666667</v>
      </c>
      <c r="I32" s="327">
        <f t="shared" si="1"/>
        <v>296.41644408333332</v>
      </c>
      <c r="J32" s="327">
        <f t="shared" si="4"/>
        <v>1244.9241666666667</v>
      </c>
      <c r="K32" s="327">
        <f t="shared" si="2"/>
        <v>296.41644408333332</v>
      </c>
      <c r="L32" s="327">
        <f t="shared" si="5"/>
        <v>1106.5992592592593</v>
      </c>
      <c r="M32" s="330">
        <f t="shared" si="6"/>
        <v>22685.36780975926</v>
      </c>
    </row>
    <row r="33" spans="2:13" x14ac:dyDescent="0.2">
      <c r="B33" s="1" t="s">
        <v>395</v>
      </c>
      <c r="C33" s="1" t="s">
        <v>299</v>
      </c>
      <c r="D33" s="1" t="s">
        <v>203</v>
      </c>
      <c r="E33" s="1" t="s">
        <v>294</v>
      </c>
      <c r="F33" s="327">
        <v>14939.09</v>
      </c>
      <c r="G33" s="327">
        <f t="shared" si="0"/>
        <v>3556.9973290000003</v>
      </c>
      <c r="H33" s="327">
        <f t="shared" si="3"/>
        <v>1244.9241666666667</v>
      </c>
      <c r="I33" s="327">
        <f t="shared" si="1"/>
        <v>296.41644408333332</v>
      </c>
      <c r="J33" s="327">
        <f t="shared" si="4"/>
        <v>1244.9241666666667</v>
      </c>
      <c r="K33" s="327">
        <f t="shared" si="2"/>
        <v>296.41644408333332</v>
      </c>
      <c r="L33" s="327">
        <f t="shared" si="5"/>
        <v>1106.5992592592593</v>
      </c>
      <c r="M33" s="330">
        <f t="shared" si="6"/>
        <v>22685.36780975926</v>
      </c>
    </row>
    <row r="34" spans="2:13" x14ac:dyDescent="0.2">
      <c r="B34" s="1" t="s">
        <v>396</v>
      </c>
      <c r="C34" s="1" t="s">
        <v>299</v>
      </c>
      <c r="D34" s="1" t="s">
        <v>204</v>
      </c>
      <c r="E34" s="1" t="s">
        <v>294</v>
      </c>
      <c r="F34" s="327">
        <v>14939.09</v>
      </c>
      <c r="G34" s="327">
        <f t="shared" si="0"/>
        <v>3556.9973290000003</v>
      </c>
      <c r="H34" s="327">
        <f t="shared" si="3"/>
        <v>1244.9241666666667</v>
      </c>
      <c r="I34" s="327">
        <f t="shared" si="1"/>
        <v>296.41644408333332</v>
      </c>
      <c r="J34" s="327">
        <f t="shared" si="4"/>
        <v>1244.9241666666667</v>
      </c>
      <c r="K34" s="327">
        <f t="shared" si="2"/>
        <v>296.41644408333332</v>
      </c>
      <c r="L34" s="327">
        <f t="shared" si="5"/>
        <v>1106.5992592592593</v>
      </c>
      <c r="M34" s="330">
        <f t="shared" si="6"/>
        <v>22685.36780975926</v>
      </c>
    </row>
    <row r="35" spans="2:13" x14ac:dyDescent="0.2">
      <c r="B35" s="1" t="s">
        <v>397</v>
      </c>
      <c r="C35" s="1" t="s">
        <v>299</v>
      </c>
      <c r="D35" s="1" t="s">
        <v>205</v>
      </c>
      <c r="E35" s="1" t="s">
        <v>294</v>
      </c>
      <c r="F35" s="327">
        <v>14939.09</v>
      </c>
      <c r="G35" s="327">
        <f t="shared" si="0"/>
        <v>3556.9973290000003</v>
      </c>
      <c r="H35" s="327">
        <f t="shared" si="3"/>
        <v>1244.9241666666667</v>
      </c>
      <c r="I35" s="327">
        <f t="shared" si="1"/>
        <v>296.41644408333332</v>
      </c>
      <c r="J35" s="327">
        <f t="shared" si="4"/>
        <v>1244.9241666666667</v>
      </c>
      <c r="K35" s="327">
        <f t="shared" si="2"/>
        <v>296.41644408333332</v>
      </c>
      <c r="L35" s="327">
        <f t="shared" si="5"/>
        <v>1106.5992592592593</v>
      </c>
      <c r="M35" s="330">
        <f t="shared" si="6"/>
        <v>22685.36780975926</v>
      </c>
    </row>
    <row r="36" spans="2:13" x14ac:dyDescent="0.2">
      <c r="B36" s="1" t="s">
        <v>398</v>
      </c>
      <c r="C36" s="1" t="s">
        <v>299</v>
      </c>
      <c r="D36" s="1" t="s">
        <v>206</v>
      </c>
      <c r="E36" s="1" t="s">
        <v>294</v>
      </c>
      <c r="F36" s="327">
        <v>14939.09</v>
      </c>
      <c r="G36" s="327">
        <f t="shared" si="0"/>
        <v>3556.9973290000003</v>
      </c>
      <c r="H36" s="327">
        <f t="shared" si="3"/>
        <v>1244.9241666666667</v>
      </c>
      <c r="I36" s="327">
        <f t="shared" si="1"/>
        <v>296.41644408333332</v>
      </c>
      <c r="J36" s="327">
        <f t="shared" si="4"/>
        <v>1244.9241666666667</v>
      </c>
      <c r="K36" s="327">
        <f t="shared" si="2"/>
        <v>296.41644408333332</v>
      </c>
      <c r="L36" s="327">
        <f t="shared" si="5"/>
        <v>1106.5992592592593</v>
      </c>
      <c r="M36" s="330">
        <f t="shared" si="6"/>
        <v>22685.36780975926</v>
      </c>
    </row>
    <row r="37" spans="2:13" x14ac:dyDescent="0.2">
      <c r="B37" s="1" t="s">
        <v>399</v>
      </c>
      <c r="C37" s="1" t="s">
        <v>299</v>
      </c>
      <c r="D37" s="1" t="s">
        <v>207</v>
      </c>
      <c r="E37" s="1" t="s">
        <v>294</v>
      </c>
      <c r="F37" s="327">
        <v>14939.09</v>
      </c>
      <c r="G37" s="327">
        <f t="shared" si="0"/>
        <v>3556.9973290000003</v>
      </c>
      <c r="H37" s="327">
        <f t="shared" si="3"/>
        <v>1244.9241666666667</v>
      </c>
      <c r="I37" s="327">
        <f t="shared" si="1"/>
        <v>296.41644408333332</v>
      </c>
      <c r="J37" s="327">
        <f t="shared" si="4"/>
        <v>1244.9241666666667</v>
      </c>
      <c r="K37" s="327">
        <f t="shared" si="2"/>
        <v>296.41644408333332</v>
      </c>
      <c r="L37" s="327">
        <f t="shared" si="5"/>
        <v>1106.5992592592593</v>
      </c>
      <c r="M37" s="330">
        <f t="shared" si="6"/>
        <v>22685.36780975926</v>
      </c>
    </row>
    <row r="38" spans="2:13" x14ac:dyDescent="0.2">
      <c r="B38" s="1" t="s">
        <v>400</v>
      </c>
      <c r="C38" s="1" t="s">
        <v>299</v>
      </c>
      <c r="D38" s="1" t="s">
        <v>208</v>
      </c>
      <c r="E38" s="1" t="s">
        <v>294</v>
      </c>
      <c r="F38" s="327">
        <v>14939.09</v>
      </c>
      <c r="G38" s="327">
        <f t="shared" si="0"/>
        <v>3556.9973290000003</v>
      </c>
      <c r="H38" s="327">
        <f t="shared" si="3"/>
        <v>1244.9241666666667</v>
      </c>
      <c r="I38" s="327">
        <f t="shared" si="1"/>
        <v>296.41644408333332</v>
      </c>
      <c r="J38" s="327">
        <f t="shared" si="4"/>
        <v>1244.9241666666667</v>
      </c>
      <c r="K38" s="327">
        <f t="shared" si="2"/>
        <v>296.41644408333332</v>
      </c>
      <c r="L38" s="327">
        <f t="shared" si="5"/>
        <v>1106.5992592592593</v>
      </c>
      <c r="M38" s="330">
        <f t="shared" si="6"/>
        <v>22685.36780975926</v>
      </c>
    </row>
    <row r="39" spans="2:13" x14ac:dyDescent="0.2">
      <c r="B39" s="1" t="s">
        <v>401</v>
      </c>
      <c r="C39" s="1" t="s">
        <v>299</v>
      </c>
      <c r="D39" s="1" t="s">
        <v>209</v>
      </c>
      <c r="E39" s="1" t="s">
        <v>294</v>
      </c>
      <c r="F39" s="327">
        <v>14939.09</v>
      </c>
      <c r="G39" s="327">
        <f t="shared" si="0"/>
        <v>3556.9973290000003</v>
      </c>
      <c r="H39" s="327">
        <f t="shared" si="3"/>
        <v>1244.9241666666667</v>
      </c>
      <c r="I39" s="327">
        <f t="shared" si="1"/>
        <v>296.41644408333332</v>
      </c>
      <c r="J39" s="327">
        <f t="shared" si="4"/>
        <v>1244.9241666666667</v>
      </c>
      <c r="K39" s="327">
        <f t="shared" si="2"/>
        <v>296.41644408333332</v>
      </c>
      <c r="L39" s="327">
        <f t="shared" si="5"/>
        <v>1106.5992592592593</v>
      </c>
      <c r="M39" s="330">
        <f t="shared" si="6"/>
        <v>22685.36780975926</v>
      </c>
    </row>
    <row r="40" spans="2:13" x14ac:dyDescent="0.2">
      <c r="B40" s="1" t="s">
        <v>402</v>
      </c>
      <c r="C40" s="1" t="s">
        <v>299</v>
      </c>
      <c r="D40" s="1" t="s">
        <v>210</v>
      </c>
      <c r="E40" s="1" t="s">
        <v>294</v>
      </c>
      <c r="F40" s="327">
        <v>14939.09</v>
      </c>
      <c r="G40" s="327">
        <f t="shared" si="0"/>
        <v>3556.9973290000003</v>
      </c>
      <c r="H40" s="327">
        <f t="shared" si="3"/>
        <v>1244.9241666666667</v>
      </c>
      <c r="I40" s="327">
        <f t="shared" si="1"/>
        <v>296.41644408333332</v>
      </c>
      <c r="J40" s="327">
        <f t="shared" si="4"/>
        <v>1244.9241666666667</v>
      </c>
      <c r="K40" s="327">
        <f t="shared" si="2"/>
        <v>296.41644408333332</v>
      </c>
      <c r="L40" s="327">
        <f t="shared" si="5"/>
        <v>1106.5992592592593</v>
      </c>
      <c r="M40" s="330">
        <f t="shared" si="6"/>
        <v>22685.36780975926</v>
      </c>
    </row>
    <row r="41" spans="2:13" x14ac:dyDescent="0.2">
      <c r="B41" s="1" t="s">
        <v>403</v>
      </c>
      <c r="C41" s="1" t="s">
        <v>299</v>
      </c>
      <c r="D41" s="1" t="s">
        <v>211</v>
      </c>
      <c r="E41" s="1" t="s">
        <v>294</v>
      </c>
      <c r="F41" s="327">
        <v>14939.09</v>
      </c>
      <c r="G41" s="327">
        <f t="shared" si="0"/>
        <v>3556.9973290000003</v>
      </c>
      <c r="H41" s="327">
        <f t="shared" si="3"/>
        <v>1244.9241666666667</v>
      </c>
      <c r="I41" s="327">
        <f t="shared" si="1"/>
        <v>296.41644408333332</v>
      </c>
      <c r="J41" s="327">
        <f t="shared" si="4"/>
        <v>1244.9241666666667</v>
      </c>
      <c r="K41" s="327">
        <f t="shared" si="2"/>
        <v>296.41644408333332</v>
      </c>
      <c r="L41" s="327">
        <f t="shared" si="5"/>
        <v>1106.5992592592593</v>
      </c>
      <c r="M41" s="330">
        <f t="shared" si="6"/>
        <v>22685.36780975926</v>
      </c>
    </row>
    <row r="42" spans="2:13" x14ac:dyDescent="0.2">
      <c r="B42" s="1" t="s">
        <v>404</v>
      </c>
      <c r="C42" s="1" t="s">
        <v>299</v>
      </c>
      <c r="D42" s="1" t="s">
        <v>212</v>
      </c>
      <c r="E42" s="1" t="s">
        <v>294</v>
      </c>
      <c r="F42" s="327">
        <v>14939.09</v>
      </c>
      <c r="G42" s="327">
        <f t="shared" ref="G42:G73" si="7">F42*$E$4</f>
        <v>3556.9973290000003</v>
      </c>
      <c r="H42" s="327">
        <f t="shared" si="3"/>
        <v>1244.9241666666667</v>
      </c>
      <c r="I42" s="327">
        <f t="shared" ref="I42:I73" si="8">H42*$E$4</f>
        <v>296.41644408333332</v>
      </c>
      <c r="J42" s="327">
        <f t="shared" si="4"/>
        <v>1244.9241666666667</v>
      </c>
      <c r="K42" s="327">
        <f t="shared" ref="K42:K73" si="9">J42*$E$4</f>
        <v>296.41644408333332</v>
      </c>
      <c r="L42" s="327">
        <f t="shared" si="5"/>
        <v>1106.5992592592593</v>
      </c>
      <c r="M42" s="330">
        <f t="shared" si="6"/>
        <v>22685.36780975926</v>
      </c>
    </row>
    <row r="43" spans="2:13" x14ac:dyDescent="0.2">
      <c r="B43" s="1" t="s">
        <v>405</v>
      </c>
      <c r="C43" s="1" t="s">
        <v>299</v>
      </c>
      <c r="D43" s="1" t="s">
        <v>213</v>
      </c>
      <c r="E43" s="1" t="s">
        <v>294</v>
      </c>
      <c r="F43" s="327">
        <v>14939.09</v>
      </c>
      <c r="G43" s="327">
        <f t="shared" si="7"/>
        <v>3556.9973290000003</v>
      </c>
      <c r="H43" s="327">
        <f t="shared" si="3"/>
        <v>1244.9241666666667</v>
      </c>
      <c r="I43" s="327">
        <f t="shared" si="8"/>
        <v>296.41644408333332</v>
      </c>
      <c r="J43" s="327">
        <f t="shared" si="4"/>
        <v>1244.9241666666667</v>
      </c>
      <c r="K43" s="327">
        <f t="shared" si="9"/>
        <v>296.41644408333332</v>
      </c>
      <c r="L43" s="327">
        <f t="shared" si="5"/>
        <v>1106.5992592592593</v>
      </c>
      <c r="M43" s="330">
        <f t="shared" si="6"/>
        <v>22685.36780975926</v>
      </c>
    </row>
    <row r="44" spans="2:13" x14ac:dyDescent="0.2">
      <c r="B44" s="1" t="s">
        <v>406</v>
      </c>
      <c r="C44" s="1" t="s">
        <v>299</v>
      </c>
      <c r="D44" s="1" t="s">
        <v>214</v>
      </c>
      <c r="E44" s="1" t="s">
        <v>294</v>
      </c>
      <c r="F44" s="327">
        <v>14939.09</v>
      </c>
      <c r="G44" s="327">
        <f t="shared" si="7"/>
        <v>3556.9973290000003</v>
      </c>
      <c r="H44" s="327">
        <f t="shared" si="3"/>
        <v>1244.9241666666667</v>
      </c>
      <c r="I44" s="327">
        <f t="shared" si="8"/>
        <v>296.41644408333332</v>
      </c>
      <c r="J44" s="327">
        <f t="shared" si="4"/>
        <v>1244.9241666666667</v>
      </c>
      <c r="K44" s="327">
        <f t="shared" si="9"/>
        <v>296.41644408333332</v>
      </c>
      <c r="L44" s="327">
        <f t="shared" si="5"/>
        <v>1106.5992592592593</v>
      </c>
      <c r="M44" s="330">
        <f t="shared" si="6"/>
        <v>22685.36780975926</v>
      </c>
    </row>
    <row r="45" spans="2:13" x14ac:dyDescent="0.2">
      <c r="B45" s="1" t="s">
        <v>407</v>
      </c>
      <c r="C45" s="1" t="s">
        <v>299</v>
      </c>
      <c r="D45" s="1" t="s">
        <v>215</v>
      </c>
      <c r="E45" s="1" t="s">
        <v>294</v>
      </c>
      <c r="F45" s="327">
        <v>14939.09</v>
      </c>
      <c r="G45" s="327">
        <f t="shared" si="7"/>
        <v>3556.9973290000003</v>
      </c>
      <c r="H45" s="327">
        <f t="shared" si="3"/>
        <v>1244.9241666666667</v>
      </c>
      <c r="I45" s="327">
        <f t="shared" si="8"/>
        <v>296.41644408333332</v>
      </c>
      <c r="J45" s="327">
        <f t="shared" si="4"/>
        <v>1244.9241666666667</v>
      </c>
      <c r="K45" s="327">
        <f t="shared" si="9"/>
        <v>296.41644408333332</v>
      </c>
      <c r="L45" s="327">
        <f t="shared" si="5"/>
        <v>1106.5992592592593</v>
      </c>
      <c r="M45" s="330">
        <f t="shared" si="6"/>
        <v>22685.36780975926</v>
      </c>
    </row>
    <row r="46" spans="2:13" x14ac:dyDescent="0.2">
      <c r="B46" s="1" t="s">
        <v>408</v>
      </c>
      <c r="C46" s="1" t="s">
        <v>299</v>
      </c>
      <c r="D46" s="1" t="s">
        <v>216</v>
      </c>
      <c r="E46" s="1" t="s">
        <v>294</v>
      </c>
      <c r="F46" s="327">
        <v>14939.09</v>
      </c>
      <c r="G46" s="327">
        <f t="shared" si="7"/>
        <v>3556.9973290000003</v>
      </c>
      <c r="H46" s="327">
        <f t="shared" si="3"/>
        <v>1244.9241666666667</v>
      </c>
      <c r="I46" s="327">
        <f t="shared" si="8"/>
        <v>296.41644408333332</v>
      </c>
      <c r="J46" s="327">
        <f t="shared" si="4"/>
        <v>1244.9241666666667</v>
      </c>
      <c r="K46" s="327">
        <f t="shared" si="9"/>
        <v>296.41644408333332</v>
      </c>
      <c r="L46" s="327">
        <f t="shared" si="5"/>
        <v>1106.5992592592593</v>
      </c>
      <c r="M46" s="330">
        <f t="shared" si="6"/>
        <v>22685.36780975926</v>
      </c>
    </row>
    <row r="47" spans="2:13" x14ac:dyDescent="0.2">
      <c r="B47" s="1" t="s">
        <v>409</v>
      </c>
      <c r="C47" s="1" t="s">
        <v>299</v>
      </c>
      <c r="D47" s="1" t="s">
        <v>217</v>
      </c>
      <c r="E47" s="1" t="s">
        <v>294</v>
      </c>
      <c r="F47" s="327">
        <v>14939.09</v>
      </c>
      <c r="G47" s="327">
        <f t="shared" si="7"/>
        <v>3556.9973290000003</v>
      </c>
      <c r="H47" s="327">
        <f t="shared" si="3"/>
        <v>1244.9241666666667</v>
      </c>
      <c r="I47" s="327">
        <f t="shared" si="8"/>
        <v>296.41644408333332</v>
      </c>
      <c r="J47" s="327">
        <f t="shared" si="4"/>
        <v>1244.9241666666667</v>
      </c>
      <c r="K47" s="327">
        <f t="shared" si="9"/>
        <v>296.41644408333332</v>
      </c>
      <c r="L47" s="327">
        <f t="shared" si="5"/>
        <v>1106.5992592592593</v>
      </c>
      <c r="M47" s="330">
        <f t="shared" si="6"/>
        <v>22685.36780975926</v>
      </c>
    </row>
    <row r="48" spans="2:13" x14ac:dyDescent="0.2">
      <c r="B48" s="1" t="s">
        <v>410</v>
      </c>
      <c r="C48" s="1" t="s">
        <v>299</v>
      </c>
      <c r="D48" s="1" t="s">
        <v>218</v>
      </c>
      <c r="E48" s="1" t="s">
        <v>294</v>
      </c>
      <c r="F48" s="327">
        <v>14939.09</v>
      </c>
      <c r="G48" s="327">
        <f t="shared" si="7"/>
        <v>3556.9973290000003</v>
      </c>
      <c r="H48" s="327">
        <f t="shared" si="3"/>
        <v>1244.9241666666667</v>
      </c>
      <c r="I48" s="327">
        <f t="shared" si="8"/>
        <v>296.41644408333332</v>
      </c>
      <c r="J48" s="327">
        <f t="shared" si="4"/>
        <v>1244.9241666666667</v>
      </c>
      <c r="K48" s="327">
        <f t="shared" si="9"/>
        <v>296.41644408333332</v>
      </c>
      <c r="L48" s="327">
        <f t="shared" si="5"/>
        <v>1106.5992592592593</v>
      </c>
      <c r="M48" s="330">
        <f t="shared" si="6"/>
        <v>22685.36780975926</v>
      </c>
    </row>
    <row r="49" spans="2:13" x14ac:dyDescent="0.2">
      <c r="B49" s="1" t="s">
        <v>411</v>
      </c>
      <c r="C49" s="1" t="s">
        <v>299</v>
      </c>
      <c r="D49" s="1" t="s">
        <v>219</v>
      </c>
      <c r="E49" s="1" t="s">
        <v>294</v>
      </c>
      <c r="F49" s="327">
        <v>14939.09</v>
      </c>
      <c r="G49" s="327">
        <f t="shared" si="7"/>
        <v>3556.9973290000003</v>
      </c>
      <c r="H49" s="327">
        <f t="shared" si="3"/>
        <v>1244.9241666666667</v>
      </c>
      <c r="I49" s="327">
        <f t="shared" si="8"/>
        <v>296.41644408333332</v>
      </c>
      <c r="J49" s="327">
        <f t="shared" si="4"/>
        <v>1244.9241666666667</v>
      </c>
      <c r="K49" s="327">
        <f t="shared" si="9"/>
        <v>296.41644408333332</v>
      </c>
      <c r="L49" s="327">
        <f t="shared" si="5"/>
        <v>1106.5992592592593</v>
      </c>
      <c r="M49" s="330">
        <f t="shared" si="6"/>
        <v>22685.36780975926</v>
      </c>
    </row>
    <row r="50" spans="2:13" x14ac:dyDescent="0.2">
      <c r="B50" s="1" t="s">
        <v>412</v>
      </c>
      <c r="C50" s="1" t="s">
        <v>299</v>
      </c>
      <c r="D50" s="1" t="s">
        <v>220</v>
      </c>
      <c r="E50" s="1" t="s">
        <v>294</v>
      </c>
      <c r="F50" s="327">
        <v>14939.09</v>
      </c>
      <c r="G50" s="327">
        <f t="shared" si="7"/>
        <v>3556.9973290000003</v>
      </c>
      <c r="H50" s="327">
        <f t="shared" si="3"/>
        <v>1244.9241666666667</v>
      </c>
      <c r="I50" s="327">
        <f t="shared" si="8"/>
        <v>296.41644408333332</v>
      </c>
      <c r="J50" s="327">
        <f t="shared" si="4"/>
        <v>1244.9241666666667</v>
      </c>
      <c r="K50" s="327">
        <f t="shared" si="9"/>
        <v>296.41644408333332</v>
      </c>
      <c r="L50" s="327">
        <f t="shared" si="5"/>
        <v>1106.5992592592593</v>
      </c>
      <c r="M50" s="330">
        <f t="shared" si="6"/>
        <v>22685.36780975926</v>
      </c>
    </row>
    <row r="51" spans="2:13" x14ac:dyDescent="0.2">
      <c r="B51" s="1" t="s">
        <v>413</v>
      </c>
      <c r="C51" s="1" t="s">
        <v>299</v>
      </c>
      <c r="D51" s="1" t="s">
        <v>221</v>
      </c>
      <c r="E51" s="1" t="s">
        <v>294</v>
      </c>
      <c r="F51" s="327">
        <v>14939.09</v>
      </c>
      <c r="G51" s="327">
        <f t="shared" si="7"/>
        <v>3556.9973290000003</v>
      </c>
      <c r="H51" s="327">
        <f t="shared" si="3"/>
        <v>1244.9241666666667</v>
      </c>
      <c r="I51" s="327">
        <f t="shared" si="8"/>
        <v>296.41644408333332</v>
      </c>
      <c r="J51" s="327">
        <f t="shared" si="4"/>
        <v>1244.9241666666667</v>
      </c>
      <c r="K51" s="327">
        <f t="shared" si="9"/>
        <v>296.41644408333332</v>
      </c>
      <c r="L51" s="327">
        <f t="shared" si="5"/>
        <v>1106.5992592592593</v>
      </c>
      <c r="M51" s="330">
        <f t="shared" si="6"/>
        <v>22685.36780975926</v>
      </c>
    </row>
    <row r="52" spans="2:13" x14ac:dyDescent="0.2">
      <c r="B52" s="1" t="s">
        <v>414</v>
      </c>
      <c r="C52" s="1" t="s">
        <v>299</v>
      </c>
      <c r="D52" s="1" t="s">
        <v>222</v>
      </c>
      <c r="E52" s="1" t="s">
        <v>294</v>
      </c>
      <c r="F52" s="327">
        <v>22137.439999999999</v>
      </c>
      <c r="G52" s="327">
        <f t="shared" si="7"/>
        <v>5270.9244639999997</v>
      </c>
      <c r="H52" s="327">
        <f t="shared" si="3"/>
        <v>1844.7866666666666</v>
      </c>
      <c r="I52" s="327">
        <f t="shared" si="8"/>
        <v>439.24370533333331</v>
      </c>
      <c r="J52" s="327">
        <f t="shared" si="4"/>
        <v>1844.7866666666666</v>
      </c>
      <c r="K52" s="327">
        <f t="shared" si="9"/>
        <v>439.24370533333331</v>
      </c>
      <c r="L52" s="327">
        <f t="shared" si="5"/>
        <v>1639.8103703703703</v>
      </c>
      <c r="M52" s="330">
        <f t="shared" si="6"/>
        <v>33616.235578370368</v>
      </c>
    </row>
    <row r="53" spans="2:13" x14ac:dyDescent="0.2">
      <c r="B53" s="1" t="s">
        <v>415</v>
      </c>
      <c r="C53" s="1" t="s">
        <v>299</v>
      </c>
      <c r="D53" s="1" t="s">
        <v>223</v>
      </c>
      <c r="E53" s="1" t="s">
        <v>294</v>
      </c>
      <c r="F53" s="327">
        <v>20242.759999999998</v>
      </c>
      <c r="G53" s="327">
        <f t="shared" si="7"/>
        <v>4819.8011559999995</v>
      </c>
      <c r="H53" s="327">
        <f t="shared" si="3"/>
        <v>1686.8966666666665</v>
      </c>
      <c r="I53" s="327">
        <f t="shared" si="8"/>
        <v>401.65009633333329</v>
      </c>
      <c r="J53" s="327">
        <f t="shared" si="4"/>
        <v>1686.8966666666665</v>
      </c>
      <c r="K53" s="327">
        <f t="shared" si="9"/>
        <v>401.65009633333329</v>
      </c>
      <c r="L53" s="327">
        <f t="shared" si="5"/>
        <v>1499.4637037037037</v>
      </c>
      <c r="M53" s="330">
        <f t="shared" si="6"/>
        <v>30739.118385703703</v>
      </c>
    </row>
    <row r="54" spans="2:13" x14ac:dyDescent="0.2">
      <c r="B54" s="1" t="s">
        <v>416</v>
      </c>
      <c r="C54" s="1" t="s">
        <v>299</v>
      </c>
      <c r="D54" s="1" t="s">
        <v>224</v>
      </c>
      <c r="E54" s="1" t="s">
        <v>294</v>
      </c>
      <c r="F54" s="327">
        <v>20242.759999999998</v>
      </c>
      <c r="G54" s="327">
        <f t="shared" si="7"/>
        <v>4819.8011559999995</v>
      </c>
      <c r="H54" s="327">
        <f t="shared" ref="H54:H66" si="10">F54/12</f>
        <v>1686.8966666666665</v>
      </c>
      <c r="I54" s="327">
        <f t="shared" si="8"/>
        <v>401.65009633333329</v>
      </c>
      <c r="J54" s="327">
        <f t="shared" ref="J54:J66" si="11">F54/12</f>
        <v>1686.8966666666665</v>
      </c>
      <c r="K54" s="327">
        <f t="shared" si="9"/>
        <v>401.65009633333329</v>
      </c>
      <c r="L54" s="327">
        <f t="shared" ref="L54:L66" si="12">F54/13.5</f>
        <v>1499.4637037037037</v>
      </c>
      <c r="M54" s="330">
        <f t="shared" ref="M54:M66" si="13">SUM(G54:L54)+F54</f>
        <v>30739.118385703703</v>
      </c>
    </row>
    <row r="55" spans="2:13" x14ac:dyDescent="0.2">
      <c r="B55" s="1" t="s">
        <v>417</v>
      </c>
      <c r="C55" s="1" t="s">
        <v>299</v>
      </c>
      <c r="D55" s="1" t="s">
        <v>225</v>
      </c>
      <c r="E55" s="1" t="s">
        <v>294</v>
      </c>
      <c r="F55" s="327">
        <v>20013.53</v>
      </c>
      <c r="G55" s="327">
        <f t="shared" si="7"/>
        <v>4765.221493</v>
      </c>
      <c r="H55" s="327">
        <f t="shared" si="10"/>
        <v>1667.7941666666666</v>
      </c>
      <c r="I55" s="327">
        <f t="shared" si="8"/>
        <v>397.1017910833333</v>
      </c>
      <c r="J55" s="327">
        <f t="shared" si="11"/>
        <v>1667.7941666666666</v>
      </c>
      <c r="K55" s="327">
        <f t="shared" si="9"/>
        <v>397.1017910833333</v>
      </c>
      <c r="L55" s="327">
        <f t="shared" si="12"/>
        <v>1482.4837037037037</v>
      </c>
      <c r="M55" s="330">
        <f t="shared" si="13"/>
        <v>30391.027112203701</v>
      </c>
    </row>
    <row r="56" spans="2:13" x14ac:dyDescent="0.2">
      <c r="B56" s="1" t="s">
        <v>418</v>
      </c>
      <c r="C56" s="1" t="s">
        <v>299</v>
      </c>
      <c r="D56" s="1" t="s">
        <v>226</v>
      </c>
      <c r="E56" s="1" t="s">
        <v>294</v>
      </c>
      <c r="F56" s="327">
        <v>18900.68</v>
      </c>
      <c r="G56" s="327">
        <f t="shared" si="7"/>
        <v>4500.2519080000002</v>
      </c>
      <c r="H56" s="327">
        <f t="shared" si="10"/>
        <v>1575.0566666666666</v>
      </c>
      <c r="I56" s="327">
        <f t="shared" si="8"/>
        <v>375.02099233333331</v>
      </c>
      <c r="J56" s="327">
        <f t="shared" si="11"/>
        <v>1575.0566666666666</v>
      </c>
      <c r="K56" s="327">
        <f t="shared" si="9"/>
        <v>375.02099233333331</v>
      </c>
      <c r="L56" s="327">
        <f t="shared" si="12"/>
        <v>1400.0503703703705</v>
      </c>
      <c r="M56" s="330">
        <f t="shared" si="13"/>
        <v>28701.137596370369</v>
      </c>
    </row>
    <row r="57" spans="2:13" x14ac:dyDescent="0.2">
      <c r="B57" s="1" t="s">
        <v>419</v>
      </c>
      <c r="C57" s="1" t="s">
        <v>299</v>
      </c>
      <c r="D57" s="1" t="s">
        <v>227</v>
      </c>
      <c r="E57" s="1" t="s">
        <v>294</v>
      </c>
      <c r="F57" s="327">
        <v>18510.68</v>
      </c>
      <c r="G57" s="327">
        <f t="shared" si="7"/>
        <v>4407.3929079999998</v>
      </c>
      <c r="H57" s="327">
        <f t="shared" si="10"/>
        <v>1542.5566666666666</v>
      </c>
      <c r="I57" s="327">
        <f t="shared" si="8"/>
        <v>367.28274233333332</v>
      </c>
      <c r="J57" s="327">
        <f t="shared" si="11"/>
        <v>1542.5566666666666</v>
      </c>
      <c r="K57" s="327">
        <f t="shared" si="9"/>
        <v>367.28274233333332</v>
      </c>
      <c r="L57" s="327">
        <f t="shared" si="12"/>
        <v>1371.1614814814816</v>
      </c>
      <c r="M57" s="330">
        <f t="shared" si="13"/>
        <v>28108.913207481484</v>
      </c>
    </row>
    <row r="58" spans="2:13" x14ac:dyDescent="0.2">
      <c r="B58" s="1" t="s">
        <v>420</v>
      </c>
      <c r="C58" s="1" t="s">
        <v>299</v>
      </c>
      <c r="D58" s="1" t="s">
        <v>228</v>
      </c>
      <c r="E58" s="1" t="s">
        <v>294</v>
      </c>
      <c r="F58" s="327">
        <v>14939.09</v>
      </c>
      <c r="G58" s="327">
        <f t="shared" si="7"/>
        <v>3556.9973290000003</v>
      </c>
      <c r="H58" s="327">
        <f t="shared" si="10"/>
        <v>1244.9241666666667</v>
      </c>
      <c r="I58" s="327">
        <f t="shared" si="8"/>
        <v>296.41644408333332</v>
      </c>
      <c r="J58" s="327">
        <f t="shared" si="11"/>
        <v>1244.9241666666667</v>
      </c>
      <c r="K58" s="327">
        <f t="shared" si="9"/>
        <v>296.41644408333332</v>
      </c>
      <c r="L58" s="327">
        <f t="shared" si="12"/>
        <v>1106.5992592592593</v>
      </c>
      <c r="M58" s="330">
        <f t="shared" si="13"/>
        <v>22685.36780975926</v>
      </c>
    </row>
    <row r="59" spans="2:13" x14ac:dyDescent="0.2">
      <c r="B59" s="1" t="s">
        <v>421</v>
      </c>
      <c r="C59" s="1" t="s">
        <v>299</v>
      </c>
      <c r="D59" s="1" t="s">
        <v>229</v>
      </c>
      <c r="E59" s="1" t="s">
        <v>294</v>
      </c>
      <c r="F59" s="327">
        <v>14939.09</v>
      </c>
      <c r="G59" s="327">
        <f t="shared" si="7"/>
        <v>3556.9973290000003</v>
      </c>
      <c r="H59" s="327">
        <f t="shared" si="10"/>
        <v>1244.9241666666667</v>
      </c>
      <c r="I59" s="327">
        <f t="shared" si="8"/>
        <v>296.41644408333332</v>
      </c>
      <c r="J59" s="327">
        <f t="shared" si="11"/>
        <v>1244.9241666666667</v>
      </c>
      <c r="K59" s="327">
        <f t="shared" si="9"/>
        <v>296.41644408333332</v>
      </c>
      <c r="L59" s="327">
        <f t="shared" si="12"/>
        <v>1106.5992592592593</v>
      </c>
      <c r="M59" s="330">
        <f t="shared" si="13"/>
        <v>22685.36780975926</v>
      </c>
    </row>
    <row r="60" spans="2:13" x14ac:dyDescent="0.2">
      <c r="B60" s="1" t="s">
        <v>422</v>
      </c>
      <c r="C60" s="1" t="s">
        <v>299</v>
      </c>
      <c r="D60" s="1" t="s">
        <v>230</v>
      </c>
      <c r="E60" s="1" t="s">
        <v>294</v>
      </c>
      <c r="F60" s="327">
        <v>14939.09</v>
      </c>
      <c r="G60" s="327">
        <f t="shared" si="7"/>
        <v>3556.9973290000003</v>
      </c>
      <c r="H60" s="327">
        <f t="shared" si="10"/>
        <v>1244.9241666666667</v>
      </c>
      <c r="I60" s="327">
        <f t="shared" si="8"/>
        <v>296.41644408333332</v>
      </c>
      <c r="J60" s="327">
        <f t="shared" si="11"/>
        <v>1244.9241666666667</v>
      </c>
      <c r="K60" s="327">
        <f t="shared" si="9"/>
        <v>296.41644408333332</v>
      </c>
      <c r="L60" s="327">
        <f t="shared" si="12"/>
        <v>1106.5992592592593</v>
      </c>
      <c r="M60" s="330">
        <f t="shared" si="13"/>
        <v>22685.36780975926</v>
      </c>
    </row>
    <row r="61" spans="2:13" x14ac:dyDescent="0.2">
      <c r="B61" s="1" t="s">
        <v>423</v>
      </c>
      <c r="C61" s="1" t="s">
        <v>299</v>
      </c>
      <c r="D61" s="1" t="s">
        <v>231</v>
      </c>
      <c r="E61" s="1" t="s">
        <v>294</v>
      </c>
      <c r="F61" s="327">
        <v>14939.09</v>
      </c>
      <c r="G61" s="327">
        <f t="shared" si="7"/>
        <v>3556.9973290000003</v>
      </c>
      <c r="H61" s="327">
        <f t="shared" si="10"/>
        <v>1244.9241666666667</v>
      </c>
      <c r="I61" s="327">
        <f t="shared" si="8"/>
        <v>296.41644408333332</v>
      </c>
      <c r="J61" s="327">
        <f t="shared" si="11"/>
        <v>1244.9241666666667</v>
      </c>
      <c r="K61" s="327">
        <f t="shared" si="9"/>
        <v>296.41644408333332</v>
      </c>
      <c r="L61" s="327">
        <f t="shared" si="12"/>
        <v>1106.5992592592593</v>
      </c>
      <c r="M61" s="330">
        <f t="shared" si="13"/>
        <v>22685.36780975926</v>
      </c>
    </row>
    <row r="62" spans="2:13" x14ac:dyDescent="0.2">
      <c r="B62" s="1" t="s">
        <v>424</v>
      </c>
      <c r="C62" s="1" t="s">
        <v>299</v>
      </c>
      <c r="D62" s="1" t="s">
        <v>232</v>
      </c>
      <c r="E62" s="1" t="s">
        <v>294</v>
      </c>
      <c r="F62" s="327">
        <v>14939.09</v>
      </c>
      <c r="G62" s="327">
        <f t="shared" si="7"/>
        <v>3556.9973290000003</v>
      </c>
      <c r="H62" s="327">
        <f t="shared" si="10"/>
        <v>1244.9241666666667</v>
      </c>
      <c r="I62" s="327">
        <f t="shared" si="8"/>
        <v>296.41644408333332</v>
      </c>
      <c r="J62" s="327">
        <f t="shared" si="11"/>
        <v>1244.9241666666667</v>
      </c>
      <c r="K62" s="327">
        <f t="shared" si="9"/>
        <v>296.41644408333332</v>
      </c>
      <c r="L62" s="327">
        <f t="shared" si="12"/>
        <v>1106.5992592592593</v>
      </c>
      <c r="M62" s="330">
        <f t="shared" si="13"/>
        <v>22685.36780975926</v>
      </c>
    </row>
    <row r="63" spans="2:13" x14ac:dyDescent="0.2">
      <c r="B63" s="1" t="s">
        <v>425</v>
      </c>
      <c r="C63" s="1" t="s">
        <v>299</v>
      </c>
      <c r="D63" s="1" t="s">
        <v>233</v>
      </c>
      <c r="E63" s="1" t="s">
        <v>294</v>
      </c>
      <c r="F63" s="327">
        <v>14939.09</v>
      </c>
      <c r="G63" s="327">
        <f t="shared" si="7"/>
        <v>3556.9973290000003</v>
      </c>
      <c r="H63" s="327">
        <f t="shared" si="10"/>
        <v>1244.9241666666667</v>
      </c>
      <c r="I63" s="327">
        <f t="shared" si="8"/>
        <v>296.41644408333332</v>
      </c>
      <c r="J63" s="327">
        <f t="shared" si="11"/>
        <v>1244.9241666666667</v>
      </c>
      <c r="K63" s="327">
        <f t="shared" si="9"/>
        <v>296.41644408333332</v>
      </c>
      <c r="L63" s="327">
        <f t="shared" si="12"/>
        <v>1106.5992592592593</v>
      </c>
      <c r="M63" s="330">
        <f t="shared" si="13"/>
        <v>22685.36780975926</v>
      </c>
    </row>
    <row r="64" spans="2:13" x14ac:dyDescent="0.2">
      <c r="B64" s="1" t="s">
        <v>426</v>
      </c>
      <c r="C64" s="1" t="s">
        <v>299</v>
      </c>
      <c r="D64" s="1" t="s">
        <v>234</v>
      </c>
      <c r="E64" s="1" t="s">
        <v>294</v>
      </c>
      <c r="F64" s="327">
        <v>14939.09</v>
      </c>
      <c r="G64" s="327">
        <f t="shared" si="7"/>
        <v>3556.9973290000003</v>
      </c>
      <c r="H64" s="327">
        <f t="shared" si="10"/>
        <v>1244.9241666666667</v>
      </c>
      <c r="I64" s="327">
        <f t="shared" si="8"/>
        <v>296.41644408333332</v>
      </c>
      <c r="J64" s="327">
        <f t="shared" si="11"/>
        <v>1244.9241666666667</v>
      </c>
      <c r="K64" s="327">
        <f t="shared" si="9"/>
        <v>296.41644408333332</v>
      </c>
      <c r="L64" s="327">
        <f t="shared" si="12"/>
        <v>1106.5992592592593</v>
      </c>
      <c r="M64" s="330">
        <f t="shared" si="13"/>
        <v>22685.36780975926</v>
      </c>
    </row>
    <row r="65" spans="2:13" x14ac:dyDescent="0.2">
      <c r="B65" s="1" t="s">
        <v>427</v>
      </c>
      <c r="C65" s="1" t="s">
        <v>299</v>
      </c>
      <c r="D65" s="1" t="s">
        <v>235</v>
      </c>
      <c r="E65" s="1" t="s">
        <v>294</v>
      </c>
      <c r="F65" s="327">
        <v>14939.09</v>
      </c>
      <c r="G65" s="327">
        <f t="shared" si="7"/>
        <v>3556.9973290000003</v>
      </c>
      <c r="H65" s="327">
        <f t="shared" si="10"/>
        <v>1244.9241666666667</v>
      </c>
      <c r="I65" s="327">
        <f t="shared" si="8"/>
        <v>296.41644408333332</v>
      </c>
      <c r="J65" s="327">
        <f t="shared" si="11"/>
        <v>1244.9241666666667</v>
      </c>
      <c r="K65" s="327">
        <f t="shared" si="9"/>
        <v>296.41644408333332</v>
      </c>
      <c r="L65" s="327">
        <f t="shared" si="12"/>
        <v>1106.5992592592593</v>
      </c>
      <c r="M65" s="330">
        <f t="shared" si="13"/>
        <v>22685.36780975926</v>
      </c>
    </row>
    <row r="66" spans="2:13" x14ac:dyDescent="0.2">
      <c r="B66" s="1" t="s">
        <v>428</v>
      </c>
      <c r="C66" s="1" t="s">
        <v>299</v>
      </c>
      <c r="D66" s="1" t="s">
        <v>236</v>
      </c>
      <c r="E66" s="1" t="s">
        <v>294</v>
      </c>
      <c r="F66" s="327">
        <v>14939.09</v>
      </c>
      <c r="G66" s="327">
        <f t="shared" si="7"/>
        <v>3556.9973290000003</v>
      </c>
      <c r="H66" s="327">
        <f t="shared" si="10"/>
        <v>1244.9241666666667</v>
      </c>
      <c r="I66" s="327">
        <f t="shared" si="8"/>
        <v>296.41644408333332</v>
      </c>
      <c r="J66" s="327">
        <f t="shared" si="11"/>
        <v>1244.9241666666667</v>
      </c>
      <c r="K66" s="327">
        <f t="shared" si="9"/>
        <v>296.41644408333332</v>
      </c>
      <c r="L66" s="327">
        <f t="shared" si="12"/>
        <v>1106.5992592592593</v>
      </c>
      <c r="M66" s="330">
        <f t="shared" si="13"/>
        <v>22685.36780975926</v>
      </c>
    </row>
    <row r="67" spans="2:13" x14ac:dyDescent="0.2">
      <c r="B67" s="1" t="s">
        <v>429</v>
      </c>
      <c r="C67" s="1" t="s">
        <v>299</v>
      </c>
      <c r="D67" s="1" t="s">
        <v>237</v>
      </c>
      <c r="E67" s="1" t="s">
        <v>294</v>
      </c>
      <c r="F67" s="327">
        <v>14939.09</v>
      </c>
      <c r="G67" s="327">
        <f t="shared" si="7"/>
        <v>3556.9973290000003</v>
      </c>
      <c r="H67" s="327">
        <f t="shared" ref="H67:H127" si="14">F67/12</f>
        <v>1244.9241666666667</v>
      </c>
      <c r="I67" s="327">
        <f t="shared" si="8"/>
        <v>296.41644408333332</v>
      </c>
      <c r="J67" s="327">
        <f t="shared" ref="J67:J127" si="15">F67/12</f>
        <v>1244.9241666666667</v>
      </c>
      <c r="K67" s="327">
        <f t="shared" si="9"/>
        <v>296.41644408333332</v>
      </c>
      <c r="L67" s="327">
        <f t="shared" ref="L67:L127" si="16">F67/13.5</f>
        <v>1106.5992592592593</v>
      </c>
      <c r="M67" s="330">
        <f t="shared" ref="M67:M127" si="17">SUM(G67:L67)+F67</f>
        <v>22685.36780975926</v>
      </c>
    </row>
    <row r="68" spans="2:13" x14ac:dyDescent="0.2">
      <c r="B68" s="1" t="s">
        <v>430</v>
      </c>
      <c r="C68" s="1" t="s">
        <v>299</v>
      </c>
      <c r="D68" s="1" t="s">
        <v>238</v>
      </c>
      <c r="E68" s="1" t="s">
        <v>294</v>
      </c>
      <c r="F68" s="327">
        <v>14939.09</v>
      </c>
      <c r="G68" s="327">
        <f t="shared" si="7"/>
        <v>3556.9973290000003</v>
      </c>
      <c r="H68" s="327">
        <f t="shared" si="14"/>
        <v>1244.9241666666667</v>
      </c>
      <c r="I68" s="327">
        <f t="shared" si="8"/>
        <v>296.41644408333332</v>
      </c>
      <c r="J68" s="327">
        <f t="shared" si="15"/>
        <v>1244.9241666666667</v>
      </c>
      <c r="K68" s="327">
        <f t="shared" si="9"/>
        <v>296.41644408333332</v>
      </c>
      <c r="L68" s="327">
        <f t="shared" si="16"/>
        <v>1106.5992592592593</v>
      </c>
      <c r="M68" s="330">
        <f t="shared" si="17"/>
        <v>22685.36780975926</v>
      </c>
    </row>
    <row r="69" spans="2:13" x14ac:dyDescent="0.2">
      <c r="B69" s="1" t="s">
        <v>431</v>
      </c>
      <c r="C69" s="1" t="s">
        <v>299</v>
      </c>
      <c r="D69" s="1" t="s">
        <v>239</v>
      </c>
      <c r="E69" s="1" t="s">
        <v>294</v>
      </c>
      <c r="F69" s="327">
        <v>14939.09</v>
      </c>
      <c r="G69" s="327">
        <f t="shared" si="7"/>
        <v>3556.9973290000003</v>
      </c>
      <c r="H69" s="327">
        <f t="shared" si="14"/>
        <v>1244.9241666666667</v>
      </c>
      <c r="I69" s="327">
        <f t="shared" si="8"/>
        <v>296.41644408333332</v>
      </c>
      <c r="J69" s="327">
        <f t="shared" si="15"/>
        <v>1244.9241666666667</v>
      </c>
      <c r="K69" s="327">
        <f t="shared" si="9"/>
        <v>296.41644408333332</v>
      </c>
      <c r="L69" s="327">
        <f t="shared" si="16"/>
        <v>1106.5992592592593</v>
      </c>
      <c r="M69" s="330">
        <f t="shared" si="17"/>
        <v>22685.36780975926</v>
      </c>
    </row>
    <row r="70" spans="2:13" x14ac:dyDescent="0.2">
      <c r="B70" s="1" t="s">
        <v>432</v>
      </c>
      <c r="C70" s="1" t="s">
        <v>299</v>
      </c>
      <c r="D70" s="1" t="s">
        <v>240</v>
      </c>
      <c r="E70" s="1" t="s">
        <v>294</v>
      </c>
      <c r="F70" s="327">
        <v>14939.09</v>
      </c>
      <c r="G70" s="327">
        <f t="shared" si="7"/>
        <v>3556.9973290000003</v>
      </c>
      <c r="H70" s="327">
        <f t="shared" si="14"/>
        <v>1244.9241666666667</v>
      </c>
      <c r="I70" s="327">
        <f t="shared" si="8"/>
        <v>296.41644408333332</v>
      </c>
      <c r="J70" s="327">
        <f t="shared" si="15"/>
        <v>1244.9241666666667</v>
      </c>
      <c r="K70" s="327">
        <f t="shared" si="9"/>
        <v>296.41644408333332</v>
      </c>
      <c r="L70" s="327">
        <f t="shared" si="16"/>
        <v>1106.5992592592593</v>
      </c>
      <c r="M70" s="330">
        <f t="shared" si="17"/>
        <v>22685.36780975926</v>
      </c>
    </row>
    <row r="71" spans="2:13" x14ac:dyDescent="0.2">
      <c r="B71" s="1" t="s">
        <v>433</v>
      </c>
      <c r="C71" s="1" t="s">
        <v>299</v>
      </c>
      <c r="D71" s="1" t="s">
        <v>241</v>
      </c>
      <c r="E71" s="1" t="s">
        <v>294</v>
      </c>
      <c r="F71" s="327">
        <v>14939.09</v>
      </c>
      <c r="G71" s="327">
        <f t="shared" si="7"/>
        <v>3556.9973290000003</v>
      </c>
      <c r="H71" s="327">
        <f t="shared" si="14"/>
        <v>1244.9241666666667</v>
      </c>
      <c r="I71" s="327">
        <f t="shared" si="8"/>
        <v>296.41644408333332</v>
      </c>
      <c r="J71" s="327">
        <f t="shared" si="15"/>
        <v>1244.9241666666667</v>
      </c>
      <c r="K71" s="327">
        <f t="shared" si="9"/>
        <v>296.41644408333332</v>
      </c>
      <c r="L71" s="327">
        <f t="shared" si="16"/>
        <v>1106.5992592592593</v>
      </c>
      <c r="M71" s="330">
        <f t="shared" si="17"/>
        <v>22685.36780975926</v>
      </c>
    </row>
    <row r="72" spans="2:13" x14ac:dyDescent="0.2">
      <c r="B72" s="1" t="s">
        <v>434</v>
      </c>
      <c r="C72" s="1" t="s">
        <v>299</v>
      </c>
      <c r="D72" s="1" t="s">
        <v>242</v>
      </c>
      <c r="E72" s="1" t="s">
        <v>294</v>
      </c>
      <c r="F72" s="327">
        <v>14939.09</v>
      </c>
      <c r="G72" s="327">
        <f t="shared" si="7"/>
        <v>3556.9973290000003</v>
      </c>
      <c r="H72" s="327">
        <f t="shared" si="14"/>
        <v>1244.9241666666667</v>
      </c>
      <c r="I72" s="327">
        <f t="shared" si="8"/>
        <v>296.41644408333332</v>
      </c>
      <c r="J72" s="327">
        <f t="shared" si="15"/>
        <v>1244.9241666666667</v>
      </c>
      <c r="K72" s="327">
        <f t="shared" si="9"/>
        <v>296.41644408333332</v>
      </c>
      <c r="L72" s="327">
        <f t="shared" si="16"/>
        <v>1106.5992592592593</v>
      </c>
      <c r="M72" s="330">
        <f t="shared" si="17"/>
        <v>22685.36780975926</v>
      </c>
    </row>
    <row r="73" spans="2:13" x14ac:dyDescent="0.2">
      <c r="B73" s="1" t="s">
        <v>435</v>
      </c>
      <c r="C73" s="1" t="s">
        <v>299</v>
      </c>
      <c r="D73" s="1" t="s">
        <v>243</v>
      </c>
      <c r="E73" s="1" t="s">
        <v>294</v>
      </c>
      <c r="F73" s="327">
        <v>14939.09</v>
      </c>
      <c r="G73" s="327">
        <f t="shared" si="7"/>
        <v>3556.9973290000003</v>
      </c>
      <c r="H73" s="327">
        <f t="shared" si="14"/>
        <v>1244.9241666666667</v>
      </c>
      <c r="I73" s="327">
        <f t="shared" si="8"/>
        <v>296.41644408333332</v>
      </c>
      <c r="J73" s="327">
        <f t="shared" si="15"/>
        <v>1244.9241666666667</v>
      </c>
      <c r="K73" s="327">
        <f t="shared" si="9"/>
        <v>296.41644408333332</v>
      </c>
      <c r="L73" s="327">
        <f t="shared" si="16"/>
        <v>1106.5992592592593</v>
      </c>
      <c r="M73" s="330">
        <f t="shared" si="17"/>
        <v>22685.36780975926</v>
      </c>
    </row>
    <row r="74" spans="2:13" x14ac:dyDescent="0.2">
      <c r="B74" s="1" t="s">
        <v>436</v>
      </c>
      <c r="C74" s="1" t="s">
        <v>299</v>
      </c>
      <c r="D74" s="1" t="s">
        <v>244</v>
      </c>
      <c r="E74" s="1" t="s">
        <v>294</v>
      </c>
      <c r="F74" s="327">
        <v>14939.09</v>
      </c>
      <c r="G74" s="327">
        <f t="shared" ref="G74:G105" si="18">F74*$E$4</f>
        <v>3556.9973290000003</v>
      </c>
      <c r="H74" s="327">
        <f t="shared" si="14"/>
        <v>1244.9241666666667</v>
      </c>
      <c r="I74" s="327">
        <f t="shared" ref="I74:I105" si="19">H74*$E$4</f>
        <v>296.41644408333332</v>
      </c>
      <c r="J74" s="327">
        <f t="shared" si="15"/>
        <v>1244.9241666666667</v>
      </c>
      <c r="K74" s="327">
        <f t="shared" ref="K74:K105" si="20">J74*$E$4</f>
        <v>296.41644408333332</v>
      </c>
      <c r="L74" s="327">
        <f t="shared" si="16"/>
        <v>1106.5992592592593</v>
      </c>
      <c r="M74" s="330">
        <f t="shared" si="17"/>
        <v>22685.36780975926</v>
      </c>
    </row>
    <row r="75" spans="2:13" x14ac:dyDescent="0.2">
      <c r="B75" s="1" t="s">
        <v>437</v>
      </c>
      <c r="C75" s="1" t="s">
        <v>299</v>
      </c>
      <c r="D75" s="1" t="s">
        <v>245</v>
      </c>
      <c r="E75" s="1" t="s">
        <v>294</v>
      </c>
      <c r="F75" s="327">
        <v>14939.09</v>
      </c>
      <c r="G75" s="327">
        <f t="shared" si="18"/>
        <v>3556.9973290000003</v>
      </c>
      <c r="H75" s="327">
        <f t="shared" si="14"/>
        <v>1244.9241666666667</v>
      </c>
      <c r="I75" s="327">
        <f t="shared" si="19"/>
        <v>296.41644408333332</v>
      </c>
      <c r="J75" s="327">
        <f t="shared" si="15"/>
        <v>1244.9241666666667</v>
      </c>
      <c r="K75" s="327">
        <f t="shared" si="20"/>
        <v>296.41644408333332</v>
      </c>
      <c r="L75" s="327">
        <f t="shared" si="16"/>
        <v>1106.5992592592593</v>
      </c>
      <c r="M75" s="330">
        <f t="shared" si="17"/>
        <v>22685.36780975926</v>
      </c>
    </row>
    <row r="76" spans="2:13" x14ac:dyDescent="0.2">
      <c r="B76" s="1" t="s">
        <v>438</v>
      </c>
      <c r="C76" s="1" t="s">
        <v>299</v>
      </c>
      <c r="D76" s="1" t="s">
        <v>246</v>
      </c>
      <c r="E76" s="1" t="s">
        <v>294</v>
      </c>
      <c r="F76" s="327">
        <v>14939.09</v>
      </c>
      <c r="G76" s="327">
        <f t="shared" si="18"/>
        <v>3556.9973290000003</v>
      </c>
      <c r="H76" s="327">
        <f t="shared" si="14"/>
        <v>1244.9241666666667</v>
      </c>
      <c r="I76" s="327">
        <f t="shared" si="19"/>
        <v>296.41644408333332</v>
      </c>
      <c r="J76" s="327">
        <f t="shared" si="15"/>
        <v>1244.9241666666667</v>
      </c>
      <c r="K76" s="327">
        <f t="shared" si="20"/>
        <v>296.41644408333332</v>
      </c>
      <c r="L76" s="327">
        <f t="shared" si="16"/>
        <v>1106.5992592592593</v>
      </c>
      <c r="M76" s="330">
        <f t="shared" si="17"/>
        <v>22685.36780975926</v>
      </c>
    </row>
    <row r="77" spans="2:13" x14ac:dyDescent="0.2">
      <c r="B77" s="1" t="s">
        <v>439</v>
      </c>
      <c r="C77" s="1" t="s">
        <v>299</v>
      </c>
      <c r="D77" s="1" t="s">
        <v>247</v>
      </c>
      <c r="E77" s="1" t="s">
        <v>294</v>
      </c>
      <c r="F77" s="327">
        <v>14939.09</v>
      </c>
      <c r="G77" s="327">
        <f t="shared" si="18"/>
        <v>3556.9973290000003</v>
      </c>
      <c r="H77" s="327">
        <f t="shared" si="14"/>
        <v>1244.9241666666667</v>
      </c>
      <c r="I77" s="327">
        <f t="shared" si="19"/>
        <v>296.41644408333332</v>
      </c>
      <c r="J77" s="327">
        <f t="shared" si="15"/>
        <v>1244.9241666666667</v>
      </c>
      <c r="K77" s="327">
        <f t="shared" si="20"/>
        <v>296.41644408333332</v>
      </c>
      <c r="L77" s="327">
        <f t="shared" si="16"/>
        <v>1106.5992592592593</v>
      </c>
      <c r="M77" s="330">
        <f t="shared" si="17"/>
        <v>22685.36780975926</v>
      </c>
    </row>
    <row r="78" spans="2:13" x14ac:dyDescent="0.2">
      <c r="B78" s="1" t="s">
        <v>440</v>
      </c>
      <c r="C78" s="1" t="s">
        <v>299</v>
      </c>
      <c r="D78" s="1" t="s">
        <v>248</v>
      </c>
      <c r="E78" s="1" t="s">
        <v>294</v>
      </c>
      <c r="F78" s="327">
        <v>14939.09</v>
      </c>
      <c r="G78" s="327">
        <f t="shared" si="18"/>
        <v>3556.9973290000003</v>
      </c>
      <c r="H78" s="327">
        <f t="shared" si="14"/>
        <v>1244.9241666666667</v>
      </c>
      <c r="I78" s="327">
        <f t="shared" si="19"/>
        <v>296.41644408333332</v>
      </c>
      <c r="J78" s="327">
        <f t="shared" si="15"/>
        <v>1244.9241666666667</v>
      </c>
      <c r="K78" s="327">
        <f t="shared" si="20"/>
        <v>296.41644408333332</v>
      </c>
      <c r="L78" s="327">
        <f t="shared" si="16"/>
        <v>1106.5992592592593</v>
      </c>
      <c r="M78" s="330">
        <f t="shared" si="17"/>
        <v>22685.36780975926</v>
      </c>
    </row>
    <row r="79" spans="2:13" x14ac:dyDescent="0.2">
      <c r="B79" s="1" t="s">
        <v>441</v>
      </c>
      <c r="C79" s="1" t="s">
        <v>299</v>
      </c>
      <c r="D79" s="1" t="s">
        <v>249</v>
      </c>
      <c r="E79" s="1" t="s">
        <v>294</v>
      </c>
      <c r="F79" s="327">
        <v>14939.09</v>
      </c>
      <c r="G79" s="327">
        <f t="shared" si="18"/>
        <v>3556.9973290000003</v>
      </c>
      <c r="H79" s="327">
        <f t="shared" si="14"/>
        <v>1244.9241666666667</v>
      </c>
      <c r="I79" s="327">
        <f t="shared" si="19"/>
        <v>296.41644408333332</v>
      </c>
      <c r="J79" s="327">
        <f t="shared" si="15"/>
        <v>1244.9241666666667</v>
      </c>
      <c r="K79" s="327">
        <f t="shared" si="20"/>
        <v>296.41644408333332</v>
      </c>
      <c r="L79" s="327">
        <f t="shared" si="16"/>
        <v>1106.5992592592593</v>
      </c>
      <c r="M79" s="330">
        <f t="shared" si="17"/>
        <v>22685.36780975926</v>
      </c>
    </row>
    <row r="80" spans="2:13" x14ac:dyDescent="0.2">
      <c r="B80" s="1" t="s">
        <v>442</v>
      </c>
      <c r="C80" s="1" t="s">
        <v>299</v>
      </c>
      <c r="D80" s="1" t="s">
        <v>250</v>
      </c>
      <c r="E80" s="1" t="s">
        <v>294</v>
      </c>
      <c r="F80" s="327">
        <v>14939.09</v>
      </c>
      <c r="G80" s="327">
        <f t="shared" si="18"/>
        <v>3556.9973290000003</v>
      </c>
      <c r="H80" s="327">
        <f t="shared" si="14"/>
        <v>1244.9241666666667</v>
      </c>
      <c r="I80" s="327">
        <f t="shared" si="19"/>
        <v>296.41644408333332</v>
      </c>
      <c r="J80" s="327">
        <f t="shared" si="15"/>
        <v>1244.9241666666667</v>
      </c>
      <c r="K80" s="327">
        <f t="shared" si="20"/>
        <v>296.41644408333332</v>
      </c>
      <c r="L80" s="327">
        <f t="shared" si="16"/>
        <v>1106.5992592592593</v>
      </c>
      <c r="M80" s="330">
        <f t="shared" si="17"/>
        <v>22685.36780975926</v>
      </c>
    </row>
    <row r="81" spans="2:13" x14ac:dyDescent="0.2">
      <c r="B81" s="1" t="s">
        <v>443</v>
      </c>
      <c r="C81" s="1" t="s">
        <v>299</v>
      </c>
      <c r="D81" s="1" t="s">
        <v>251</v>
      </c>
      <c r="E81" s="1" t="s">
        <v>294</v>
      </c>
      <c r="F81" s="327">
        <v>14939.09</v>
      </c>
      <c r="G81" s="327">
        <f t="shared" si="18"/>
        <v>3556.9973290000003</v>
      </c>
      <c r="H81" s="327">
        <f t="shared" si="14"/>
        <v>1244.9241666666667</v>
      </c>
      <c r="I81" s="327">
        <f t="shared" si="19"/>
        <v>296.41644408333332</v>
      </c>
      <c r="J81" s="327">
        <f t="shared" si="15"/>
        <v>1244.9241666666667</v>
      </c>
      <c r="K81" s="327">
        <f t="shared" si="20"/>
        <v>296.41644408333332</v>
      </c>
      <c r="L81" s="327">
        <f t="shared" si="16"/>
        <v>1106.5992592592593</v>
      </c>
      <c r="M81" s="330">
        <f t="shared" si="17"/>
        <v>22685.36780975926</v>
      </c>
    </row>
    <row r="82" spans="2:13" x14ac:dyDescent="0.2">
      <c r="B82" s="1" t="s">
        <v>444</v>
      </c>
      <c r="C82" s="1" t="s">
        <v>299</v>
      </c>
      <c r="D82" s="1" t="s">
        <v>252</v>
      </c>
      <c r="E82" s="1" t="s">
        <v>294</v>
      </c>
      <c r="F82" s="327">
        <v>14939.09</v>
      </c>
      <c r="G82" s="327">
        <f t="shared" si="18"/>
        <v>3556.9973290000003</v>
      </c>
      <c r="H82" s="327">
        <f t="shared" si="14"/>
        <v>1244.9241666666667</v>
      </c>
      <c r="I82" s="327">
        <f t="shared" si="19"/>
        <v>296.41644408333332</v>
      </c>
      <c r="J82" s="327">
        <f t="shared" si="15"/>
        <v>1244.9241666666667</v>
      </c>
      <c r="K82" s="327">
        <f t="shared" si="20"/>
        <v>296.41644408333332</v>
      </c>
      <c r="L82" s="327">
        <f t="shared" si="16"/>
        <v>1106.5992592592593</v>
      </c>
      <c r="M82" s="330">
        <f t="shared" si="17"/>
        <v>22685.36780975926</v>
      </c>
    </row>
    <row r="83" spans="2:13" x14ac:dyDescent="0.2">
      <c r="B83" s="1" t="s">
        <v>445</v>
      </c>
      <c r="C83" s="1" t="s">
        <v>299</v>
      </c>
      <c r="D83" s="1" t="s">
        <v>253</v>
      </c>
      <c r="E83" s="1" t="s">
        <v>294</v>
      </c>
      <c r="F83" s="327">
        <v>14939.09</v>
      </c>
      <c r="G83" s="327">
        <f t="shared" si="18"/>
        <v>3556.9973290000003</v>
      </c>
      <c r="H83" s="327">
        <f t="shared" si="14"/>
        <v>1244.9241666666667</v>
      </c>
      <c r="I83" s="327">
        <f t="shared" si="19"/>
        <v>296.41644408333332</v>
      </c>
      <c r="J83" s="327">
        <f t="shared" si="15"/>
        <v>1244.9241666666667</v>
      </c>
      <c r="K83" s="327">
        <f t="shared" si="20"/>
        <v>296.41644408333332</v>
      </c>
      <c r="L83" s="327">
        <f t="shared" si="16"/>
        <v>1106.5992592592593</v>
      </c>
      <c r="M83" s="330">
        <f t="shared" si="17"/>
        <v>22685.36780975926</v>
      </c>
    </row>
    <row r="84" spans="2:13" x14ac:dyDescent="0.2">
      <c r="B84" s="1" t="s">
        <v>446</v>
      </c>
      <c r="C84" s="1" t="s">
        <v>299</v>
      </c>
      <c r="D84" s="1" t="s">
        <v>254</v>
      </c>
      <c r="E84" s="1" t="s">
        <v>294</v>
      </c>
      <c r="F84" s="327">
        <v>14939.09</v>
      </c>
      <c r="G84" s="327">
        <f t="shared" si="18"/>
        <v>3556.9973290000003</v>
      </c>
      <c r="H84" s="327">
        <f t="shared" si="14"/>
        <v>1244.9241666666667</v>
      </c>
      <c r="I84" s="327">
        <f t="shared" si="19"/>
        <v>296.41644408333332</v>
      </c>
      <c r="J84" s="327">
        <f t="shared" si="15"/>
        <v>1244.9241666666667</v>
      </c>
      <c r="K84" s="327">
        <f t="shared" si="20"/>
        <v>296.41644408333332</v>
      </c>
      <c r="L84" s="327">
        <f t="shared" si="16"/>
        <v>1106.5992592592593</v>
      </c>
      <c r="M84" s="330">
        <f t="shared" si="17"/>
        <v>22685.36780975926</v>
      </c>
    </row>
    <row r="85" spans="2:13" x14ac:dyDescent="0.2">
      <c r="B85" s="1" t="s">
        <v>447</v>
      </c>
      <c r="C85" s="1" t="s">
        <v>299</v>
      </c>
      <c r="D85" s="1" t="s">
        <v>255</v>
      </c>
      <c r="E85" s="1" t="s">
        <v>294</v>
      </c>
      <c r="F85" s="327">
        <v>14939.09</v>
      </c>
      <c r="G85" s="327">
        <f t="shared" si="18"/>
        <v>3556.9973290000003</v>
      </c>
      <c r="H85" s="327">
        <f t="shared" si="14"/>
        <v>1244.9241666666667</v>
      </c>
      <c r="I85" s="327">
        <f t="shared" si="19"/>
        <v>296.41644408333332</v>
      </c>
      <c r="J85" s="327">
        <f t="shared" si="15"/>
        <v>1244.9241666666667</v>
      </c>
      <c r="K85" s="327">
        <f t="shared" si="20"/>
        <v>296.41644408333332</v>
      </c>
      <c r="L85" s="327">
        <f t="shared" si="16"/>
        <v>1106.5992592592593</v>
      </c>
      <c r="M85" s="330">
        <f t="shared" si="17"/>
        <v>22685.36780975926</v>
      </c>
    </row>
    <row r="86" spans="2:13" x14ac:dyDescent="0.2">
      <c r="B86" s="1" t="s">
        <v>448</v>
      </c>
      <c r="C86" s="1" t="s">
        <v>299</v>
      </c>
      <c r="D86" s="1" t="s">
        <v>256</v>
      </c>
      <c r="E86" s="1" t="s">
        <v>294</v>
      </c>
      <c r="F86" s="327">
        <v>14939.09</v>
      </c>
      <c r="G86" s="327">
        <f t="shared" si="18"/>
        <v>3556.9973290000003</v>
      </c>
      <c r="H86" s="327">
        <f t="shared" si="14"/>
        <v>1244.9241666666667</v>
      </c>
      <c r="I86" s="327">
        <f t="shared" si="19"/>
        <v>296.41644408333332</v>
      </c>
      <c r="J86" s="327">
        <f t="shared" si="15"/>
        <v>1244.9241666666667</v>
      </c>
      <c r="K86" s="327">
        <f t="shared" si="20"/>
        <v>296.41644408333332</v>
      </c>
      <c r="L86" s="327">
        <f t="shared" si="16"/>
        <v>1106.5992592592593</v>
      </c>
      <c r="M86" s="330">
        <f t="shared" si="17"/>
        <v>22685.36780975926</v>
      </c>
    </row>
    <row r="87" spans="2:13" x14ac:dyDescent="0.2">
      <c r="B87" s="1" t="s">
        <v>449</v>
      </c>
      <c r="C87" s="1" t="s">
        <v>299</v>
      </c>
      <c r="D87" s="1" t="s">
        <v>257</v>
      </c>
      <c r="E87" s="1" t="s">
        <v>294</v>
      </c>
      <c r="F87" s="327">
        <v>14939.09</v>
      </c>
      <c r="G87" s="327">
        <f t="shared" si="18"/>
        <v>3556.9973290000003</v>
      </c>
      <c r="H87" s="327">
        <f t="shared" si="14"/>
        <v>1244.9241666666667</v>
      </c>
      <c r="I87" s="327">
        <f t="shared" si="19"/>
        <v>296.41644408333332</v>
      </c>
      <c r="J87" s="327">
        <f t="shared" si="15"/>
        <v>1244.9241666666667</v>
      </c>
      <c r="K87" s="327">
        <f t="shared" si="20"/>
        <v>296.41644408333332</v>
      </c>
      <c r="L87" s="327">
        <f t="shared" si="16"/>
        <v>1106.5992592592593</v>
      </c>
      <c r="M87" s="330">
        <f t="shared" si="17"/>
        <v>22685.36780975926</v>
      </c>
    </row>
    <row r="88" spans="2:13" x14ac:dyDescent="0.2">
      <c r="B88" s="1" t="s">
        <v>450</v>
      </c>
      <c r="C88" s="1" t="s">
        <v>299</v>
      </c>
      <c r="D88" s="1" t="s">
        <v>258</v>
      </c>
      <c r="E88" s="1" t="s">
        <v>294</v>
      </c>
      <c r="F88" s="327">
        <v>14939.09</v>
      </c>
      <c r="G88" s="327">
        <f t="shared" si="18"/>
        <v>3556.9973290000003</v>
      </c>
      <c r="H88" s="327">
        <f t="shared" si="14"/>
        <v>1244.9241666666667</v>
      </c>
      <c r="I88" s="327">
        <f t="shared" si="19"/>
        <v>296.41644408333332</v>
      </c>
      <c r="J88" s="327">
        <f t="shared" si="15"/>
        <v>1244.9241666666667</v>
      </c>
      <c r="K88" s="327">
        <f t="shared" si="20"/>
        <v>296.41644408333332</v>
      </c>
      <c r="L88" s="327">
        <f t="shared" si="16"/>
        <v>1106.5992592592593</v>
      </c>
      <c r="M88" s="330">
        <f t="shared" si="17"/>
        <v>22685.36780975926</v>
      </c>
    </row>
    <row r="89" spans="2:13" x14ac:dyDescent="0.2">
      <c r="B89" s="1" t="s">
        <v>451</v>
      </c>
      <c r="C89" s="1" t="s">
        <v>299</v>
      </c>
      <c r="D89" s="1" t="s">
        <v>259</v>
      </c>
      <c r="E89" s="1" t="s">
        <v>294</v>
      </c>
      <c r="F89" s="327">
        <v>14939.09</v>
      </c>
      <c r="G89" s="327">
        <f t="shared" si="18"/>
        <v>3556.9973290000003</v>
      </c>
      <c r="H89" s="327">
        <f t="shared" si="14"/>
        <v>1244.9241666666667</v>
      </c>
      <c r="I89" s="327">
        <f t="shared" si="19"/>
        <v>296.41644408333332</v>
      </c>
      <c r="J89" s="327">
        <f t="shared" si="15"/>
        <v>1244.9241666666667</v>
      </c>
      <c r="K89" s="327">
        <f t="shared" si="20"/>
        <v>296.41644408333332</v>
      </c>
      <c r="L89" s="327">
        <f t="shared" si="16"/>
        <v>1106.5992592592593</v>
      </c>
      <c r="M89" s="330">
        <f t="shared" si="17"/>
        <v>22685.36780975926</v>
      </c>
    </row>
    <row r="90" spans="2:13" x14ac:dyDescent="0.2">
      <c r="B90" s="1" t="s">
        <v>452</v>
      </c>
      <c r="C90" s="1" t="s">
        <v>299</v>
      </c>
      <c r="D90" s="1" t="s">
        <v>260</v>
      </c>
      <c r="E90" s="1" t="s">
        <v>294</v>
      </c>
      <c r="F90" s="327">
        <v>14939.09</v>
      </c>
      <c r="G90" s="327">
        <f t="shared" si="18"/>
        <v>3556.9973290000003</v>
      </c>
      <c r="H90" s="327">
        <f t="shared" si="14"/>
        <v>1244.9241666666667</v>
      </c>
      <c r="I90" s="327">
        <f t="shared" si="19"/>
        <v>296.41644408333332</v>
      </c>
      <c r="J90" s="327">
        <f t="shared" si="15"/>
        <v>1244.9241666666667</v>
      </c>
      <c r="K90" s="327">
        <f t="shared" si="20"/>
        <v>296.41644408333332</v>
      </c>
      <c r="L90" s="327">
        <f t="shared" si="16"/>
        <v>1106.5992592592593</v>
      </c>
      <c r="M90" s="330">
        <f t="shared" si="17"/>
        <v>22685.36780975926</v>
      </c>
    </row>
    <row r="91" spans="2:13" x14ac:dyDescent="0.2">
      <c r="B91" s="1" t="s">
        <v>453</v>
      </c>
      <c r="C91" s="1" t="s">
        <v>299</v>
      </c>
      <c r="D91" s="1" t="s">
        <v>261</v>
      </c>
      <c r="E91" s="1" t="s">
        <v>294</v>
      </c>
      <c r="F91" s="327">
        <v>14939.09</v>
      </c>
      <c r="G91" s="327">
        <f t="shared" si="18"/>
        <v>3556.9973290000003</v>
      </c>
      <c r="H91" s="327">
        <f t="shared" si="14"/>
        <v>1244.9241666666667</v>
      </c>
      <c r="I91" s="327">
        <f t="shared" si="19"/>
        <v>296.41644408333332</v>
      </c>
      <c r="J91" s="327">
        <f t="shared" si="15"/>
        <v>1244.9241666666667</v>
      </c>
      <c r="K91" s="327">
        <f t="shared" si="20"/>
        <v>296.41644408333332</v>
      </c>
      <c r="L91" s="327">
        <f t="shared" si="16"/>
        <v>1106.5992592592593</v>
      </c>
      <c r="M91" s="330">
        <f t="shared" si="17"/>
        <v>22685.36780975926</v>
      </c>
    </row>
    <row r="92" spans="2:13" x14ac:dyDescent="0.2">
      <c r="B92" s="1" t="s">
        <v>454</v>
      </c>
      <c r="C92" s="1" t="s">
        <v>299</v>
      </c>
      <c r="D92" s="1" t="s">
        <v>262</v>
      </c>
      <c r="E92" s="1" t="s">
        <v>294</v>
      </c>
      <c r="F92" s="327">
        <v>14939.09</v>
      </c>
      <c r="G92" s="327">
        <f t="shared" si="18"/>
        <v>3556.9973290000003</v>
      </c>
      <c r="H92" s="327">
        <f t="shared" si="14"/>
        <v>1244.9241666666667</v>
      </c>
      <c r="I92" s="327">
        <f t="shared" si="19"/>
        <v>296.41644408333332</v>
      </c>
      <c r="J92" s="327">
        <f t="shared" si="15"/>
        <v>1244.9241666666667</v>
      </c>
      <c r="K92" s="327">
        <f t="shared" si="20"/>
        <v>296.41644408333332</v>
      </c>
      <c r="L92" s="327">
        <f t="shared" si="16"/>
        <v>1106.5992592592593</v>
      </c>
      <c r="M92" s="330">
        <f t="shared" si="17"/>
        <v>22685.36780975926</v>
      </c>
    </row>
    <row r="93" spans="2:13" x14ac:dyDescent="0.2">
      <c r="B93" s="1" t="s">
        <v>455</v>
      </c>
      <c r="C93" s="1" t="s">
        <v>299</v>
      </c>
      <c r="D93" s="1" t="s">
        <v>263</v>
      </c>
      <c r="E93" s="1" t="s">
        <v>294</v>
      </c>
      <c r="F93" s="327">
        <v>14939.09</v>
      </c>
      <c r="G93" s="327">
        <f t="shared" si="18"/>
        <v>3556.9973290000003</v>
      </c>
      <c r="H93" s="327">
        <f t="shared" si="14"/>
        <v>1244.9241666666667</v>
      </c>
      <c r="I93" s="327">
        <f t="shared" si="19"/>
        <v>296.41644408333332</v>
      </c>
      <c r="J93" s="327">
        <f t="shared" si="15"/>
        <v>1244.9241666666667</v>
      </c>
      <c r="K93" s="327">
        <f t="shared" si="20"/>
        <v>296.41644408333332</v>
      </c>
      <c r="L93" s="327">
        <f t="shared" si="16"/>
        <v>1106.5992592592593</v>
      </c>
      <c r="M93" s="330">
        <f t="shared" si="17"/>
        <v>22685.36780975926</v>
      </c>
    </row>
    <row r="94" spans="2:13" x14ac:dyDescent="0.2">
      <c r="B94" s="1" t="s">
        <v>456</v>
      </c>
      <c r="C94" s="1" t="s">
        <v>299</v>
      </c>
      <c r="D94" s="1" t="s">
        <v>264</v>
      </c>
      <c r="E94" s="1" t="s">
        <v>294</v>
      </c>
      <c r="F94" s="327">
        <v>14939.09</v>
      </c>
      <c r="G94" s="327">
        <f t="shared" si="18"/>
        <v>3556.9973290000003</v>
      </c>
      <c r="H94" s="327">
        <f t="shared" si="14"/>
        <v>1244.9241666666667</v>
      </c>
      <c r="I94" s="327">
        <f t="shared" si="19"/>
        <v>296.41644408333332</v>
      </c>
      <c r="J94" s="327">
        <f t="shared" si="15"/>
        <v>1244.9241666666667</v>
      </c>
      <c r="K94" s="327">
        <f t="shared" si="20"/>
        <v>296.41644408333332</v>
      </c>
      <c r="L94" s="327">
        <f t="shared" si="16"/>
        <v>1106.5992592592593</v>
      </c>
      <c r="M94" s="330">
        <f t="shared" si="17"/>
        <v>22685.36780975926</v>
      </c>
    </row>
    <row r="95" spans="2:13" x14ac:dyDescent="0.2">
      <c r="B95" s="1" t="s">
        <v>457</v>
      </c>
      <c r="C95" s="1" t="s">
        <v>299</v>
      </c>
      <c r="D95" s="1" t="s">
        <v>265</v>
      </c>
      <c r="E95" s="1" t="s">
        <v>294</v>
      </c>
      <c r="F95" s="327">
        <v>14939.09</v>
      </c>
      <c r="G95" s="327">
        <f t="shared" si="18"/>
        <v>3556.9973290000003</v>
      </c>
      <c r="H95" s="327">
        <f t="shared" si="14"/>
        <v>1244.9241666666667</v>
      </c>
      <c r="I95" s="327">
        <f t="shared" si="19"/>
        <v>296.41644408333332</v>
      </c>
      <c r="J95" s="327">
        <f t="shared" si="15"/>
        <v>1244.9241666666667</v>
      </c>
      <c r="K95" s="327">
        <f t="shared" si="20"/>
        <v>296.41644408333332</v>
      </c>
      <c r="L95" s="327">
        <f t="shared" si="16"/>
        <v>1106.5992592592593</v>
      </c>
      <c r="M95" s="330">
        <f t="shared" si="17"/>
        <v>22685.36780975926</v>
      </c>
    </row>
    <row r="96" spans="2:13" x14ac:dyDescent="0.2">
      <c r="B96" s="1" t="s">
        <v>458</v>
      </c>
      <c r="C96" s="1" t="s">
        <v>299</v>
      </c>
      <c r="D96" s="1" t="s">
        <v>266</v>
      </c>
      <c r="E96" s="1" t="s">
        <v>294</v>
      </c>
      <c r="F96" s="327">
        <v>14939.09</v>
      </c>
      <c r="G96" s="327">
        <f t="shared" si="18"/>
        <v>3556.9973290000003</v>
      </c>
      <c r="H96" s="327">
        <f t="shared" si="14"/>
        <v>1244.9241666666667</v>
      </c>
      <c r="I96" s="327">
        <f t="shared" si="19"/>
        <v>296.41644408333332</v>
      </c>
      <c r="J96" s="327">
        <f t="shared" si="15"/>
        <v>1244.9241666666667</v>
      </c>
      <c r="K96" s="327">
        <f t="shared" si="20"/>
        <v>296.41644408333332</v>
      </c>
      <c r="L96" s="327">
        <f t="shared" si="16"/>
        <v>1106.5992592592593</v>
      </c>
      <c r="M96" s="330">
        <f t="shared" si="17"/>
        <v>22685.36780975926</v>
      </c>
    </row>
    <row r="97" spans="2:13" x14ac:dyDescent="0.2">
      <c r="B97" s="1" t="s">
        <v>459</v>
      </c>
      <c r="C97" s="1" t="s">
        <v>299</v>
      </c>
      <c r="D97" s="1" t="s">
        <v>267</v>
      </c>
      <c r="E97" s="1" t="s">
        <v>294</v>
      </c>
      <c r="F97" s="327">
        <v>14939.09</v>
      </c>
      <c r="G97" s="327">
        <f t="shared" si="18"/>
        <v>3556.9973290000003</v>
      </c>
      <c r="H97" s="327">
        <f t="shared" si="14"/>
        <v>1244.9241666666667</v>
      </c>
      <c r="I97" s="327">
        <f t="shared" si="19"/>
        <v>296.41644408333332</v>
      </c>
      <c r="J97" s="327">
        <f t="shared" si="15"/>
        <v>1244.9241666666667</v>
      </c>
      <c r="K97" s="327">
        <f t="shared" si="20"/>
        <v>296.41644408333332</v>
      </c>
      <c r="L97" s="327">
        <f t="shared" si="16"/>
        <v>1106.5992592592593</v>
      </c>
      <c r="M97" s="330">
        <f t="shared" si="17"/>
        <v>22685.36780975926</v>
      </c>
    </row>
    <row r="98" spans="2:13" x14ac:dyDescent="0.2">
      <c r="B98" s="1" t="s">
        <v>460</v>
      </c>
      <c r="C98" s="1" t="s">
        <v>299</v>
      </c>
      <c r="D98" s="1" t="s">
        <v>268</v>
      </c>
      <c r="E98" s="1" t="s">
        <v>294</v>
      </c>
      <c r="F98" s="327">
        <v>14939.09</v>
      </c>
      <c r="G98" s="327">
        <f t="shared" si="18"/>
        <v>3556.9973290000003</v>
      </c>
      <c r="H98" s="327">
        <f t="shared" si="14"/>
        <v>1244.9241666666667</v>
      </c>
      <c r="I98" s="327">
        <f t="shared" si="19"/>
        <v>296.41644408333332</v>
      </c>
      <c r="J98" s="327">
        <f t="shared" si="15"/>
        <v>1244.9241666666667</v>
      </c>
      <c r="K98" s="327">
        <f t="shared" si="20"/>
        <v>296.41644408333332</v>
      </c>
      <c r="L98" s="327">
        <f t="shared" si="16"/>
        <v>1106.5992592592593</v>
      </c>
      <c r="M98" s="330">
        <f t="shared" si="17"/>
        <v>22685.36780975926</v>
      </c>
    </row>
    <row r="99" spans="2:13" x14ac:dyDescent="0.2">
      <c r="B99" s="1" t="s">
        <v>461</v>
      </c>
      <c r="C99" s="1" t="s">
        <v>299</v>
      </c>
      <c r="D99" s="1" t="s">
        <v>269</v>
      </c>
      <c r="E99" s="1" t="s">
        <v>294</v>
      </c>
      <c r="F99" s="327">
        <v>14939.09</v>
      </c>
      <c r="G99" s="327">
        <f t="shared" si="18"/>
        <v>3556.9973290000003</v>
      </c>
      <c r="H99" s="327">
        <f t="shared" si="14"/>
        <v>1244.9241666666667</v>
      </c>
      <c r="I99" s="327">
        <f t="shared" si="19"/>
        <v>296.41644408333332</v>
      </c>
      <c r="J99" s="327">
        <f t="shared" si="15"/>
        <v>1244.9241666666667</v>
      </c>
      <c r="K99" s="327">
        <f t="shared" si="20"/>
        <v>296.41644408333332</v>
      </c>
      <c r="L99" s="327">
        <f t="shared" si="16"/>
        <v>1106.5992592592593</v>
      </c>
      <c r="M99" s="330">
        <f t="shared" si="17"/>
        <v>22685.36780975926</v>
      </c>
    </row>
    <row r="100" spans="2:13" x14ac:dyDescent="0.2">
      <c r="B100" s="1" t="s">
        <v>462</v>
      </c>
      <c r="C100" s="1" t="s">
        <v>299</v>
      </c>
      <c r="D100" s="1" t="s">
        <v>270</v>
      </c>
      <c r="E100" s="1" t="s">
        <v>294</v>
      </c>
      <c r="F100" s="327">
        <v>14939.09</v>
      </c>
      <c r="G100" s="327">
        <f t="shared" si="18"/>
        <v>3556.9973290000003</v>
      </c>
      <c r="H100" s="327">
        <f t="shared" si="14"/>
        <v>1244.9241666666667</v>
      </c>
      <c r="I100" s="327">
        <f t="shared" si="19"/>
        <v>296.41644408333332</v>
      </c>
      <c r="J100" s="327">
        <f t="shared" si="15"/>
        <v>1244.9241666666667</v>
      </c>
      <c r="K100" s="327">
        <f t="shared" si="20"/>
        <v>296.41644408333332</v>
      </c>
      <c r="L100" s="327">
        <f t="shared" si="16"/>
        <v>1106.5992592592593</v>
      </c>
      <c r="M100" s="330">
        <f t="shared" si="17"/>
        <v>22685.36780975926</v>
      </c>
    </row>
    <row r="101" spans="2:13" x14ac:dyDescent="0.2">
      <c r="B101" s="1" t="s">
        <v>463</v>
      </c>
      <c r="C101" s="1" t="s">
        <v>299</v>
      </c>
      <c r="D101" s="1" t="s">
        <v>271</v>
      </c>
      <c r="E101" s="1" t="s">
        <v>294</v>
      </c>
      <c r="F101" s="327">
        <v>14939.09</v>
      </c>
      <c r="G101" s="327">
        <f t="shared" si="18"/>
        <v>3556.9973290000003</v>
      </c>
      <c r="H101" s="327">
        <f t="shared" si="14"/>
        <v>1244.9241666666667</v>
      </c>
      <c r="I101" s="327">
        <f t="shared" si="19"/>
        <v>296.41644408333332</v>
      </c>
      <c r="J101" s="327">
        <f t="shared" si="15"/>
        <v>1244.9241666666667</v>
      </c>
      <c r="K101" s="327">
        <f t="shared" si="20"/>
        <v>296.41644408333332</v>
      </c>
      <c r="L101" s="327">
        <f t="shared" si="16"/>
        <v>1106.5992592592593</v>
      </c>
      <c r="M101" s="330">
        <f t="shared" si="17"/>
        <v>22685.36780975926</v>
      </c>
    </row>
    <row r="102" spans="2:13" x14ac:dyDescent="0.2">
      <c r="B102" s="1" t="s">
        <v>464</v>
      </c>
      <c r="C102" s="1" t="s">
        <v>299</v>
      </c>
      <c r="D102" s="1" t="s">
        <v>272</v>
      </c>
      <c r="E102" s="1" t="s">
        <v>294</v>
      </c>
      <c r="F102" s="327">
        <v>14939.09</v>
      </c>
      <c r="G102" s="327">
        <f t="shared" si="18"/>
        <v>3556.9973290000003</v>
      </c>
      <c r="H102" s="327">
        <f t="shared" si="14"/>
        <v>1244.9241666666667</v>
      </c>
      <c r="I102" s="327">
        <f t="shared" si="19"/>
        <v>296.41644408333332</v>
      </c>
      <c r="J102" s="327">
        <f t="shared" si="15"/>
        <v>1244.9241666666667</v>
      </c>
      <c r="K102" s="327">
        <f t="shared" si="20"/>
        <v>296.41644408333332</v>
      </c>
      <c r="L102" s="327">
        <f t="shared" si="16"/>
        <v>1106.5992592592593</v>
      </c>
      <c r="M102" s="330">
        <f t="shared" si="17"/>
        <v>22685.36780975926</v>
      </c>
    </row>
    <row r="103" spans="2:13" x14ac:dyDescent="0.2">
      <c r="B103" s="1" t="s">
        <v>465</v>
      </c>
      <c r="C103" s="1" t="s">
        <v>299</v>
      </c>
      <c r="D103" s="1" t="s">
        <v>273</v>
      </c>
      <c r="E103" s="1" t="s">
        <v>294</v>
      </c>
      <c r="F103" s="327">
        <v>14939.09</v>
      </c>
      <c r="G103" s="327">
        <f t="shared" si="18"/>
        <v>3556.9973290000003</v>
      </c>
      <c r="H103" s="327">
        <f t="shared" si="14"/>
        <v>1244.9241666666667</v>
      </c>
      <c r="I103" s="327">
        <f t="shared" si="19"/>
        <v>296.41644408333332</v>
      </c>
      <c r="J103" s="327">
        <f t="shared" si="15"/>
        <v>1244.9241666666667</v>
      </c>
      <c r="K103" s="327">
        <f t="shared" si="20"/>
        <v>296.41644408333332</v>
      </c>
      <c r="L103" s="327">
        <f t="shared" si="16"/>
        <v>1106.5992592592593</v>
      </c>
      <c r="M103" s="330">
        <f t="shared" si="17"/>
        <v>22685.36780975926</v>
      </c>
    </row>
    <row r="104" spans="2:13" x14ac:dyDescent="0.2">
      <c r="B104" s="1" t="s">
        <v>466</v>
      </c>
      <c r="C104" s="1" t="s">
        <v>299</v>
      </c>
      <c r="D104" s="1" t="s">
        <v>274</v>
      </c>
      <c r="E104" s="1" t="s">
        <v>294</v>
      </c>
      <c r="F104" s="327">
        <v>14939.09</v>
      </c>
      <c r="G104" s="327">
        <f t="shared" si="18"/>
        <v>3556.9973290000003</v>
      </c>
      <c r="H104" s="327">
        <f t="shared" si="14"/>
        <v>1244.9241666666667</v>
      </c>
      <c r="I104" s="327">
        <f t="shared" si="19"/>
        <v>296.41644408333332</v>
      </c>
      <c r="J104" s="327">
        <f t="shared" si="15"/>
        <v>1244.9241666666667</v>
      </c>
      <c r="K104" s="327">
        <f t="shared" si="20"/>
        <v>296.41644408333332</v>
      </c>
      <c r="L104" s="327">
        <f t="shared" si="16"/>
        <v>1106.5992592592593</v>
      </c>
      <c r="M104" s="330">
        <f t="shared" si="17"/>
        <v>22685.36780975926</v>
      </c>
    </row>
    <row r="105" spans="2:13" x14ac:dyDescent="0.2">
      <c r="B105" s="1" t="s">
        <v>467</v>
      </c>
      <c r="C105" s="1" t="s">
        <v>299</v>
      </c>
      <c r="D105" s="1" t="s">
        <v>275</v>
      </c>
      <c r="E105" s="1" t="s">
        <v>294</v>
      </c>
      <c r="F105" s="327">
        <v>14939.09</v>
      </c>
      <c r="G105" s="327">
        <f t="shared" si="18"/>
        <v>3556.9973290000003</v>
      </c>
      <c r="H105" s="327">
        <f t="shared" si="14"/>
        <v>1244.9241666666667</v>
      </c>
      <c r="I105" s="327">
        <f t="shared" si="19"/>
        <v>296.41644408333332</v>
      </c>
      <c r="J105" s="327">
        <f t="shared" si="15"/>
        <v>1244.9241666666667</v>
      </c>
      <c r="K105" s="327">
        <f t="shared" si="20"/>
        <v>296.41644408333332</v>
      </c>
      <c r="L105" s="327">
        <f t="shared" si="16"/>
        <v>1106.5992592592593</v>
      </c>
      <c r="M105" s="330">
        <f t="shared" si="17"/>
        <v>22685.36780975926</v>
      </c>
    </row>
    <row r="106" spans="2:13" x14ac:dyDescent="0.2">
      <c r="B106" s="1" t="s">
        <v>468</v>
      </c>
      <c r="C106" s="1" t="s">
        <v>299</v>
      </c>
      <c r="D106" s="1" t="s">
        <v>276</v>
      </c>
      <c r="E106" s="1" t="s">
        <v>294</v>
      </c>
      <c r="F106" s="327">
        <v>14939.09</v>
      </c>
      <c r="G106" s="327">
        <f t="shared" ref="G106:G137" si="21">F106*$E$4</f>
        <v>3556.9973290000003</v>
      </c>
      <c r="H106" s="327">
        <f t="shared" si="14"/>
        <v>1244.9241666666667</v>
      </c>
      <c r="I106" s="327">
        <f t="shared" ref="I106:I137" si="22">H106*$E$4</f>
        <v>296.41644408333332</v>
      </c>
      <c r="J106" s="327">
        <f t="shared" si="15"/>
        <v>1244.9241666666667</v>
      </c>
      <c r="K106" s="327">
        <f t="shared" ref="K106:K137" si="23">J106*$E$4</f>
        <v>296.41644408333332</v>
      </c>
      <c r="L106" s="327">
        <f t="shared" si="16"/>
        <v>1106.5992592592593</v>
      </c>
      <c r="M106" s="330">
        <f t="shared" si="17"/>
        <v>22685.36780975926</v>
      </c>
    </row>
    <row r="107" spans="2:13" x14ac:dyDescent="0.2">
      <c r="B107" s="1" t="s">
        <v>469</v>
      </c>
      <c r="C107" s="1" t="s">
        <v>299</v>
      </c>
      <c r="D107" s="1" t="s">
        <v>277</v>
      </c>
      <c r="E107" s="1" t="s">
        <v>294</v>
      </c>
      <c r="F107" s="327">
        <v>14939.09</v>
      </c>
      <c r="G107" s="327">
        <f t="shared" si="21"/>
        <v>3556.9973290000003</v>
      </c>
      <c r="H107" s="327">
        <f t="shared" si="14"/>
        <v>1244.9241666666667</v>
      </c>
      <c r="I107" s="327">
        <f t="shared" si="22"/>
        <v>296.41644408333332</v>
      </c>
      <c r="J107" s="327">
        <f t="shared" si="15"/>
        <v>1244.9241666666667</v>
      </c>
      <c r="K107" s="327">
        <f t="shared" si="23"/>
        <v>296.41644408333332</v>
      </c>
      <c r="L107" s="327">
        <f t="shared" si="16"/>
        <v>1106.5992592592593</v>
      </c>
      <c r="M107" s="330">
        <f t="shared" si="17"/>
        <v>22685.36780975926</v>
      </c>
    </row>
    <row r="108" spans="2:13" x14ac:dyDescent="0.2">
      <c r="B108" s="1" t="s">
        <v>470</v>
      </c>
      <c r="C108" s="1" t="s">
        <v>299</v>
      </c>
      <c r="D108" s="1" t="s">
        <v>278</v>
      </c>
      <c r="E108" s="1" t="s">
        <v>294</v>
      </c>
      <c r="F108" s="327">
        <v>14939.09</v>
      </c>
      <c r="G108" s="327">
        <f t="shared" si="21"/>
        <v>3556.9973290000003</v>
      </c>
      <c r="H108" s="327">
        <f t="shared" si="14"/>
        <v>1244.9241666666667</v>
      </c>
      <c r="I108" s="327">
        <f t="shared" si="22"/>
        <v>296.41644408333332</v>
      </c>
      <c r="J108" s="327">
        <f t="shared" si="15"/>
        <v>1244.9241666666667</v>
      </c>
      <c r="K108" s="327">
        <f t="shared" si="23"/>
        <v>296.41644408333332</v>
      </c>
      <c r="L108" s="327">
        <f t="shared" si="16"/>
        <v>1106.5992592592593</v>
      </c>
      <c r="M108" s="330">
        <f t="shared" si="17"/>
        <v>22685.36780975926</v>
      </c>
    </row>
    <row r="109" spans="2:13" x14ac:dyDescent="0.2">
      <c r="B109" s="1" t="s">
        <v>471</v>
      </c>
      <c r="C109" s="1" t="s">
        <v>299</v>
      </c>
      <c r="D109" s="1" t="s">
        <v>279</v>
      </c>
      <c r="E109" s="1" t="s">
        <v>294</v>
      </c>
      <c r="F109" s="327">
        <v>14939.09</v>
      </c>
      <c r="G109" s="327">
        <f t="shared" si="21"/>
        <v>3556.9973290000003</v>
      </c>
      <c r="H109" s="327">
        <f t="shared" si="14"/>
        <v>1244.9241666666667</v>
      </c>
      <c r="I109" s="327">
        <f t="shared" si="22"/>
        <v>296.41644408333332</v>
      </c>
      <c r="J109" s="327">
        <f t="shared" si="15"/>
        <v>1244.9241666666667</v>
      </c>
      <c r="K109" s="327">
        <f t="shared" si="23"/>
        <v>296.41644408333332</v>
      </c>
      <c r="L109" s="327">
        <f t="shared" si="16"/>
        <v>1106.5992592592593</v>
      </c>
      <c r="M109" s="330">
        <f t="shared" si="17"/>
        <v>22685.36780975926</v>
      </c>
    </row>
    <row r="110" spans="2:13" x14ac:dyDescent="0.2">
      <c r="B110" s="1" t="s">
        <v>472</v>
      </c>
      <c r="C110" s="1" t="s">
        <v>299</v>
      </c>
      <c r="D110" s="1" t="s">
        <v>280</v>
      </c>
      <c r="E110" s="1" t="s">
        <v>294</v>
      </c>
      <c r="F110" s="327">
        <v>14939.09</v>
      </c>
      <c r="G110" s="327">
        <f t="shared" si="21"/>
        <v>3556.9973290000003</v>
      </c>
      <c r="H110" s="327">
        <f t="shared" si="14"/>
        <v>1244.9241666666667</v>
      </c>
      <c r="I110" s="327">
        <f t="shared" si="22"/>
        <v>296.41644408333332</v>
      </c>
      <c r="J110" s="327">
        <f t="shared" si="15"/>
        <v>1244.9241666666667</v>
      </c>
      <c r="K110" s="327">
        <f t="shared" si="23"/>
        <v>296.41644408333332</v>
      </c>
      <c r="L110" s="327">
        <f t="shared" si="16"/>
        <v>1106.5992592592593</v>
      </c>
      <c r="M110" s="330">
        <f t="shared" si="17"/>
        <v>22685.36780975926</v>
      </c>
    </row>
    <row r="111" spans="2:13" x14ac:dyDescent="0.2">
      <c r="B111" s="1" t="s">
        <v>473</v>
      </c>
      <c r="C111" s="1" t="s">
        <v>299</v>
      </c>
      <c r="D111" s="1" t="s">
        <v>281</v>
      </c>
      <c r="E111" s="1" t="s">
        <v>294</v>
      </c>
      <c r="F111" s="327">
        <v>14939.09</v>
      </c>
      <c r="G111" s="327">
        <f t="shared" si="21"/>
        <v>3556.9973290000003</v>
      </c>
      <c r="H111" s="327">
        <f t="shared" si="14"/>
        <v>1244.9241666666667</v>
      </c>
      <c r="I111" s="327">
        <f t="shared" si="22"/>
        <v>296.41644408333332</v>
      </c>
      <c r="J111" s="327">
        <f t="shared" si="15"/>
        <v>1244.9241666666667</v>
      </c>
      <c r="K111" s="327">
        <f t="shared" si="23"/>
        <v>296.41644408333332</v>
      </c>
      <c r="L111" s="327">
        <f t="shared" si="16"/>
        <v>1106.5992592592593</v>
      </c>
      <c r="M111" s="330">
        <f t="shared" si="17"/>
        <v>22685.36780975926</v>
      </c>
    </row>
    <row r="112" spans="2:13" x14ac:dyDescent="0.2">
      <c r="B112" s="1" t="s">
        <v>474</v>
      </c>
      <c r="C112" s="1" t="s">
        <v>299</v>
      </c>
      <c r="D112" s="1" t="s">
        <v>282</v>
      </c>
      <c r="E112" s="1" t="s">
        <v>294</v>
      </c>
      <c r="F112" s="327">
        <v>14939.09</v>
      </c>
      <c r="G112" s="327">
        <f t="shared" si="21"/>
        <v>3556.9973290000003</v>
      </c>
      <c r="H112" s="327">
        <f t="shared" si="14"/>
        <v>1244.9241666666667</v>
      </c>
      <c r="I112" s="327">
        <f t="shared" si="22"/>
        <v>296.41644408333332</v>
      </c>
      <c r="J112" s="327">
        <f t="shared" si="15"/>
        <v>1244.9241666666667</v>
      </c>
      <c r="K112" s="327">
        <f t="shared" si="23"/>
        <v>296.41644408333332</v>
      </c>
      <c r="L112" s="327">
        <f t="shared" si="16"/>
        <v>1106.5992592592593</v>
      </c>
      <c r="M112" s="330">
        <f t="shared" si="17"/>
        <v>22685.36780975926</v>
      </c>
    </row>
    <row r="113" spans="2:13" x14ac:dyDescent="0.2">
      <c r="B113" s="1" t="s">
        <v>475</v>
      </c>
      <c r="C113" s="1" t="s">
        <v>299</v>
      </c>
      <c r="D113" s="1" t="s">
        <v>283</v>
      </c>
      <c r="E113" s="1" t="s">
        <v>295</v>
      </c>
      <c r="F113" s="327">
        <v>14939.09</v>
      </c>
      <c r="G113" s="327">
        <f t="shared" si="21"/>
        <v>3556.9973290000003</v>
      </c>
      <c r="H113" s="327">
        <f t="shared" si="14"/>
        <v>1244.9241666666667</v>
      </c>
      <c r="I113" s="327">
        <f t="shared" si="22"/>
        <v>296.41644408333332</v>
      </c>
      <c r="J113" s="327">
        <f t="shared" si="15"/>
        <v>1244.9241666666667</v>
      </c>
      <c r="K113" s="327">
        <f t="shared" si="23"/>
        <v>296.41644408333332</v>
      </c>
      <c r="L113" s="327">
        <f t="shared" si="16"/>
        <v>1106.5992592592593</v>
      </c>
      <c r="M113" s="330">
        <f t="shared" si="17"/>
        <v>22685.36780975926</v>
      </c>
    </row>
    <row r="114" spans="2:13" x14ac:dyDescent="0.2">
      <c r="B114" s="1" t="s">
        <v>476</v>
      </c>
      <c r="C114" s="1" t="s">
        <v>299</v>
      </c>
      <c r="D114" s="1" t="s">
        <v>284</v>
      </c>
      <c r="E114" s="1" t="s">
        <v>295</v>
      </c>
      <c r="F114" s="327">
        <v>14939.09</v>
      </c>
      <c r="G114" s="327">
        <f t="shared" si="21"/>
        <v>3556.9973290000003</v>
      </c>
      <c r="H114" s="327">
        <f t="shared" si="14"/>
        <v>1244.9241666666667</v>
      </c>
      <c r="I114" s="327">
        <f t="shared" si="22"/>
        <v>296.41644408333332</v>
      </c>
      <c r="J114" s="327">
        <f t="shared" si="15"/>
        <v>1244.9241666666667</v>
      </c>
      <c r="K114" s="327">
        <f t="shared" si="23"/>
        <v>296.41644408333332</v>
      </c>
      <c r="L114" s="327">
        <f t="shared" si="16"/>
        <v>1106.5992592592593</v>
      </c>
      <c r="M114" s="330">
        <f t="shared" si="17"/>
        <v>22685.36780975926</v>
      </c>
    </row>
    <row r="115" spans="2:13" x14ac:dyDescent="0.2">
      <c r="B115" s="1" t="s">
        <v>477</v>
      </c>
      <c r="C115" s="1" t="s">
        <v>299</v>
      </c>
      <c r="D115" s="1" t="s">
        <v>285</v>
      </c>
      <c r="E115" s="1" t="s">
        <v>295</v>
      </c>
      <c r="F115" s="327">
        <v>14939.09</v>
      </c>
      <c r="G115" s="327">
        <f t="shared" si="21"/>
        <v>3556.9973290000003</v>
      </c>
      <c r="H115" s="327">
        <f t="shared" si="14"/>
        <v>1244.9241666666667</v>
      </c>
      <c r="I115" s="327">
        <f t="shared" si="22"/>
        <v>296.41644408333332</v>
      </c>
      <c r="J115" s="327">
        <f t="shared" si="15"/>
        <v>1244.9241666666667</v>
      </c>
      <c r="K115" s="327">
        <f t="shared" si="23"/>
        <v>296.41644408333332</v>
      </c>
      <c r="L115" s="327">
        <f t="shared" si="16"/>
        <v>1106.5992592592593</v>
      </c>
      <c r="M115" s="330">
        <f t="shared" si="17"/>
        <v>22685.36780975926</v>
      </c>
    </row>
    <row r="116" spans="2:13" x14ac:dyDescent="0.2">
      <c r="B116" s="1" t="s">
        <v>478</v>
      </c>
      <c r="C116" s="1" t="s">
        <v>299</v>
      </c>
      <c r="D116" s="1" t="s">
        <v>286</v>
      </c>
      <c r="E116" s="1" t="s">
        <v>295</v>
      </c>
      <c r="F116" s="327">
        <v>14939.09</v>
      </c>
      <c r="G116" s="327">
        <f t="shared" si="21"/>
        <v>3556.9973290000003</v>
      </c>
      <c r="H116" s="327">
        <f t="shared" si="14"/>
        <v>1244.9241666666667</v>
      </c>
      <c r="I116" s="327">
        <f t="shared" si="22"/>
        <v>296.41644408333332</v>
      </c>
      <c r="J116" s="327">
        <f t="shared" si="15"/>
        <v>1244.9241666666667</v>
      </c>
      <c r="K116" s="327">
        <f t="shared" si="23"/>
        <v>296.41644408333332</v>
      </c>
      <c r="L116" s="327">
        <f t="shared" si="16"/>
        <v>1106.5992592592593</v>
      </c>
      <c r="M116" s="330">
        <f t="shared" si="17"/>
        <v>22685.36780975926</v>
      </c>
    </row>
    <row r="117" spans="2:13" x14ac:dyDescent="0.2">
      <c r="B117" s="1" t="s">
        <v>479</v>
      </c>
      <c r="C117" s="1" t="s">
        <v>299</v>
      </c>
      <c r="D117" s="1" t="s">
        <v>287</v>
      </c>
      <c r="E117" s="1" t="s">
        <v>295</v>
      </c>
      <c r="F117" s="327">
        <v>14939.09</v>
      </c>
      <c r="G117" s="327">
        <f t="shared" si="21"/>
        <v>3556.9973290000003</v>
      </c>
      <c r="H117" s="327">
        <f t="shared" si="14"/>
        <v>1244.9241666666667</v>
      </c>
      <c r="I117" s="327">
        <f t="shared" si="22"/>
        <v>296.41644408333332</v>
      </c>
      <c r="J117" s="327">
        <f t="shared" si="15"/>
        <v>1244.9241666666667</v>
      </c>
      <c r="K117" s="327">
        <f t="shared" si="23"/>
        <v>296.41644408333332</v>
      </c>
      <c r="L117" s="327">
        <f t="shared" si="16"/>
        <v>1106.5992592592593</v>
      </c>
      <c r="M117" s="330">
        <f t="shared" si="17"/>
        <v>22685.36780975926</v>
      </c>
    </row>
    <row r="118" spans="2:13" x14ac:dyDescent="0.2">
      <c r="B118" s="1" t="s">
        <v>480</v>
      </c>
      <c r="C118" s="1" t="s">
        <v>299</v>
      </c>
      <c r="D118" s="1" t="s">
        <v>288</v>
      </c>
      <c r="E118" s="1" t="s">
        <v>295</v>
      </c>
      <c r="F118" s="327">
        <v>14939.09</v>
      </c>
      <c r="G118" s="327">
        <f t="shared" si="21"/>
        <v>3556.9973290000003</v>
      </c>
      <c r="H118" s="327">
        <f t="shared" si="14"/>
        <v>1244.9241666666667</v>
      </c>
      <c r="I118" s="327">
        <f t="shared" si="22"/>
        <v>296.41644408333332</v>
      </c>
      <c r="J118" s="327">
        <f t="shared" si="15"/>
        <v>1244.9241666666667</v>
      </c>
      <c r="K118" s="327">
        <f t="shared" si="23"/>
        <v>296.41644408333332</v>
      </c>
      <c r="L118" s="327">
        <f t="shared" si="16"/>
        <v>1106.5992592592593</v>
      </c>
      <c r="M118" s="330">
        <f t="shared" si="17"/>
        <v>22685.36780975926</v>
      </c>
    </row>
    <row r="119" spans="2:13" x14ac:dyDescent="0.2">
      <c r="B119" s="1" t="s">
        <v>481</v>
      </c>
      <c r="C119" s="1" t="s">
        <v>299</v>
      </c>
      <c r="D119" s="1" t="s">
        <v>289</v>
      </c>
      <c r="E119" s="1" t="s">
        <v>295</v>
      </c>
      <c r="F119" s="327">
        <v>14939.09</v>
      </c>
      <c r="G119" s="327">
        <f t="shared" si="21"/>
        <v>3556.9973290000003</v>
      </c>
      <c r="H119" s="327">
        <f t="shared" si="14"/>
        <v>1244.9241666666667</v>
      </c>
      <c r="I119" s="327">
        <f t="shared" si="22"/>
        <v>296.41644408333332</v>
      </c>
      <c r="J119" s="327">
        <f t="shared" si="15"/>
        <v>1244.9241666666667</v>
      </c>
      <c r="K119" s="327">
        <f t="shared" si="23"/>
        <v>296.41644408333332</v>
      </c>
      <c r="L119" s="327">
        <f t="shared" si="16"/>
        <v>1106.5992592592593</v>
      </c>
      <c r="M119" s="330">
        <f t="shared" si="17"/>
        <v>22685.36780975926</v>
      </c>
    </row>
    <row r="120" spans="2:13" x14ac:dyDescent="0.2">
      <c r="B120" s="1" t="s">
        <v>482</v>
      </c>
      <c r="C120" s="1" t="s">
        <v>299</v>
      </c>
      <c r="D120" s="1" t="s">
        <v>290</v>
      </c>
      <c r="E120" s="1" t="s">
        <v>295</v>
      </c>
      <c r="F120" s="327">
        <v>14939.09</v>
      </c>
      <c r="G120" s="327">
        <f t="shared" si="21"/>
        <v>3556.9973290000003</v>
      </c>
      <c r="H120" s="327">
        <f t="shared" si="14"/>
        <v>1244.9241666666667</v>
      </c>
      <c r="I120" s="327">
        <f t="shared" si="22"/>
        <v>296.41644408333332</v>
      </c>
      <c r="J120" s="327">
        <f t="shared" si="15"/>
        <v>1244.9241666666667</v>
      </c>
      <c r="K120" s="327">
        <f t="shared" si="23"/>
        <v>296.41644408333332</v>
      </c>
      <c r="L120" s="327">
        <f t="shared" si="16"/>
        <v>1106.5992592592593</v>
      </c>
      <c r="M120" s="330">
        <f t="shared" si="17"/>
        <v>22685.36780975926</v>
      </c>
    </row>
    <row r="121" spans="2:13" x14ac:dyDescent="0.2">
      <c r="B121" s="1" t="s">
        <v>483</v>
      </c>
      <c r="C121" s="1" t="s">
        <v>299</v>
      </c>
      <c r="D121" s="1" t="s">
        <v>291</v>
      </c>
      <c r="E121" s="1" t="s">
        <v>295</v>
      </c>
      <c r="F121" s="327">
        <v>14939.09</v>
      </c>
      <c r="G121" s="327">
        <f t="shared" si="21"/>
        <v>3556.9973290000003</v>
      </c>
      <c r="H121" s="327">
        <f t="shared" si="14"/>
        <v>1244.9241666666667</v>
      </c>
      <c r="I121" s="327">
        <f t="shared" si="22"/>
        <v>296.41644408333332</v>
      </c>
      <c r="J121" s="327">
        <f t="shared" si="15"/>
        <v>1244.9241666666667</v>
      </c>
      <c r="K121" s="327">
        <f t="shared" si="23"/>
        <v>296.41644408333332</v>
      </c>
      <c r="L121" s="327">
        <f t="shared" si="16"/>
        <v>1106.5992592592593</v>
      </c>
      <c r="M121" s="330">
        <f t="shared" si="17"/>
        <v>22685.36780975926</v>
      </c>
    </row>
    <row r="122" spans="2:13" x14ac:dyDescent="0.2">
      <c r="B122" s="1" t="s">
        <v>484</v>
      </c>
      <c r="C122" s="1" t="s">
        <v>299</v>
      </c>
      <c r="D122" s="1" t="s">
        <v>292</v>
      </c>
      <c r="E122" s="1" t="s">
        <v>295</v>
      </c>
      <c r="F122" s="327">
        <v>14939.09</v>
      </c>
      <c r="G122" s="327">
        <f t="shared" si="21"/>
        <v>3556.9973290000003</v>
      </c>
      <c r="H122" s="327">
        <f t="shared" si="14"/>
        <v>1244.9241666666667</v>
      </c>
      <c r="I122" s="327">
        <f t="shared" si="22"/>
        <v>296.41644408333332</v>
      </c>
      <c r="J122" s="327">
        <f t="shared" si="15"/>
        <v>1244.9241666666667</v>
      </c>
      <c r="K122" s="327">
        <f t="shared" si="23"/>
        <v>296.41644408333332</v>
      </c>
      <c r="L122" s="327">
        <f t="shared" si="16"/>
        <v>1106.5992592592593</v>
      </c>
      <c r="M122" s="330">
        <f t="shared" si="17"/>
        <v>22685.36780975926</v>
      </c>
    </row>
    <row r="123" spans="2:13" x14ac:dyDescent="0.2">
      <c r="B123" s="1" t="s">
        <v>485</v>
      </c>
      <c r="C123" s="1" t="s">
        <v>299</v>
      </c>
      <c r="D123" s="1" t="s">
        <v>293</v>
      </c>
      <c r="E123" s="1" t="s">
        <v>295</v>
      </c>
      <c r="F123" s="327">
        <v>14939.09</v>
      </c>
      <c r="G123" s="327">
        <f t="shared" si="21"/>
        <v>3556.9973290000003</v>
      </c>
      <c r="H123" s="327">
        <f t="shared" si="14"/>
        <v>1244.9241666666667</v>
      </c>
      <c r="I123" s="327">
        <f t="shared" si="22"/>
        <v>296.41644408333332</v>
      </c>
      <c r="J123" s="327">
        <f t="shared" si="15"/>
        <v>1244.9241666666667</v>
      </c>
      <c r="K123" s="327">
        <f t="shared" si="23"/>
        <v>296.41644408333332</v>
      </c>
      <c r="L123" s="327">
        <f t="shared" si="16"/>
        <v>1106.5992592592593</v>
      </c>
      <c r="M123" s="330">
        <f t="shared" si="17"/>
        <v>22685.36780975926</v>
      </c>
    </row>
    <row r="124" spans="2:13" x14ac:dyDescent="0.2">
      <c r="B124" s="1" t="s">
        <v>486</v>
      </c>
      <c r="C124" s="1" t="s">
        <v>300</v>
      </c>
      <c r="D124" s="1" t="s">
        <v>301</v>
      </c>
      <c r="E124" s="1"/>
      <c r="F124" s="327">
        <v>27109.83</v>
      </c>
      <c r="G124" s="327">
        <f t="shared" si="21"/>
        <v>6454.850523000001</v>
      </c>
      <c r="H124" s="327">
        <f t="shared" si="14"/>
        <v>2259.1525000000001</v>
      </c>
      <c r="I124" s="327">
        <f t="shared" si="22"/>
        <v>537.90421025000001</v>
      </c>
      <c r="J124" s="327">
        <f t="shared" si="15"/>
        <v>2259.1525000000001</v>
      </c>
      <c r="K124" s="327">
        <f t="shared" si="23"/>
        <v>537.90421025000001</v>
      </c>
      <c r="L124" s="327">
        <f t="shared" si="16"/>
        <v>2008.1355555555556</v>
      </c>
      <c r="M124" s="330">
        <f t="shared" si="17"/>
        <v>41166.929499055565</v>
      </c>
    </row>
    <row r="125" spans="2:13" x14ac:dyDescent="0.2">
      <c r="B125" s="1" t="s">
        <v>487</v>
      </c>
      <c r="C125" s="1" t="s">
        <v>300</v>
      </c>
      <c r="D125" s="1" t="s">
        <v>302</v>
      </c>
      <c r="E125" s="1"/>
      <c r="F125" s="327">
        <v>14939.09</v>
      </c>
      <c r="G125" s="327">
        <f t="shared" si="21"/>
        <v>3556.9973290000003</v>
      </c>
      <c r="H125" s="327">
        <f t="shared" si="14"/>
        <v>1244.9241666666667</v>
      </c>
      <c r="I125" s="327">
        <f t="shared" si="22"/>
        <v>296.41644408333332</v>
      </c>
      <c r="J125" s="327">
        <f t="shared" si="15"/>
        <v>1244.9241666666667</v>
      </c>
      <c r="K125" s="327">
        <f t="shared" si="23"/>
        <v>296.41644408333332</v>
      </c>
      <c r="L125" s="327">
        <f t="shared" si="16"/>
        <v>1106.5992592592593</v>
      </c>
      <c r="M125" s="330">
        <f t="shared" si="17"/>
        <v>22685.36780975926</v>
      </c>
    </row>
    <row r="126" spans="2:13" x14ac:dyDescent="0.2">
      <c r="B126" s="1" t="s">
        <v>488</v>
      </c>
      <c r="C126" s="1" t="s">
        <v>300</v>
      </c>
      <c r="D126" s="1" t="s">
        <v>303</v>
      </c>
      <c r="E126" s="1"/>
      <c r="F126" s="327">
        <v>9723.3700000000008</v>
      </c>
      <c r="G126" s="327">
        <f t="shared" si="21"/>
        <v>2315.1343970000003</v>
      </c>
      <c r="H126" s="327">
        <f t="shared" si="14"/>
        <v>810.28083333333336</v>
      </c>
      <c r="I126" s="327">
        <f t="shared" si="22"/>
        <v>192.92786641666669</v>
      </c>
      <c r="J126" s="327">
        <f t="shared" si="15"/>
        <v>810.28083333333336</v>
      </c>
      <c r="K126" s="327">
        <f t="shared" si="23"/>
        <v>192.92786641666669</v>
      </c>
      <c r="L126" s="327">
        <f t="shared" si="16"/>
        <v>720.24962962962968</v>
      </c>
      <c r="M126" s="330">
        <f t="shared" si="17"/>
        <v>14765.171426129631</v>
      </c>
    </row>
    <row r="127" spans="2:13" x14ac:dyDescent="0.2">
      <c r="B127" s="1" t="s">
        <v>489</v>
      </c>
      <c r="C127" s="1" t="s">
        <v>300</v>
      </c>
      <c r="D127" s="1" t="s">
        <v>304</v>
      </c>
      <c r="E127" s="1"/>
      <c r="F127" s="327">
        <v>14421.64</v>
      </c>
      <c r="G127" s="327">
        <f t="shared" si="21"/>
        <v>3433.7924840000001</v>
      </c>
      <c r="H127" s="327">
        <f t="shared" si="14"/>
        <v>1201.8033333333333</v>
      </c>
      <c r="I127" s="327">
        <f t="shared" si="22"/>
        <v>286.14937366666669</v>
      </c>
      <c r="J127" s="327">
        <f t="shared" si="15"/>
        <v>1201.8033333333333</v>
      </c>
      <c r="K127" s="327">
        <f t="shared" si="23"/>
        <v>286.14937366666669</v>
      </c>
      <c r="L127" s="327">
        <f t="shared" si="16"/>
        <v>1068.2696296296297</v>
      </c>
      <c r="M127" s="330">
        <f t="shared" si="17"/>
        <v>21899.607527629629</v>
      </c>
    </row>
    <row r="128" spans="2:13" x14ac:dyDescent="0.2">
      <c r="B128" s="1" t="s">
        <v>490</v>
      </c>
      <c r="C128" s="1" t="s">
        <v>300</v>
      </c>
      <c r="D128" s="1" t="s">
        <v>305</v>
      </c>
      <c r="E128" s="1"/>
      <c r="F128" s="327">
        <v>14939.09</v>
      </c>
      <c r="G128" s="327">
        <f t="shared" si="21"/>
        <v>3556.9973290000003</v>
      </c>
      <c r="H128" s="327">
        <f t="shared" ref="H128:H131" si="24">F128/12</f>
        <v>1244.9241666666667</v>
      </c>
      <c r="I128" s="327">
        <f t="shared" si="22"/>
        <v>296.41644408333332</v>
      </c>
      <c r="J128" s="327">
        <f t="shared" ref="J128:J131" si="25">F128/12</f>
        <v>1244.9241666666667</v>
      </c>
      <c r="K128" s="327">
        <f t="shared" si="23"/>
        <v>296.41644408333332</v>
      </c>
      <c r="L128" s="327">
        <f t="shared" ref="L128:L131" si="26">F128/13.5</f>
        <v>1106.5992592592593</v>
      </c>
      <c r="M128" s="330">
        <f t="shared" ref="M128:M131" si="27">SUM(G128:L128)+F128</f>
        <v>22685.36780975926</v>
      </c>
    </row>
    <row r="129" spans="2:13" x14ac:dyDescent="0.2">
      <c r="B129" s="1" t="s">
        <v>491</v>
      </c>
      <c r="C129" s="1" t="s">
        <v>300</v>
      </c>
      <c r="D129" s="1" t="s">
        <v>306</v>
      </c>
      <c r="E129" s="1"/>
      <c r="F129" s="327">
        <v>14939.09</v>
      </c>
      <c r="G129" s="327">
        <f t="shared" si="21"/>
        <v>3556.9973290000003</v>
      </c>
      <c r="H129" s="327">
        <f t="shared" si="24"/>
        <v>1244.9241666666667</v>
      </c>
      <c r="I129" s="327">
        <f t="shared" si="22"/>
        <v>296.41644408333332</v>
      </c>
      <c r="J129" s="327">
        <f t="shared" si="25"/>
        <v>1244.9241666666667</v>
      </c>
      <c r="K129" s="327">
        <f t="shared" si="23"/>
        <v>296.41644408333332</v>
      </c>
      <c r="L129" s="327">
        <f t="shared" si="26"/>
        <v>1106.5992592592593</v>
      </c>
      <c r="M129" s="330">
        <f t="shared" si="27"/>
        <v>22685.36780975926</v>
      </c>
    </row>
    <row r="130" spans="2:13" x14ac:dyDescent="0.2">
      <c r="B130" s="1" t="s">
        <v>492</v>
      </c>
      <c r="C130" s="1" t="s">
        <v>300</v>
      </c>
      <c r="D130" s="1" t="s">
        <v>307</v>
      </c>
      <c r="E130" s="1"/>
      <c r="F130" s="327">
        <v>14939.09</v>
      </c>
      <c r="G130" s="327">
        <f t="shared" si="21"/>
        <v>3556.9973290000003</v>
      </c>
      <c r="H130" s="327">
        <f t="shared" si="24"/>
        <v>1244.9241666666667</v>
      </c>
      <c r="I130" s="327">
        <f t="shared" si="22"/>
        <v>296.41644408333332</v>
      </c>
      <c r="J130" s="327">
        <f t="shared" si="25"/>
        <v>1244.9241666666667</v>
      </c>
      <c r="K130" s="327">
        <f t="shared" si="23"/>
        <v>296.41644408333332</v>
      </c>
      <c r="L130" s="327">
        <f t="shared" si="26"/>
        <v>1106.5992592592593</v>
      </c>
      <c r="M130" s="330">
        <f t="shared" si="27"/>
        <v>22685.36780975926</v>
      </c>
    </row>
    <row r="131" spans="2:13" x14ac:dyDescent="0.2">
      <c r="B131" s="1" t="s">
        <v>493</v>
      </c>
      <c r="C131" s="1" t="s">
        <v>300</v>
      </c>
      <c r="D131" s="1" t="s">
        <v>308</v>
      </c>
      <c r="E131" s="1"/>
      <c r="F131" s="327">
        <v>14939.09</v>
      </c>
      <c r="G131" s="327">
        <f t="shared" si="21"/>
        <v>3556.9973290000003</v>
      </c>
      <c r="H131" s="327">
        <f t="shared" si="24"/>
        <v>1244.9241666666667</v>
      </c>
      <c r="I131" s="327">
        <f t="shared" si="22"/>
        <v>296.41644408333332</v>
      </c>
      <c r="J131" s="327">
        <f t="shared" si="25"/>
        <v>1244.9241666666667</v>
      </c>
      <c r="K131" s="327">
        <f t="shared" si="23"/>
        <v>296.41644408333332</v>
      </c>
      <c r="L131" s="327">
        <f t="shared" si="26"/>
        <v>1106.5992592592593</v>
      </c>
      <c r="M131" s="330">
        <f t="shared" si="27"/>
        <v>22685.36780975926</v>
      </c>
    </row>
    <row r="132" spans="2:13" x14ac:dyDescent="0.2">
      <c r="B132" s="1" t="s">
        <v>494</v>
      </c>
      <c r="C132" s="1" t="s">
        <v>300</v>
      </c>
      <c r="D132" s="1" t="s">
        <v>309</v>
      </c>
      <c r="E132" s="1"/>
      <c r="F132" s="327">
        <v>14939.09</v>
      </c>
      <c r="G132" s="327">
        <f t="shared" si="21"/>
        <v>3556.9973290000003</v>
      </c>
      <c r="H132" s="327">
        <f t="shared" ref="H132:H143" si="28">F132/12</f>
        <v>1244.9241666666667</v>
      </c>
      <c r="I132" s="327">
        <f t="shared" si="22"/>
        <v>296.41644408333332</v>
      </c>
      <c r="J132" s="327">
        <f t="shared" ref="J132:J143" si="29">F132/12</f>
        <v>1244.9241666666667</v>
      </c>
      <c r="K132" s="327">
        <f t="shared" si="23"/>
        <v>296.41644408333332</v>
      </c>
      <c r="L132" s="327">
        <f t="shared" ref="L132:L143" si="30">F132/13.5</f>
        <v>1106.5992592592593</v>
      </c>
      <c r="M132" s="330">
        <f t="shared" ref="M132:M143" si="31">SUM(G132:L132)+F132</f>
        <v>22685.36780975926</v>
      </c>
    </row>
    <row r="133" spans="2:13" x14ac:dyDescent="0.2">
      <c r="B133" s="1" t="s">
        <v>495</v>
      </c>
      <c r="C133" s="1" t="s">
        <v>300</v>
      </c>
      <c r="D133" s="1" t="s">
        <v>310</v>
      </c>
      <c r="E133" s="1"/>
      <c r="F133" s="327">
        <v>14939.09</v>
      </c>
      <c r="G133" s="327">
        <f t="shared" si="21"/>
        <v>3556.9973290000003</v>
      </c>
      <c r="H133" s="327">
        <f t="shared" si="28"/>
        <v>1244.9241666666667</v>
      </c>
      <c r="I133" s="327">
        <f t="shared" si="22"/>
        <v>296.41644408333332</v>
      </c>
      <c r="J133" s="327">
        <f t="shared" si="29"/>
        <v>1244.9241666666667</v>
      </c>
      <c r="K133" s="327">
        <f t="shared" si="23"/>
        <v>296.41644408333332</v>
      </c>
      <c r="L133" s="327">
        <f t="shared" si="30"/>
        <v>1106.5992592592593</v>
      </c>
      <c r="M133" s="330">
        <f t="shared" si="31"/>
        <v>22685.36780975926</v>
      </c>
    </row>
    <row r="134" spans="2:13" x14ac:dyDescent="0.2">
      <c r="B134" s="1" t="s">
        <v>496</v>
      </c>
      <c r="C134" s="1" t="s">
        <v>300</v>
      </c>
      <c r="D134" s="1" t="s">
        <v>311</v>
      </c>
      <c r="E134" s="1"/>
      <c r="F134" s="327">
        <v>14939.09</v>
      </c>
      <c r="G134" s="327">
        <f t="shared" si="21"/>
        <v>3556.9973290000003</v>
      </c>
      <c r="H134" s="327">
        <f t="shared" si="28"/>
        <v>1244.9241666666667</v>
      </c>
      <c r="I134" s="327">
        <f t="shared" si="22"/>
        <v>296.41644408333332</v>
      </c>
      <c r="J134" s="327">
        <f t="shared" si="29"/>
        <v>1244.9241666666667</v>
      </c>
      <c r="K134" s="327">
        <f t="shared" si="23"/>
        <v>296.41644408333332</v>
      </c>
      <c r="L134" s="327">
        <f t="shared" si="30"/>
        <v>1106.5992592592593</v>
      </c>
      <c r="M134" s="330">
        <f t="shared" si="31"/>
        <v>22685.36780975926</v>
      </c>
    </row>
    <row r="135" spans="2:13" x14ac:dyDescent="0.2">
      <c r="B135" s="1" t="s">
        <v>497</v>
      </c>
      <c r="C135" s="1" t="s">
        <v>300</v>
      </c>
      <c r="D135" s="1" t="s">
        <v>312</v>
      </c>
      <c r="E135" s="1"/>
      <c r="F135" s="327">
        <v>14939.09</v>
      </c>
      <c r="G135" s="327">
        <f t="shared" si="21"/>
        <v>3556.9973290000003</v>
      </c>
      <c r="H135" s="327">
        <f t="shared" si="28"/>
        <v>1244.9241666666667</v>
      </c>
      <c r="I135" s="327">
        <f t="shared" si="22"/>
        <v>296.41644408333332</v>
      </c>
      <c r="J135" s="327">
        <f t="shared" si="29"/>
        <v>1244.9241666666667</v>
      </c>
      <c r="K135" s="327">
        <f t="shared" si="23"/>
        <v>296.41644408333332</v>
      </c>
      <c r="L135" s="327">
        <f t="shared" si="30"/>
        <v>1106.5992592592593</v>
      </c>
      <c r="M135" s="330">
        <f t="shared" si="31"/>
        <v>22685.36780975926</v>
      </c>
    </row>
    <row r="136" spans="2:13" x14ac:dyDescent="0.2">
      <c r="B136" s="1" t="s">
        <v>498</v>
      </c>
      <c r="C136" s="1" t="s">
        <v>300</v>
      </c>
      <c r="D136" s="1" t="s">
        <v>313</v>
      </c>
      <c r="E136" s="1"/>
      <c r="F136" s="327">
        <v>14939.09</v>
      </c>
      <c r="G136" s="327">
        <f t="shared" si="21"/>
        <v>3556.9973290000003</v>
      </c>
      <c r="H136" s="327">
        <f t="shared" si="28"/>
        <v>1244.9241666666667</v>
      </c>
      <c r="I136" s="327">
        <f t="shared" si="22"/>
        <v>296.41644408333332</v>
      </c>
      <c r="J136" s="327">
        <f t="shared" si="29"/>
        <v>1244.9241666666667</v>
      </c>
      <c r="K136" s="327">
        <f t="shared" si="23"/>
        <v>296.41644408333332</v>
      </c>
      <c r="L136" s="327">
        <f t="shared" si="30"/>
        <v>1106.5992592592593</v>
      </c>
      <c r="M136" s="330">
        <f t="shared" si="31"/>
        <v>22685.36780975926</v>
      </c>
    </row>
    <row r="137" spans="2:13" x14ac:dyDescent="0.2">
      <c r="B137" s="1" t="s">
        <v>499</v>
      </c>
      <c r="C137" s="1" t="s">
        <v>300</v>
      </c>
      <c r="D137" s="1" t="s">
        <v>314</v>
      </c>
      <c r="E137" s="1"/>
      <c r="F137" s="327">
        <v>14939.09</v>
      </c>
      <c r="G137" s="327">
        <f t="shared" si="21"/>
        <v>3556.9973290000003</v>
      </c>
      <c r="H137" s="327">
        <f t="shared" si="28"/>
        <v>1244.9241666666667</v>
      </c>
      <c r="I137" s="327">
        <f t="shared" si="22"/>
        <v>296.41644408333332</v>
      </c>
      <c r="J137" s="327">
        <f t="shared" si="29"/>
        <v>1244.9241666666667</v>
      </c>
      <c r="K137" s="327">
        <f t="shared" si="23"/>
        <v>296.41644408333332</v>
      </c>
      <c r="L137" s="327">
        <f t="shared" si="30"/>
        <v>1106.5992592592593</v>
      </c>
      <c r="M137" s="330">
        <f t="shared" si="31"/>
        <v>22685.36780975926</v>
      </c>
    </row>
    <row r="138" spans="2:13" x14ac:dyDescent="0.2">
      <c r="B138" s="1" t="s">
        <v>500</v>
      </c>
      <c r="C138" s="1" t="s">
        <v>300</v>
      </c>
      <c r="D138" s="1" t="s">
        <v>315</v>
      </c>
      <c r="E138" s="1"/>
      <c r="F138" s="327">
        <v>14939.09</v>
      </c>
      <c r="G138" s="327">
        <f t="shared" ref="G138:G169" si="32">F138*$E$4</f>
        <v>3556.9973290000003</v>
      </c>
      <c r="H138" s="327">
        <f t="shared" si="28"/>
        <v>1244.9241666666667</v>
      </c>
      <c r="I138" s="327">
        <f t="shared" ref="I138:I169" si="33">H138*$E$4</f>
        <v>296.41644408333332</v>
      </c>
      <c r="J138" s="327">
        <f t="shared" si="29"/>
        <v>1244.9241666666667</v>
      </c>
      <c r="K138" s="327">
        <f t="shared" ref="K138:K169" si="34">J138*$E$4</f>
        <v>296.41644408333332</v>
      </c>
      <c r="L138" s="327">
        <f t="shared" si="30"/>
        <v>1106.5992592592593</v>
      </c>
      <c r="M138" s="330">
        <f t="shared" si="31"/>
        <v>22685.36780975926</v>
      </c>
    </row>
    <row r="139" spans="2:13" x14ac:dyDescent="0.2">
      <c r="B139" s="1" t="s">
        <v>501</v>
      </c>
      <c r="C139" s="1" t="s">
        <v>300</v>
      </c>
      <c r="D139" s="1" t="s">
        <v>316</v>
      </c>
      <c r="E139" s="1"/>
      <c r="F139" s="327">
        <v>14939.09</v>
      </c>
      <c r="G139" s="327">
        <f t="shared" si="32"/>
        <v>3556.9973290000003</v>
      </c>
      <c r="H139" s="327">
        <f t="shared" si="28"/>
        <v>1244.9241666666667</v>
      </c>
      <c r="I139" s="327">
        <f t="shared" si="33"/>
        <v>296.41644408333332</v>
      </c>
      <c r="J139" s="327">
        <f t="shared" si="29"/>
        <v>1244.9241666666667</v>
      </c>
      <c r="K139" s="327">
        <f t="shared" si="34"/>
        <v>296.41644408333332</v>
      </c>
      <c r="L139" s="327">
        <f t="shared" si="30"/>
        <v>1106.5992592592593</v>
      </c>
      <c r="M139" s="330">
        <f t="shared" si="31"/>
        <v>22685.36780975926</v>
      </c>
    </row>
    <row r="140" spans="2:13" x14ac:dyDescent="0.2">
      <c r="B140" s="1" t="s">
        <v>502</v>
      </c>
      <c r="C140" s="1" t="s">
        <v>317</v>
      </c>
      <c r="D140" s="1" t="s">
        <v>317</v>
      </c>
      <c r="E140" s="1"/>
      <c r="F140" s="327">
        <v>24078.080000000002</v>
      </c>
      <c r="G140" s="327">
        <f t="shared" si="32"/>
        <v>5732.9908480000004</v>
      </c>
      <c r="H140" s="327">
        <f t="shared" si="28"/>
        <v>2006.5066666666669</v>
      </c>
      <c r="I140" s="327">
        <f t="shared" si="33"/>
        <v>477.74923733333338</v>
      </c>
      <c r="J140" s="327">
        <f t="shared" si="29"/>
        <v>2006.5066666666669</v>
      </c>
      <c r="K140" s="327">
        <f t="shared" si="34"/>
        <v>477.74923733333338</v>
      </c>
      <c r="L140" s="327">
        <f t="shared" si="30"/>
        <v>1783.5614814814817</v>
      </c>
      <c r="M140" s="330">
        <f t="shared" si="31"/>
        <v>36563.144137481482</v>
      </c>
    </row>
    <row r="141" spans="2:13" x14ac:dyDescent="0.2">
      <c r="B141" s="1" t="s">
        <v>503</v>
      </c>
      <c r="C141" s="1" t="s">
        <v>318</v>
      </c>
      <c r="D141" s="1" t="s">
        <v>319</v>
      </c>
      <c r="E141" s="1"/>
      <c r="F141" s="327">
        <v>30845.74</v>
      </c>
      <c r="G141" s="327">
        <f t="shared" si="32"/>
        <v>7344.3706940000002</v>
      </c>
      <c r="H141" s="327">
        <f t="shared" si="28"/>
        <v>2570.4783333333335</v>
      </c>
      <c r="I141" s="327">
        <f t="shared" si="33"/>
        <v>612.03089116666672</v>
      </c>
      <c r="J141" s="327">
        <f t="shared" si="29"/>
        <v>2570.4783333333335</v>
      </c>
      <c r="K141" s="327">
        <f t="shared" si="34"/>
        <v>612.03089116666672</v>
      </c>
      <c r="L141" s="327">
        <f t="shared" si="30"/>
        <v>2284.8696296296298</v>
      </c>
      <c r="M141" s="330">
        <f t="shared" si="31"/>
        <v>46839.998772629631</v>
      </c>
    </row>
    <row r="142" spans="2:13" x14ac:dyDescent="0.2">
      <c r="B142" s="1" t="s">
        <v>504</v>
      </c>
      <c r="C142" s="1" t="s">
        <v>318</v>
      </c>
      <c r="D142" s="1" t="s">
        <v>320</v>
      </c>
      <c r="E142" s="1"/>
      <c r="F142" s="327">
        <v>21465.279999999999</v>
      </c>
      <c r="G142" s="327">
        <f t="shared" si="32"/>
        <v>5110.8831680000003</v>
      </c>
      <c r="H142" s="327">
        <f t="shared" si="28"/>
        <v>1788.7733333333333</v>
      </c>
      <c r="I142" s="327">
        <f t="shared" si="33"/>
        <v>425.90693066666665</v>
      </c>
      <c r="J142" s="327">
        <f t="shared" si="29"/>
        <v>1788.7733333333333</v>
      </c>
      <c r="K142" s="327">
        <f t="shared" si="34"/>
        <v>425.90693066666665</v>
      </c>
      <c r="L142" s="327">
        <f t="shared" si="30"/>
        <v>1590.0207407407406</v>
      </c>
      <c r="M142" s="330">
        <f t="shared" si="31"/>
        <v>32595.54443674074</v>
      </c>
    </row>
    <row r="143" spans="2:13" x14ac:dyDescent="0.2">
      <c r="B143" s="1" t="s">
        <v>505</v>
      </c>
      <c r="C143" s="1" t="s">
        <v>323</v>
      </c>
      <c r="D143" s="1" t="s">
        <v>321</v>
      </c>
      <c r="E143" s="1"/>
      <c r="F143" s="327">
        <v>13167.65</v>
      </c>
      <c r="G143" s="327">
        <f t="shared" si="32"/>
        <v>3135.2174650000002</v>
      </c>
      <c r="H143" s="327">
        <f t="shared" si="28"/>
        <v>1097.3041666666666</v>
      </c>
      <c r="I143" s="327">
        <f t="shared" si="33"/>
        <v>261.26812208333331</v>
      </c>
      <c r="J143" s="327">
        <f t="shared" si="29"/>
        <v>1097.3041666666666</v>
      </c>
      <c r="K143" s="327">
        <f t="shared" si="34"/>
        <v>261.26812208333331</v>
      </c>
      <c r="L143" s="327">
        <f t="shared" si="30"/>
        <v>975.3814814814815</v>
      </c>
      <c r="M143" s="330">
        <f t="shared" si="31"/>
        <v>19995.393523981482</v>
      </c>
    </row>
    <row r="144" spans="2:13" x14ac:dyDescent="0.2">
      <c r="B144" s="1" t="s">
        <v>506</v>
      </c>
      <c r="C144" s="1" t="s">
        <v>323</v>
      </c>
      <c r="D144" s="1" t="s">
        <v>322</v>
      </c>
      <c r="E144" s="1"/>
      <c r="F144" s="327">
        <v>13167.65</v>
      </c>
      <c r="G144" s="327">
        <f t="shared" si="32"/>
        <v>3135.2174650000002</v>
      </c>
      <c r="H144" s="327">
        <f t="shared" ref="H144:H149" si="35">F144/12</f>
        <v>1097.3041666666666</v>
      </c>
      <c r="I144" s="327">
        <f t="shared" si="33"/>
        <v>261.26812208333331</v>
      </c>
      <c r="J144" s="327">
        <f t="shared" ref="J144:J149" si="36">F144/12</f>
        <v>1097.3041666666666</v>
      </c>
      <c r="K144" s="327">
        <f t="shared" si="34"/>
        <v>261.26812208333331</v>
      </c>
      <c r="L144" s="327">
        <f t="shared" ref="L144:L149" si="37">F144/13.5</f>
        <v>975.3814814814815</v>
      </c>
      <c r="M144" s="330">
        <f t="shared" ref="M144:M149" si="38">SUM(G144:L144)+F144</f>
        <v>19995.393523981482</v>
      </c>
    </row>
    <row r="145" spans="2:13" x14ac:dyDescent="0.2">
      <c r="B145" s="1" t="s">
        <v>507</v>
      </c>
      <c r="C145" s="1" t="s">
        <v>561</v>
      </c>
      <c r="D145" s="1" t="s">
        <v>571</v>
      </c>
      <c r="E145" s="1"/>
      <c r="F145" s="327">
        <v>17458.009999999998</v>
      </c>
      <c r="G145" s="327">
        <f t="shared" si="32"/>
        <v>4156.7521809999998</v>
      </c>
      <c r="H145" s="327">
        <f t="shared" si="35"/>
        <v>1454.8341666666665</v>
      </c>
      <c r="I145" s="327">
        <f t="shared" si="33"/>
        <v>346.39601508333334</v>
      </c>
      <c r="J145" s="327">
        <f t="shared" si="36"/>
        <v>1454.8341666666665</v>
      </c>
      <c r="K145" s="327">
        <f t="shared" si="34"/>
        <v>346.39601508333334</v>
      </c>
      <c r="L145" s="327">
        <f t="shared" si="37"/>
        <v>1293.1859259259259</v>
      </c>
      <c r="M145" s="330">
        <f t="shared" si="38"/>
        <v>26510.408470425922</v>
      </c>
    </row>
    <row r="146" spans="2:13" x14ac:dyDescent="0.2">
      <c r="B146" s="1" t="s">
        <v>508</v>
      </c>
      <c r="C146" s="1" t="s">
        <v>325</v>
      </c>
      <c r="D146" s="1" t="s">
        <v>325</v>
      </c>
      <c r="E146" s="1"/>
      <c r="F146" s="327">
        <v>70077.33</v>
      </c>
      <c r="G146" s="327">
        <f t="shared" si="32"/>
        <v>16685.412273000002</v>
      </c>
      <c r="H146" s="327">
        <f t="shared" si="35"/>
        <v>5839.7775000000001</v>
      </c>
      <c r="I146" s="327">
        <f t="shared" si="33"/>
        <v>1390.45102275</v>
      </c>
      <c r="J146" s="327">
        <f t="shared" si="36"/>
        <v>5839.7775000000001</v>
      </c>
      <c r="K146" s="327">
        <f t="shared" si="34"/>
        <v>1390.45102275</v>
      </c>
      <c r="L146" s="327">
        <f t="shared" si="37"/>
        <v>5190.9133333333339</v>
      </c>
      <c r="M146" s="330">
        <f t="shared" si="38"/>
        <v>106414.11265183333</v>
      </c>
    </row>
    <row r="147" spans="2:13" x14ac:dyDescent="0.2">
      <c r="B147" s="1" t="s">
        <v>509</v>
      </c>
      <c r="C147" s="1" t="s">
        <v>133</v>
      </c>
      <c r="D147" s="1" t="s">
        <v>326</v>
      </c>
      <c r="E147" s="1"/>
      <c r="F147" s="327">
        <v>24579.07</v>
      </c>
      <c r="G147" s="327">
        <f t="shared" si="32"/>
        <v>5852.2765669999999</v>
      </c>
      <c r="H147" s="327">
        <f t="shared" si="35"/>
        <v>2048.2558333333332</v>
      </c>
      <c r="I147" s="327">
        <f t="shared" si="33"/>
        <v>487.68971391666662</v>
      </c>
      <c r="J147" s="327">
        <f t="shared" si="36"/>
        <v>2048.2558333333332</v>
      </c>
      <c r="K147" s="327">
        <f t="shared" si="34"/>
        <v>487.68971391666662</v>
      </c>
      <c r="L147" s="327">
        <f t="shared" si="37"/>
        <v>1820.6718518518519</v>
      </c>
      <c r="M147" s="330">
        <f t="shared" si="38"/>
        <v>37323.909513351849</v>
      </c>
    </row>
    <row r="148" spans="2:13" x14ac:dyDescent="0.2">
      <c r="B148" s="1" t="s">
        <v>510</v>
      </c>
      <c r="C148" s="1" t="s">
        <v>133</v>
      </c>
      <c r="D148" s="1" t="s">
        <v>327</v>
      </c>
      <c r="E148" s="1"/>
      <c r="F148" s="327">
        <v>18431.41</v>
      </c>
      <c r="G148" s="327">
        <f t="shared" si="32"/>
        <v>4388.5187210000004</v>
      </c>
      <c r="H148" s="327">
        <f t="shared" si="35"/>
        <v>1535.9508333333333</v>
      </c>
      <c r="I148" s="327">
        <f t="shared" si="33"/>
        <v>365.70989341666666</v>
      </c>
      <c r="J148" s="327">
        <f t="shared" si="36"/>
        <v>1535.9508333333333</v>
      </c>
      <c r="K148" s="327">
        <f t="shared" si="34"/>
        <v>365.70989341666666</v>
      </c>
      <c r="L148" s="327">
        <f t="shared" si="37"/>
        <v>1365.2896296296296</v>
      </c>
      <c r="M148" s="330">
        <f t="shared" si="38"/>
        <v>27988.539804129628</v>
      </c>
    </row>
    <row r="149" spans="2:13" x14ac:dyDescent="0.2">
      <c r="B149" s="1" t="s">
        <v>511</v>
      </c>
      <c r="C149" s="1" t="s">
        <v>133</v>
      </c>
      <c r="D149" s="1" t="s">
        <v>328</v>
      </c>
      <c r="E149" s="1"/>
      <c r="F149" s="327">
        <v>23363.69</v>
      </c>
      <c r="G149" s="327">
        <f t="shared" si="32"/>
        <v>5562.8945889999995</v>
      </c>
      <c r="H149" s="327">
        <f t="shared" si="35"/>
        <v>1946.9741666666666</v>
      </c>
      <c r="I149" s="327">
        <f t="shared" si="33"/>
        <v>463.57454908333335</v>
      </c>
      <c r="J149" s="327">
        <f t="shared" si="36"/>
        <v>1946.9741666666666</v>
      </c>
      <c r="K149" s="327">
        <f t="shared" si="34"/>
        <v>463.57454908333335</v>
      </c>
      <c r="L149" s="327">
        <f t="shared" si="37"/>
        <v>1730.6437037037035</v>
      </c>
      <c r="M149" s="330">
        <f t="shared" si="38"/>
        <v>35478.3257242037</v>
      </c>
    </row>
    <row r="150" spans="2:13" x14ac:dyDescent="0.2">
      <c r="B150" s="1" t="s">
        <v>512</v>
      </c>
      <c r="C150" s="1" t="s">
        <v>133</v>
      </c>
      <c r="D150" s="1" t="s">
        <v>329</v>
      </c>
      <c r="E150" s="1"/>
      <c r="F150" s="327">
        <v>19680.900000000001</v>
      </c>
      <c r="G150" s="327">
        <f t="shared" si="32"/>
        <v>4686.0222900000008</v>
      </c>
      <c r="H150" s="327">
        <f t="shared" ref="H150:H186" si="39">F150/12</f>
        <v>1640.075</v>
      </c>
      <c r="I150" s="327">
        <f t="shared" si="33"/>
        <v>390.50185750000003</v>
      </c>
      <c r="J150" s="327">
        <f t="shared" ref="J150:J186" si="40">F150/12</f>
        <v>1640.075</v>
      </c>
      <c r="K150" s="327">
        <f t="shared" si="34"/>
        <v>390.50185750000003</v>
      </c>
      <c r="L150" s="327">
        <f t="shared" ref="L150:L186" si="41">F150/13.5</f>
        <v>1457.8444444444447</v>
      </c>
      <c r="M150" s="330">
        <f t="shared" ref="M150:M186" si="42">SUM(G150:L150)+F150</f>
        <v>29885.920449444449</v>
      </c>
    </row>
    <row r="151" spans="2:13" x14ac:dyDescent="0.2">
      <c r="B151" s="1" t="s">
        <v>513</v>
      </c>
      <c r="C151" s="1" t="s">
        <v>133</v>
      </c>
      <c r="D151" s="1" t="s">
        <v>330</v>
      </c>
      <c r="E151" s="1"/>
      <c r="F151" s="327">
        <v>10764.81</v>
      </c>
      <c r="G151" s="327">
        <f t="shared" si="32"/>
        <v>2563.1012609999998</v>
      </c>
      <c r="H151" s="327">
        <f t="shared" si="39"/>
        <v>897.0675</v>
      </c>
      <c r="I151" s="327">
        <f t="shared" si="33"/>
        <v>213.59177174999999</v>
      </c>
      <c r="J151" s="327">
        <f t="shared" si="40"/>
        <v>897.0675</v>
      </c>
      <c r="K151" s="327">
        <f t="shared" si="34"/>
        <v>213.59177174999999</v>
      </c>
      <c r="L151" s="327">
        <f t="shared" si="41"/>
        <v>797.39333333333332</v>
      </c>
      <c r="M151" s="330">
        <f t="shared" si="42"/>
        <v>16346.623137833332</v>
      </c>
    </row>
    <row r="152" spans="2:13" x14ac:dyDescent="0.2">
      <c r="B152" s="1" t="s">
        <v>514</v>
      </c>
      <c r="C152" s="1" t="s">
        <v>133</v>
      </c>
      <c r="D152" s="1" t="s">
        <v>331</v>
      </c>
      <c r="E152" s="1"/>
      <c r="F152" s="327">
        <v>17717.43</v>
      </c>
      <c r="G152" s="327">
        <f t="shared" si="32"/>
        <v>4218.5200830000003</v>
      </c>
      <c r="H152" s="327">
        <f t="shared" si="39"/>
        <v>1476.4525000000001</v>
      </c>
      <c r="I152" s="327">
        <f t="shared" si="33"/>
        <v>351.54334025000003</v>
      </c>
      <c r="J152" s="327">
        <f t="shared" si="40"/>
        <v>1476.4525000000001</v>
      </c>
      <c r="K152" s="327">
        <f t="shared" si="34"/>
        <v>351.54334025000003</v>
      </c>
      <c r="L152" s="327">
        <f t="shared" si="41"/>
        <v>1312.4022222222222</v>
      </c>
      <c r="M152" s="330">
        <f t="shared" si="42"/>
        <v>26904.343985722226</v>
      </c>
    </row>
    <row r="153" spans="2:13" x14ac:dyDescent="0.2">
      <c r="B153" s="1" t="s">
        <v>515</v>
      </c>
      <c r="C153" s="1" t="s">
        <v>133</v>
      </c>
      <c r="D153" s="1" t="s">
        <v>332</v>
      </c>
      <c r="E153" s="1"/>
      <c r="F153" s="327">
        <v>16581.22</v>
      </c>
      <c r="G153" s="327">
        <f t="shared" si="32"/>
        <v>3947.9884820000002</v>
      </c>
      <c r="H153" s="327">
        <f t="shared" si="39"/>
        <v>1381.7683333333334</v>
      </c>
      <c r="I153" s="327">
        <f t="shared" si="33"/>
        <v>328.9990401666667</v>
      </c>
      <c r="J153" s="327">
        <f t="shared" si="40"/>
        <v>1381.7683333333334</v>
      </c>
      <c r="K153" s="327">
        <f t="shared" si="34"/>
        <v>328.9990401666667</v>
      </c>
      <c r="L153" s="327">
        <f t="shared" si="41"/>
        <v>1228.2385185185185</v>
      </c>
      <c r="M153" s="330">
        <f t="shared" si="42"/>
        <v>25178.981747518519</v>
      </c>
    </row>
    <row r="154" spans="2:13" x14ac:dyDescent="0.2">
      <c r="B154" s="1" t="s">
        <v>516</v>
      </c>
      <c r="C154" s="1" t="s">
        <v>133</v>
      </c>
      <c r="D154" s="1" t="s">
        <v>333</v>
      </c>
      <c r="E154" s="1"/>
      <c r="F154" s="327">
        <v>13161.66</v>
      </c>
      <c r="G154" s="327">
        <f t="shared" si="32"/>
        <v>3133.7912460000002</v>
      </c>
      <c r="H154" s="327">
        <f t="shared" si="39"/>
        <v>1096.8050000000001</v>
      </c>
      <c r="I154" s="327">
        <f t="shared" si="33"/>
        <v>261.1492705</v>
      </c>
      <c r="J154" s="327">
        <f t="shared" si="40"/>
        <v>1096.8050000000001</v>
      </c>
      <c r="K154" s="327">
        <f t="shared" si="34"/>
        <v>261.1492705</v>
      </c>
      <c r="L154" s="327">
        <f t="shared" si="41"/>
        <v>974.9377777777778</v>
      </c>
      <c r="M154" s="330">
        <f t="shared" si="42"/>
        <v>19986.297564777778</v>
      </c>
    </row>
    <row r="155" spans="2:13" x14ac:dyDescent="0.2">
      <c r="B155" s="1" t="s">
        <v>517</v>
      </c>
      <c r="C155" s="1" t="s">
        <v>570</v>
      </c>
      <c r="D155" s="1" t="s">
        <v>334</v>
      </c>
      <c r="E155" s="1"/>
      <c r="F155" s="327">
        <v>16581.22</v>
      </c>
      <c r="G155" s="327">
        <f t="shared" si="32"/>
        <v>3947.9884820000002</v>
      </c>
      <c r="H155" s="327">
        <f t="shared" si="39"/>
        <v>1381.7683333333334</v>
      </c>
      <c r="I155" s="327">
        <f t="shared" si="33"/>
        <v>328.9990401666667</v>
      </c>
      <c r="J155" s="327">
        <f t="shared" si="40"/>
        <v>1381.7683333333334</v>
      </c>
      <c r="K155" s="327">
        <f t="shared" si="34"/>
        <v>328.9990401666667</v>
      </c>
      <c r="L155" s="327">
        <f t="shared" si="41"/>
        <v>1228.2385185185185</v>
      </c>
      <c r="M155" s="330">
        <f t="shared" si="42"/>
        <v>25178.981747518519</v>
      </c>
    </row>
    <row r="156" spans="2:13" x14ac:dyDescent="0.2">
      <c r="B156" s="1" t="s">
        <v>518</v>
      </c>
      <c r="C156" s="1" t="s">
        <v>570</v>
      </c>
      <c r="D156" s="1" t="s">
        <v>335</v>
      </c>
      <c r="E156" s="1"/>
      <c r="F156" s="327">
        <v>16581.22</v>
      </c>
      <c r="G156" s="327">
        <f t="shared" si="32"/>
        <v>3947.9884820000002</v>
      </c>
      <c r="H156" s="327">
        <f t="shared" si="39"/>
        <v>1381.7683333333334</v>
      </c>
      <c r="I156" s="327">
        <f t="shared" si="33"/>
        <v>328.9990401666667</v>
      </c>
      <c r="J156" s="327">
        <f t="shared" si="40"/>
        <v>1381.7683333333334</v>
      </c>
      <c r="K156" s="327">
        <f t="shared" si="34"/>
        <v>328.9990401666667</v>
      </c>
      <c r="L156" s="327">
        <f t="shared" si="41"/>
        <v>1228.2385185185185</v>
      </c>
      <c r="M156" s="330">
        <f t="shared" si="42"/>
        <v>25178.981747518519</v>
      </c>
    </row>
    <row r="157" spans="2:13" x14ac:dyDescent="0.2">
      <c r="B157" s="1" t="s">
        <v>519</v>
      </c>
      <c r="C157" s="1" t="s">
        <v>570</v>
      </c>
      <c r="D157" s="1" t="s">
        <v>336</v>
      </c>
      <c r="E157" s="1"/>
      <c r="F157" s="327">
        <v>16581.22</v>
      </c>
      <c r="G157" s="327">
        <f t="shared" si="32"/>
        <v>3947.9884820000002</v>
      </c>
      <c r="H157" s="327">
        <f t="shared" si="39"/>
        <v>1381.7683333333334</v>
      </c>
      <c r="I157" s="327">
        <f t="shared" si="33"/>
        <v>328.9990401666667</v>
      </c>
      <c r="J157" s="327">
        <f t="shared" si="40"/>
        <v>1381.7683333333334</v>
      </c>
      <c r="K157" s="327">
        <f t="shared" si="34"/>
        <v>328.9990401666667</v>
      </c>
      <c r="L157" s="327">
        <f t="shared" si="41"/>
        <v>1228.2385185185185</v>
      </c>
      <c r="M157" s="330">
        <f t="shared" si="42"/>
        <v>25178.981747518519</v>
      </c>
    </row>
    <row r="158" spans="2:13" x14ac:dyDescent="0.2">
      <c r="B158" s="1" t="s">
        <v>520</v>
      </c>
      <c r="C158" s="1" t="s">
        <v>570</v>
      </c>
      <c r="D158" s="1" t="s">
        <v>337</v>
      </c>
      <c r="E158" s="1"/>
      <c r="F158" s="327">
        <v>16581.22</v>
      </c>
      <c r="G158" s="327">
        <f t="shared" si="32"/>
        <v>3947.9884820000002</v>
      </c>
      <c r="H158" s="327">
        <f t="shared" si="39"/>
        <v>1381.7683333333334</v>
      </c>
      <c r="I158" s="327">
        <f t="shared" si="33"/>
        <v>328.9990401666667</v>
      </c>
      <c r="J158" s="327">
        <f t="shared" si="40"/>
        <v>1381.7683333333334</v>
      </c>
      <c r="K158" s="327">
        <f t="shared" si="34"/>
        <v>328.9990401666667</v>
      </c>
      <c r="L158" s="327">
        <f t="shared" si="41"/>
        <v>1228.2385185185185</v>
      </c>
      <c r="M158" s="330">
        <f t="shared" si="42"/>
        <v>25178.981747518519</v>
      </c>
    </row>
    <row r="159" spans="2:13" x14ac:dyDescent="0.2">
      <c r="B159" s="1" t="s">
        <v>521</v>
      </c>
      <c r="C159" s="1" t="s">
        <v>570</v>
      </c>
      <c r="D159" s="1" t="s">
        <v>338</v>
      </c>
      <c r="E159" s="1"/>
      <c r="F159" s="327">
        <v>16581.22</v>
      </c>
      <c r="G159" s="327">
        <f t="shared" si="32"/>
        <v>3947.9884820000002</v>
      </c>
      <c r="H159" s="327">
        <f t="shared" si="39"/>
        <v>1381.7683333333334</v>
      </c>
      <c r="I159" s="327">
        <f t="shared" si="33"/>
        <v>328.9990401666667</v>
      </c>
      <c r="J159" s="327">
        <f t="shared" si="40"/>
        <v>1381.7683333333334</v>
      </c>
      <c r="K159" s="327">
        <f t="shared" si="34"/>
        <v>328.9990401666667</v>
      </c>
      <c r="L159" s="327">
        <f t="shared" si="41"/>
        <v>1228.2385185185185</v>
      </c>
      <c r="M159" s="330">
        <f t="shared" si="42"/>
        <v>25178.981747518519</v>
      </c>
    </row>
    <row r="160" spans="2:13" x14ac:dyDescent="0.2">
      <c r="B160" s="1" t="s">
        <v>522</v>
      </c>
      <c r="C160" s="1" t="s">
        <v>570</v>
      </c>
      <c r="D160" s="1" t="s">
        <v>339</v>
      </c>
      <c r="E160" s="1"/>
      <c r="F160" s="327">
        <v>16581.22</v>
      </c>
      <c r="G160" s="327">
        <f t="shared" si="32"/>
        <v>3947.9884820000002</v>
      </c>
      <c r="H160" s="327">
        <f t="shared" si="39"/>
        <v>1381.7683333333334</v>
      </c>
      <c r="I160" s="327">
        <f t="shared" si="33"/>
        <v>328.9990401666667</v>
      </c>
      <c r="J160" s="327">
        <f t="shared" si="40"/>
        <v>1381.7683333333334</v>
      </c>
      <c r="K160" s="327">
        <f t="shared" si="34"/>
        <v>328.9990401666667</v>
      </c>
      <c r="L160" s="327">
        <f t="shared" si="41"/>
        <v>1228.2385185185185</v>
      </c>
      <c r="M160" s="330">
        <f t="shared" si="42"/>
        <v>25178.981747518519</v>
      </c>
    </row>
    <row r="161" spans="2:13" x14ac:dyDescent="0.2">
      <c r="B161" s="1" t="s">
        <v>523</v>
      </c>
      <c r="C161" s="1" t="s">
        <v>570</v>
      </c>
      <c r="D161" s="1" t="s">
        <v>340</v>
      </c>
      <c r="E161" s="1"/>
      <c r="F161" s="327">
        <v>16581.22</v>
      </c>
      <c r="G161" s="327">
        <f t="shared" si="32"/>
        <v>3947.9884820000002</v>
      </c>
      <c r="H161" s="327">
        <f t="shared" si="39"/>
        <v>1381.7683333333334</v>
      </c>
      <c r="I161" s="327">
        <f t="shared" si="33"/>
        <v>328.9990401666667</v>
      </c>
      <c r="J161" s="327">
        <f t="shared" si="40"/>
        <v>1381.7683333333334</v>
      </c>
      <c r="K161" s="327">
        <f t="shared" si="34"/>
        <v>328.9990401666667</v>
      </c>
      <c r="L161" s="327">
        <f t="shared" si="41"/>
        <v>1228.2385185185185</v>
      </c>
      <c r="M161" s="330">
        <f t="shared" si="42"/>
        <v>25178.981747518519</v>
      </c>
    </row>
    <row r="162" spans="2:13" x14ac:dyDescent="0.2">
      <c r="B162" s="1" t="s">
        <v>524</v>
      </c>
      <c r="C162" s="1" t="s">
        <v>570</v>
      </c>
      <c r="D162" s="1" t="s">
        <v>341</v>
      </c>
      <c r="E162" s="1"/>
      <c r="F162" s="327">
        <v>16581.22</v>
      </c>
      <c r="G162" s="327">
        <f t="shared" si="32"/>
        <v>3947.9884820000002</v>
      </c>
      <c r="H162" s="327">
        <f t="shared" si="39"/>
        <v>1381.7683333333334</v>
      </c>
      <c r="I162" s="327">
        <f t="shared" si="33"/>
        <v>328.9990401666667</v>
      </c>
      <c r="J162" s="327">
        <f t="shared" si="40"/>
        <v>1381.7683333333334</v>
      </c>
      <c r="K162" s="327">
        <f t="shared" si="34"/>
        <v>328.9990401666667</v>
      </c>
      <c r="L162" s="327">
        <f t="shared" si="41"/>
        <v>1228.2385185185185</v>
      </c>
      <c r="M162" s="330">
        <f t="shared" si="42"/>
        <v>25178.981747518519</v>
      </c>
    </row>
    <row r="163" spans="2:13" x14ac:dyDescent="0.2">
      <c r="B163" s="1" t="s">
        <v>525</v>
      </c>
      <c r="C163" s="1" t="s">
        <v>570</v>
      </c>
      <c r="D163" s="1" t="s">
        <v>342</v>
      </c>
      <c r="E163" s="1"/>
      <c r="F163" s="327">
        <v>16581.22</v>
      </c>
      <c r="G163" s="327">
        <f t="shared" si="32"/>
        <v>3947.9884820000002</v>
      </c>
      <c r="H163" s="327">
        <f t="shared" si="39"/>
        <v>1381.7683333333334</v>
      </c>
      <c r="I163" s="327">
        <f t="shared" si="33"/>
        <v>328.9990401666667</v>
      </c>
      <c r="J163" s="327">
        <f t="shared" si="40"/>
        <v>1381.7683333333334</v>
      </c>
      <c r="K163" s="327">
        <f t="shared" si="34"/>
        <v>328.9990401666667</v>
      </c>
      <c r="L163" s="327">
        <f t="shared" si="41"/>
        <v>1228.2385185185185</v>
      </c>
      <c r="M163" s="330">
        <f t="shared" si="42"/>
        <v>25178.981747518519</v>
      </c>
    </row>
    <row r="164" spans="2:13" x14ac:dyDescent="0.2">
      <c r="B164" s="1" t="s">
        <v>526</v>
      </c>
      <c r="C164" s="1" t="s">
        <v>570</v>
      </c>
      <c r="D164" s="1" t="s">
        <v>343</v>
      </c>
      <c r="E164" s="1"/>
      <c r="F164" s="327">
        <v>16581.22</v>
      </c>
      <c r="G164" s="327">
        <f t="shared" si="32"/>
        <v>3947.9884820000002</v>
      </c>
      <c r="H164" s="327">
        <f t="shared" si="39"/>
        <v>1381.7683333333334</v>
      </c>
      <c r="I164" s="327">
        <f t="shared" si="33"/>
        <v>328.9990401666667</v>
      </c>
      <c r="J164" s="327">
        <f t="shared" si="40"/>
        <v>1381.7683333333334</v>
      </c>
      <c r="K164" s="327">
        <f t="shared" si="34"/>
        <v>328.9990401666667</v>
      </c>
      <c r="L164" s="327">
        <f t="shared" si="41"/>
        <v>1228.2385185185185</v>
      </c>
      <c r="M164" s="330">
        <f t="shared" si="42"/>
        <v>25178.981747518519</v>
      </c>
    </row>
    <row r="165" spans="2:13" x14ac:dyDescent="0.2">
      <c r="B165" s="1" t="s">
        <v>527</v>
      </c>
      <c r="C165" s="1" t="s">
        <v>570</v>
      </c>
      <c r="D165" s="1" t="s">
        <v>344</v>
      </c>
      <c r="E165" s="1"/>
      <c r="F165" s="327">
        <v>16581.22</v>
      </c>
      <c r="G165" s="327">
        <f t="shared" si="32"/>
        <v>3947.9884820000002</v>
      </c>
      <c r="H165" s="327">
        <f t="shared" si="39"/>
        <v>1381.7683333333334</v>
      </c>
      <c r="I165" s="327">
        <f t="shared" si="33"/>
        <v>328.9990401666667</v>
      </c>
      <c r="J165" s="327">
        <f t="shared" si="40"/>
        <v>1381.7683333333334</v>
      </c>
      <c r="K165" s="327">
        <f t="shared" si="34"/>
        <v>328.9990401666667</v>
      </c>
      <c r="L165" s="327">
        <f t="shared" si="41"/>
        <v>1228.2385185185185</v>
      </c>
      <c r="M165" s="330">
        <f t="shared" si="42"/>
        <v>25178.981747518519</v>
      </c>
    </row>
    <row r="166" spans="2:13" x14ac:dyDescent="0.2">
      <c r="B166" s="1" t="s">
        <v>528</v>
      </c>
      <c r="C166" s="1" t="s">
        <v>570</v>
      </c>
      <c r="D166" s="1" t="s">
        <v>345</v>
      </c>
      <c r="E166" s="1"/>
      <c r="F166" s="327">
        <v>16581.22</v>
      </c>
      <c r="G166" s="327">
        <f t="shared" si="32"/>
        <v>3947.9884820000002</v>
      </c>
      <c r="H166" s="327">
        <f t="shared" si="39"/>
        <v>1381.7683333333334</v>
      </c>
      <c r="I166" s="327">
        <f t="shared" si="33"/>
        <v>328.9990401666667</v>
      </c>
      <c r="J166" s="327">
        <f t="shared" si="40"/>
        <v>1381.7683333333334</v>
      </c>
      <c r="K166" s="327">
        <f t="shared" si="34"/>
        <v>328.9990401666667</v>
      </c>
      <c r="L166" s="327">
        <f t="shared" si="41"/>
        <v>1228.2385185185185</v>
      </c>
      <c r="M166" s="330">
        <f t="shared" si="42"/>
        <v>25178.981747518519</v>
      </c>
    </row>
    <row r="167" spans="2:13" x14ac:dyDescent="0.2">
      <c r="B167" s="1" t="s">
        <v>529</v>
      </c>
      <c r="C167" s="1" t="s">
        <v>570</v>
      </c>
      <c r="D167" s="1" t="s">
        <v>346</v>
      </c>
      <c r="E167" s="1"/>
      <c r="F167" s="327">
        <v>16581.22</v>
      </c>
      <c r="G167" s="327">
        <f t="shared" si="32"/>
        <v>3947.9884820000002</v>
      </c>
      <c r="H167" s="327">
        <f t="shared" si="39"/>
        <v>1381.7683333333334</v>
      </c>
      <c r="I167" s="327">
        <f t="shared" si="33"/>
        <v>328.9990401666667</v>
      </c>
      <c r="J167" s="327">
        <f t="shared" si="40"/>
        <v>1381.7683333333334</v>
      </c>
      <c r="K167" s="327">
        <f t="shared" si="34"/>
        <v>328.9990401666667</v>
      </c>
      <c r="L167" s="327">
        <f t="shared" si="41"/>
        <v>1228.2385185185185</v>
      </c>
      <c r="M167" s="330">
        <f t="shared" si="42"/>
        <v>25178.981747518519</v>
      </c>
    </row>
    <row r="168" spans="2:13" x14ac:dyDescent="0.2">
      <c r="B168" s="1" t="s">
        <v>530</v>
      </c>
      <c r="C168" s="1" t="s">
        <v>570</v>
      </c>
      <c r="D168" s="1" t="s">
        <v>347</v>
      </c>
      <c r="E168" s="1"/>
      <c r="F168" s="327">
        <v>16581.22</v>
      </c>
      <c r="G168" s="327">
        <f t="shared" si="32"/>
        <v>3947.9884820000002</v>
      </c>
      <c r="H168" s="327">
        <f t="shared" si="39"/>
        <v>1381.7683333333334</v>
      </c>
      <c r="I168" s="327">
        <f t="shared" si="33"/>
        <v>328.9990401666667</v>
      </c>
      <c r="J168" s="327">
        <f t="shared" si="40"/>
        <v>1381.7683333333334</v>
      </c>
      <c r="K168" s="327">
        <f t="shared" si="34"/>
        <v>328.9990401666667</v>
      </c>
      <c r="L168" s="327">
        <f t="shared" si="41"/>
        <v>1228.2385185185185</v>
      </c>
      <c r="M168" s="330">
        <f t="shared" si="42"/>
        <v>25178.981747518519</v>
      </c>
    </row>
    <row r="169" spans="2:13" x14ac:dyDescent="0.2">
      <c r="B169" s="1" t="s">
        <v>531</v>
      </c>
      <c r="C169" s="1" t="s">
        <v>570</v>
      </c>
      <c r="D169" s="1" t="s">
        <v>348</v>
      </c>
      <c r="E169" s="1"/>
      <c r="F169" s="327">
        <v>16581.22</v>
      </c>
      <c r="G169" s="327">
        <f t="shared" si="32"/>
        <v>3947.9884820000002</v>
      </c>
      <c r="H169" s="327">
        <f t="shared" si="39"/>
        <v>1381.7683333333334</v>
      </c>
      <c r="I169" s="327">
        <f t="shared" si="33"/>
        <v>328.9990401666667</v>
      </c>
      <c r="J169" s="327">
        <f t="shared" si="40"/>
        <v>1381.7683333333334</v>
      </c>
      <c r="K169" s="327">
        <f t="shared" si="34"/>
        <v>328.9990401666667</v>
      </c>
      <c r="L169" s="327">
        <f t="shared" si="41"/>
        <v>1228.2385185185185</v>
      </c>
      <c r="M169" s="330">
        <f t="shared" si="42"/>
        <v>25178.981747518519</v>
      </c>
    </row>
    <row r="170" spans="2:13" x14ac:dyDescent="0.2">
      <c r="B170" s="1" t="s">
        <v>532</v>
      </c>
      <c r="C170" s="1" t="s">
        <v>570</v>
      </c>
      <c r="D170" s="1" t="s">
        <v>349</v>
      </c>
      <c r="E170" s="1"/>
      <c r="F170" s="327">
        <v>16581.22</v>
      </c>
      <c r="G170" s="327">
        <f t="shared" ref="G170:G194" si="43">F170*$E$4</f>
        <v>3947.9884820000002</v>
      </c>
      <c r="H170" s="327">
        <f t="shared" si="39"/>
        <v>1381.7683333333334</v>
      </c>
      <c r="I170" s="327">
        <f t="shared" ref="I170:I194" si="44">H170*$E$4</f>
        <v>328.9990401666667</v>
      </c>
      <c r="J170" s="327">
        <f t="shared" si="40"/>
        <v>1381.7683333333334</v>
      </c>
      <c r="K170" s="327">
        <f t="shared" ref="K170:K194" si="45">J170*$E$4</f>
        <v>328.9990401666667</v>
      </c>
      <c r="L170" s="327">
        <f t="shared" si="41"/>
        <v>1228.2385185185185</v>
      </c>
      <c r="M170" s="330">
        <f t="shared" si="42"/>
        <v>25178.981747518519</v>
      </c>
    </row>
    <row r="171" spans="2:13" x14ac:dyDescent="0.2">
      <c r="B171" s="1" t="s">
        <v>533</v>
      </c>
      <c r="C171" s="1" t="s">
        <v>570</v>
      </c>
      <c r="D171" s="1" t="s">
        <v>350</v>
      </c>
      <c r="E171" s="1"/>
      <c r="F171" s="327">
        <v>16581.22</v>
      </c>
      <c r="G171" s="327">
        <f t="shared" si="43"/>
        <v>3947.9884820000002</v>
      </c>
      <c r="H171" s="327">
        <f t="shared" si="39"/>
        <v>1381.7683333333334</v>
      </c>
      <c r="I171" s="327">
        <f t="shared" si="44"/>
        <v>328.9990401666667</v>
      </c>
      <c r="J171" s="327">
        <f t="shared" si="40"/>
        <v>1381.7683333333334</v>
      </c>
      <c r="K171" s="327">
        <f t="shared" si="45"/>
        <v>328.9990401666667</v>
      </c>
      <c r="L171" s="327">
        <f t="shared" si="41"/>
        <v>1228.2385185185185</v>
      </c>
      <c r="M171" s="330">
        <f t="shared" si="42"/>
        <v>25178.981747518519</v>
      </c>
    </row>
    <row r="172" spans="2:13" x14ac:dyDescent="0.2">
      <c r="B172" s="1" t="s">
        <v>534</v>
      </c>
      <c r="C172" s="1" t="s">
        <v>570</v>
      </c>
      <c r="D172" s="1" t="s">
        <v>351</v>
      </c>
      <c r="E172" s="1"/>
      <c r="F172" s="327">
        <v>16581.22</v>
      </c>
      <c r="G172" s="327">
        <f t="shared" si="43"/>
        <v>3947.9884820000002</v>
      </c>
      <c r="H172" s="327">
        <f t="shared" si="39"/>
        <v>1381.7683333333334</v>
      </c>
      <c r="I172" s="327">
        <f t="shared" si="44"/>
        <v>328.9990401666667</v>
      </c>
      <c r="J172" s="327">
        <f t="shared" si="40"/>
        <v>1381.7683333333334</v>
      </c>
      <c r="K172" s="327">
        <f t="shared" si="45"/>
        <v>328.9990401666667</v>
      </c>
      <c r="L172" s="327">
        <f t="shared" si="41"/>
        <v>1228.2385185185185</v>
      </c>
      <c r="M172" s="330">
        <f t="shared" si="42"/>
        <v>25178.981747518519</v>
      </c>
    </row>
    <row r="173" spans="2:13" x14ac:dyDescent="0.2">
      <c r="B173" s="1" t="s">
        <v>535</v>
      </c>
      <c r="C173" s="1" t="s">
        <v>570</v>
      </c>
      <c r="D173" s="1" t="s">
        <v>352</v>
      </c>
      <c r="E173" s="1"/>
      <c r="F173" s="327">
        <v>16581.22</v>
      </c>
      <c r="G173" s="327">
        <f t="shared" si="43"/>
        <v>3947.9884820000002</v>
      </c>
      <c r="H173" s="327">
        <f t="shared" si="39"/>
        <v>1381.7683333333334</v>
      </c>
      <c r="I173" s="327">
        <f t="shared" si="44"/>
        <v>328.9990401666667</v>
      </c>
      <c r="J173" s="327">
        <f t="shared" si="40"/>
        <v>1381.7683333333334</v>
      </c>
      <c r="K173" s="327">
        <f t="shared" si="45"/>
        <v>328.9990401666667</v>
      </c>
      <c r="L173" s="327">
        <f t="shared" si="41"/>
        <v>1228.2385185185185</v>
      </c>
      <c r="M173" s="330">
        <f t="shared" si="42"/>
        <v>25178.981747518519</v>
      </c>
    </row>
    <row r="174" spans="2:13" x14ac:dyDescent="0.2">
      <c r="B174" s="1" t="s">
        <v>536</v>
      </c>
      <c r="C174" s="1" t="s">
        <v>570</v>
      </c>
      <c r="D174" s="1" t="s">
        <v>353</v>
      </c>
      <c r="E174" s="1"/>
      <c r="F174" s="327">
        <v>16581.22</v>
      </c>
      <c r="G174" s="327">
        <f t="shared" si="43"/>
        <v>3947.9884820000002</v>
      </c>
      <c r="H174" s="327">
        <f t="shared" si="39"/>
        <v>1381.7683333333334</v>
      </c>
      <c r="I174" s="327">
        <f t="shared" si="44"/>
        <v>328.9990401666667</v>
      </c>
      <c r="J174" s="327">
        <f t="shared" si="40"/>
        <v>1381.7683333333334</v>
      </c>
      <c r="K174" s="327">
        <f t="shared" si="45"/>
        <v>328.9990401666667</v>
      </c>
      <c r="L174" s="327">
        <f t="shared" si="41"/>
        <v>1228.2385185185185</v>
      </c>
      <c r="M174" s="330">
        <f t="shared" si="42"/>
        <v>25178.981747518519</v>
      </c>
    </row>
    <row r="175" spans="2:13" x14ac:dyDescent="0.2">
      <c r="B175" s="1" t="s">
        <v>537</v>
      </c>
      <c r="C175" s="1" t="s">
        <v>570</v>
      </c>
      <c r="D175" s="1" t="s">
        <v>354</v>
      </c>
      <c r="E175" s="1"/>
      <c r="F175" s="327">
        <v>16581.22</v>
      </c>
      <c r="G175" s="327">
        <f t="shared" si="43"/>
        <v>3947.9884820000002</v>
      </c>
      <c r="H175" s="327">
        <f t="shared" si="39"/>
        <v>1381.7683333333334</v>
      </c>
      <c r="I175" s="327">
        <f t="shared" si="44"/>
        <v>328.9990401666667</v>
      </c>
      <c r="J175" s="327">
        <f t="shared" si="40"/>
        <v>1381.7683333333334</v>
      </c>
      <c r="K175" s="327">
        <f t="shared" si="45"/>
        <v>328.9990401666667</v>
      </c>
      <c r="L175" s="327">
        <f t="shared" si="41"/>
        <v>1228.2385185185185</v>
      </c>
      <c r="M175" s="330">
        <f t="shared" si="42"/>
        <v>25178.981747518519</v>
      </c>
    </row>
    <row r="176" spans="2:13" x14ac:dyDescent="0.2">
      <c r="B176" s="1" t="s">
        <v>538</v>
      </c>
      <c r="C176" s="1" t="s">
        <v>570</v>
      </c>
      <c r="D176" s="1" t="s">
        <v>355</v>
      </c>
      <c r="E176" s="1"/>
      <c r="F176" s="327">
        <v>16581.22</v>
      </c>
      <c r="G176" s="327">
        <f t="shared" si="43"/>
        <v>3947.9884820000002</v>
      </c>
      <c r="H176" s="327">
        <f t="shared" si="39"/>
        <v>1381.7683333333334</v>
      </c>
      <c r="I176" s="327">
        <f t="shared" si="44"/>
        <v>328.9990401666667</v>
      </c>
      <c r="J176" s="327">
        <f t="shared" si="40"/>
        <v>1381.7683333333334</v>
      </c>
      <c r="K176" s="327">
        <f t="shared" si="45"/>
        <v>328.9990401666667</v>
      </c>
      <c r="L176" s="327">
        <f t="shared" si="41"/>
        <v>1228.2385185185185</v>
      </c>
      <c r="M176" s="330">
        <f t="shared" si="42"/>
        <v>25178.981747518519</v>
      </c>
    </row>
    <row r="177" spans="2:13" x14ac:dyDescent="0.2">
      <c r="B177" s="1" t="s">
        <v>539</v>
      </c>
      <c r="C177" s="1" t="s">
        <v>570</v>
      </c>
      <c r="D177" s="1" t="s">
        <v>356</v>
      </c>
      <c r="E177" s="1"/>
      <c r="F177" s="327">
        <v>16581.22</v>
      </c>
      <c r="G177" s="327">
        <f t="shared" si="43"/>
        <v>3947.9884820000002</v>
      </c>
      <c r="H177" s="327">
        <f t="shared" si="39"/>
        <v>1381.7683333333334</v>
      </c>
      <c r="I177" s="327">
        <f t="shared" si="44"/>
        <v>328.9990401666667</v>
      </c>
      <c r="J177" s="327">
        <f t="shared" si="40"/>
        <v>1381.7683333333334</v>
      </c>
      <c r="K177" s="327">
        <f t="shared" si="45"/>
        <v>328.9990401666667</v>
      </c>
      <c r="L177" s="327">
        <f t="shared" si="41"/>
        <v>1228.2385185185185</v>
      </c>
      <c r="M177" s="330">
        <f t="shared" si="42"/>
        <v>25178.981747518519</v>
      </c>
    </row>
    <row r="178" spans="2:13" x14ac:dyDescent="0.2">
      <c r="B178" s="1" t="s">
        <v>540</v>
      </c>
      <c r="C178" s="1" t="s">
        <v>570</v>
      </c>
      <c r="D178" s="1" t="s">
        <v>357</v>
      </c>
      <c r="E178" s="1"/>
      <c r="F178" s="327">
        <v>16581.22</v>
      </c>
      <c r="G178" s="327">
        <f t="shared" si="43"/>
        <v>3947.9884820000002</v>
      </c>
      <c r="H178" s="327">
        <f t="shared" si="39"/>
        <v>1381.7683333333334</v>
      </c>
      <c r="I178" s="327">
        <f t="shared" si="44"/>
        <v>328.9990401666667</v>
      </c>
      <c r="J178" s="327">
        <f t="shared" si="40"/>
        <v>1381.7683333333334</v>
      </c>
      <c r="K178" s="327">
        <f t="shared" si="45"/>
        <v>328.9990401666667</v>
      </c>
      <c r="L178" s="327">
        <f t="shared" si="41"/>
        <v>1228.2385185185185</v>
      </c>
      <c r="M178" s="330">
        <f t="shared" si="42"/>
        <v>25178.981747518519</v>
      </c>
    </row>
    <row r="179" spans="2:13" x14ac:dyDescent="0.2">
      <c r="B179" s="1" t="s">
        <v>541</v>
      </c>
      <c r="C179" s="1" t="s">
        <v>570</v>
      </c>
      <c r="D179" s="1" t="s">
        <v>358</v>
      </c>
      <c r="E179" s="1"/>
      <c r="F179" s="327">
        <v>16581.22</v>
      </c>
      <c r="G179" s="327">
        <f t="shared" si="43"/>
        <v>3947.9884820000002</v>
      </c>
      <c r="H179" s="327">
        <f t="shared" si="39"/>
        <v>1381.7683333333334</v>
      </c>
      <c r="I179" s="327">
        <f t="shared" si="44"/>
        <v>328.9990401666667</v>
      </c>
      <c r="J179" s="327">
        <f t="shared" si="40"/>
        <v>1381.7683333333334</v>
      </c>
      <c r="K179" s="327">
        <f t="shared" si="45"/>
        <v>328.9990401666667</v>
      </c>
      <c r="L179" s="327">
        <f t="shared" si="41"/>
        <v>1228.2385185185185</v>
      </c>
      <c r="M179" s="330">
        <f t="shared" si="42"/>
        <v>25178.981747518519</v>
      </c>
    </row>
    <row r="180" spans="2:13" x14ac:dyDescent="0.2">
      <c r="B180" s="1" t="s">
        <v>542</v>
      </c>
      <c r="C180" s="1" t="s">
        <v>570</v>
      </c>
      <c r="D180" s="1" t="s">
        <v>359</v>
      </c>
      <c r="E180" s="1"/>
      <c r="F180" s="327">
        <v>16581.22</v>
      </c>
      <c r="G180" s="327">
        <f t="shared" si="43"/>
        <v>3947.9884820000002</v>
      </c>
      <c r="H180" s="327">
        <f t="shared" si="39"/>
        <v>1381.7683333333334</v>
      </c>
      <c r="I180" s="327">
        <f t="shared" si="44"/>
        <v>328.9990401666667</v>
      </c>
      <c r="J180" s="327">
        <f t="shared" si="40"/>
        <v>1381.7683333333334</v>
      </c>
      <c r="K180" s="327">
        <f t="shared" si="45"/>
        <v>328.9990401666667</v>
      </c>
      <c r="L180" s="327">
        <f t="shared" si="41"/>
        <v>1228.2385185185185</v>
      </c>
      <c r="M180" s="330">
        <f t="shared" si="42"/>
        <v>25178.981747518519</v>
      </c>
    </row>
    <row r="181" spans="2:13" x14ac:dyDescent="0.2">
      <c r="B181" s="1" t="s">
        <v>543</v>
      </c>
      <c r="C181" s="1" t="s">
        <v>570</v>
      </c>
      <c r="D181" s="1" t="s">
        <v>360</v>
      </c>
      <c r="E181" s="1"/>
      <c r="F181" s="327">
        <v>16581.22</v>
      </c>
      <c r="G181" s="327">
        <f t="shared" si="43"/>
        <v>3947.9884820000002</v>
      </c>
      <c r="H181" s="327">
        <f t="shared" si="39"/>
        <v>1381.7683333333334</v>
      </c>
      <c r="I181" s="327">
        <f t="shared" si="44"/>
        <v>328.9990401666667</v>
      </c>
      <c r="J181" s="327">
        <f t="shared" si="40"/>
        <v>1381.7683333333334</v>
      </c>
      <c r="K181" s="327">
        <f t="shared" si="45"/>
        <v>328.9990401666667</v>
      </c>
      <c r="L181" s="327">
        <f t="shared" si="41"/>
        <v>1228.2385185185185</v>
      </c>
      <c r="M181" s="330">
        <f t="shared" si="42"/>
        <v>25178.981747518519</v>
      </c>
    </row>
    <row r="182" spans="2:13" x14ac:dyDescent="0.2">
      <c r="B182" s="1" t="s">
        <v>544</v>
      </c>
      <c r="C182" s="1" t="s">
        <v>570</v>
      </c>
      <c r="D182" s="1" t="s">
        <v>361</v>
      </c>
      <c r="E182" s="1"/>
      <c r="F182" s="327">
        <v>16581.22</v>
      </c>
      <c r="G182" s="327">
        <f t="shared" si="43"/>
        <v>3947.9884820000002</v>
      </c>
      <c r="H182" s="327">
        <f t="shared" si="39"/>
        <v>1381.7683333333334</v>
      </c>
      <c r="I182" s="327">
        <f t="shared" si="44"/>
        <v>328.9990401666667</v>
      </c>
      <c r="J182" s="327">
        <f t="shared" si="40"/>
        <v>1381.7683333333334</v>
      </c>
      <c r="K182" s="327">
        <f t="shared" si="45"/>
        <v>328.9990401666667</v>
      </c>
      <c r="L182" s="327">
        <f t="shared" si="41"/>
        <v>1228.2385185185185</v>
      </c>
      <c r="M182" s="330">
        <f t="shared" si="42"/>
        <v>25178.981747518519</v>
      </c>
    </row>
    <row r="183" spans="2:13" x14ac:dyDescent="0.2">
      <c r="B183" s="1" t="s">
        <v>545</v>
      </c>
      <c r="C183" s="1" t="s">
        <v>570</v>
      </c>
      <c r="D183" s="1" t="s">
        <v>362</v>
      </c>
      <c r="E183" s="1"/>
      <c r="F183" s="327">
        <v>16581.22</v>
      </c>
      <c r="G183" s="327">
        <f t="shared" si="43"/>
        <v>3947.9884820000002</v>
      </c>
      <c r="H183" s="327">
        <f t="shared" si="39"/>
        <v>1381.7683333333334</v>
      </c>
      <c r="I183" s="327">
        <f t="shared" si="44"/>
        <v>328.9990401666667</v>
      </c>
      <c r="J183" s="327">
        <f t="shared" si="40"/>
        <v>1381.7683333333334</v>
      </c>
      <c r="K183" s="327">
        <f t="shared" si="45"/>
        <v>328.9990401666667</v>
      </c>
      <c r="L183" s="327">
        <f t="shared" si="41"/>
        <v>1228.2385185185185</v>
      </c>
      <c r="M183" s="330">
        <f t="shared" si="42"/>
        <v>25178.981747518519</v>
      </c>
    </row>
    <row r="184" spans="2:13" x14ac:dyDescent="0.2">
      <c r="B184" s="1" t="s">
        <v>546</v>
      </c>
      <c r="C184" s="1" t="s">
        <v>570</v>
      </c>
      <c r="D184" s="1" t="s">
        <v>363</v>
      </c>
      <c r="E184" s="1"/>
      <c r="F184" s="327">
        <v>16581.22</v>
      </c>
      <c r="G184" s="327">
        <f t="shared" si="43"/>
        <v>3947.9884820000002</v>
      </c>
      <c r="H184" s="327">
        <f t="shared" si="39"/>
        <v>1381.7683333333334</v>
      </c>
      <c r="I184" s="327">
        <f t="shared" si="44"/>
        <v>328.9990401666667</v>
      </c>
      <c r="J184" s="327">
        <f t="shared" si="40"/>
        <v>1381.7683333333334</v>
      </c>
      <c r="K184" s="327">
        <f t="shared" si="45"/>
        <v>328.9990401666667</v>
      </c>
      <c r="L184" s="327">
        <f t="shared" si="41"/>
        <v>1228.2385185185185</v>
      </c>
      <c r="M184" s="330">
        <f t="shared" si="42"/>
        <v>25178.981747518519</v>
      </c>
    </row>
    <row r="185" spans="2:13" x14ac:dyDescent="0.2">
      <c r="B185" s="1" t="s">
        <v>547</v>
      </c>
      <c r="C185" s="1" t="s">
        <v>559</v>
      </c>
      <c r="D185" s="1" t="s">
        <v>364</v>
      </c>
      <c r="E185" s="1"/>
      <c r="F185" s="327">
        <v>15973.53</v>
      </c>
      <c r="G185" s="327">
        <f t="shared" si="43"/>
        <v>3803.297493</v>
      </c>
      <c r="H185" s="327">
        <f t="shared" si="39"/>
        <v>1331.1275000000001</v>
      </c>
      <c r="I185" s="327">
        <f t="shared" si="44"/>
        <v>316.94145775000004</v>
      </c>
      <c r="J185" s="327">
        <f t="shared" si="40"/>
        <v>1331.1275000000001</v>
      </c>
      <c r="K185" s="327">
        <f t="shared" si="45"/>
        <v>316.94145775000004</v>
      </c>
      <c r="L185" s="327">
        <f t="shared" si="41"/>
        <v>1183.2244444444445</v>
      </c>
      <c r="M185" s="330">
        <f t="shared" si="42"/>
        <v>24256.189852944444</v>
      </c>
    </row>
    <row r="186" spans="2:13" x14ac:dyDescent="0.2">
      <c r="B186" s="1" t="s">
        <v>548</v>
      </c>
      <c r="C186" s="1" t="s">
        <v>559</v>
      </c>
      <c r="D186" s="1" t="s">
        <v>365</v>
      </c>
      <c r="E186" s="1"/>
      <c r="F186" s="327">
        <v>6334.83</v>
      </c>
      <c r="G186" s="327">
        <f t="shared" si="43"/>
        <v>1508.3230229999999</v>
      </c>
      <c r="H186" s="327">
        <f t="shared" si="39"/>
        <v>527.90250000000003</v>
      </c>
      <c r="I186" s="327">
        <f t="shared" si="44"/>
        <v>125.69358525000001</v>
      </c>
      <c r="J186" s="327">
        <f t="shared" si="40"/>
        <v>527.90250000000003</v>
      </c>
      <c r="K186" s="327">
        <f t="shared" si="45"/>
        <v>125.69358525000001</v>
      </c>
      <c r="L186" s="327">
        <f t="shared" si="41"/>
        <v>469.24666666666667</v>
      </c>
      <c r="M186" s="330">
        <f t="shared" si="42"/>
        <v>9619.5918601666672</v>
      </c>
    </row>
    <row r="187" spans="2:13" x14ac:dyDescent="0.2">
      <c r="B187" s="1" t="s">
        <v>549</v>
      </c>
      <c r="C187" s="1" t="s">
        <v>559</v>
      </c>
      <c r="D187" s="1" t="s">
        <v>366</v>
      </c>
      <c r="E187" s="1"/>
      <c r="F187" s="327">
        <v>6334.83</v>
      </c>
      <c r="G187" s="327">
        <f t="shared" si="43"/>
        <v>1508.3230229999999</v>
      </c>
      <c r="H187" s="327">
        <f t="shared" ref="H187:H194" si="46">F187/12</f>
        <v>527.90250000000003</v>
      </c>
      <c r="I187" s="327">
        <f t="shared" si="44"/>
        <v>125.69358525000001</v>
      </c>
      <c r="J187" s="327">
        <f t="shared" ref="J187:J194" si="47">F187/12</f>
        <v>527.90250000000003</v>
      </c>
      <c r="K187" s="327">
        <f t="shared" si="45"/>
        <v>125.69358525000001</v>
      </c>
      <c r="L187" s="327">
        <f t="shared" ref="L187:L194" si="48">F187/13.5</f>
        <v>469.24666666666667</v>
      </c>
      <c r="M187" s="330">
        <f t="shared" ref="M187:M194" si="49">SUM(G187:L187)+F187</f>
        <v>9619.5918601666672</v>
      </c>
    </row>
    <row r="188" spans="2:13" x14ac:dyDescent="0.2">
      <c r="B188" s="1" t="s">
        <v>550</v>
      </c>
      <c r="C188" s="1" t="s">
        <v>367</v>
      </c>
      <c r="D188" s="1" t="s">
        <v>367</v>
      </c>
      <c r="E188" s="1"/>
      <c r="F188" s="327">
        <v>55554.31</v>
      </c>
      <c r="G188" s="327">
        <f t="shared" si="43"/>
        <v>13227.481211</v>
      </c>
      <c r="H188" s="327">
        <f t="shared" si="46"/>
        <v>4629.5258333333331</v>
      </c>
      <c r="I188" s="327">
        <f t="shared" si="44"/>
        <v>1102.2901009166667</v>
      </c>
      <c r="J188" s="327">
        <f t="shared" si="47"/>
        <v>4629.5258333333331</v>
      </c>
      <c r="K188" s="327">
        <f t="shared" si="45"/>
        <v>1102.2901009166667</v>
      </c>
      <c r="L188" s="327">
        <f t="shared" si="48"/>
        <v>4115.1340740740743</v>
      </c>
      <c r="M188" s="330">
        <f t="shared" si="49"/>
        <v>84360.557153574075</v>
      </c>
    </row>
    <row r="189" spans="2:13" x14ac:dyDescent="0.2">
      <c r="B189" s="1" t="s">
        <v>551</v>
      </c>
      <c r="C189" s="1" t="s">
        <v>368</v>
      </c>
      <c r="D189" s="1" t="s">
        <v>368</v>
      </c>
      <c r="E189" s="1"/>
      <c r="F189" s="327">
        <v>12388.59</v>
      </c>
      <c r="G189" s="327">
        <f t="shared" si="43"/>
        <v>2949.7232790000003</v>
      </c>
      <c r="H189" s="327">
        <f t="shared" si="46"/>
        <v>1032.3824999999999</v>
      </c>
      <c r="I189" s="327">
        <f t="shared" si="44"/>
        <v>245.81027324999999</v>
      </c>
      <c r="J189" s="327">
        <f t="shared" si="47"/>
        <v>1032.3824999999999</v>
      </c>
      <c r="K189" s="327">
        <f t="shared" si="45"/>
        <v>245.81027324999999</v>
      </c>
      <c r="L189" s="327">
        <f t="shared" si="48"/>
        <v>917.67333333333329</v>
      </c>
      <c r="M189" s="330">
        <f t="shared" si="49"/>
        <v>18812.372158833336</v>
      </c>
    </row>
    <row r="190" spans="2:13" x14ac:dyDescent="0.2">
      <c r="B190" s="1" t="s">
        <v>552</v>
      </c>
      <c r="C190" s="1" t="s">
        <v>369</v>
      </c>
      <c r="D190" s="1" t="s">
        <v>369</v>
      </c>
      <c r="E190" s="1"/>
      <c r="F190" s="327">
        <v>17781.22</v>
      </c>
      <c r="G190" s="327">
        <f t="shared" si="43"/>
        <v>4233.708482</v>
      </c>
      <c r="H190" s="327">
        <f t="shared" si="46"/>
        <v>1481.7683333333334</v>
      </c>
      <c r="I190" s="327">
        <f t="shared" si="44"/>
        <v>352.8090401666667</v>
      </c>
      <c r="J190" s="327">
        <f t="shared" si="47"/>
        <v>1481.7683333333334</v>
      </c>
      <c r="K190" s="327">
        <f t="shared" si="45"/>
        <v>352.8090401666667</v>
      </c>
      <c r="L190" s="327">
        <f t="shared" si="48"/>
        <v>1317.1274074074074</v>
      </c>
      <c r="M190" s="330">
        <f t="shared" si="49"/>
        <v>27001.21063640741</v>
      </c>
    </row>
    <row r="191" spans="2:13" x14ac:dyDescent="0.2">
      <c r="B191" s="1" t="s">
        <v>553</v>
      </c>
      <c r="C191" s="1" t="s">
        <v>562</v>
      </c>
      <c r="D191" s="1" t="s">
        <v>370</v>
      </c>
      <c r="E191" s="1"/>
      <c r="F191" s="327">
        <v>22180.16</v>
      </c>
      <c r="G191" s="327">
        <f t="shared" si="43"/>
        <v>5281.0960960000002</v>
      </c>
      <c r="H191" s="327">
        <f t="shared" si="46"/>
        <v>1848.3466666666666</v>
      </c>
      <c r="I191" s="327">
        <f t="shared" si="44"/>
        <v>440.09134133333333</v>
      </c>
      <c r="J191" s="327">
        <f t="shared" si="47"/>
        <v>1848.3466666666666</v>
      </c>
      <c r="K191" s="327">
        <f t="shared" si="45"/>
        <v>440.09134133333333</v>
      </c>
      <c r="L191" s="327">
        <f t="shared" si="48"/>
        <v>1642.9748148148149</v>
      </c>
      <c r="M191" s="330">
        <f t="shared" si="49"/>
        <v>33681.106926814813</v>
      </c>
    </row>
    <row r="192" spans="2:13" x14ac:dyDescent="0.2">
      <c r="B192" s="1" t="s">
        <v>554</v>
      </c>
      <c r="C192" s="1" t="s">
        <v>563</v>
      </c>
      <c r="D192" s="1" t="s">
        <v>564</v>
      </c>
      <c r="E192" s="1"/>
      <c r="F192" s="327">
        <v>22111.67</v>
      </c>
      <c r="G192" s="327">
        <f t="shared" si="43"/>
        <v>5264.7886269999999</v>
      </c>
      <c r="H192" s="327">
        <f t="shared" si="46"/>
        <v>1842.6391666666666</v>
      </c>
      <c r="I192" s="327">
        <f t="shared" si="44"/>
        <v>438.73238558333333</v>
      </c>
      <c r="J192" s="327">
        <f t="shared" si="47"/>
        <v>1842.6391666666666</v>
      </c>
      <c r="K192" s="327">
        <f t="shared" si="45"/>
        <v>438.73238558333333</v>
      </c>
      <c r="L192" s="327">
        <f t="shared" si="48"/>
        <v>1637.9014814814814</v>
      </c>
      <c r="M192" s="330">
        <f t="shared" si="49"/>
        <v>33577.103212981478</v>
      </c>
    </row>
    <row r="193" spans="2:13" x14ac:dyDescent="0.2">
      <c r="B193" s="1" t="s">
        <v>555</v>
      </c>
      <c r="C193" s="1" t="s">
        <v>563</v>
      </c>
      <c r="D193" s="1" t="s">
        <v>565</v>
      </c>
      <c r="E193" s="1"/>
      <c r="F193" s="327">
        <v>16608.34</v>
      </c>
      <c r="G193" s="327">
        <f t="shared" si="43"/>
        <v>3954.4457540000003</v>
      </c>
      <c r="H193" s="327">
        <f t="shared" si="46"/>
        <v>1384.0283333333334</v>
      </c>
      <c r="I193" s="327">
        <f t="shared" si="44"/>
        <v>329.53714616666667</v>
      </c>
      <c r="J193" s="327">
        <f t="shared" si="47"/>
        <v>1384.0283333333334</v>
      </c>
      <c r="K193" s="327">
        <f t="shared" si="45"/>
        <v>329.53714616666667</v>
      </c>
      <c r="L193" s="327">
        <f t="shared" si="48"/>
        <v>1230.2474074074073</v>
      </c>
      <c r="M193" s="330">
        <f t="shared" si="49"/>
        <v>25220.164120407408</v>
      </c>
    </row>
    <row r="194" spans="2:13" s="333" customFormat="1" ht="15" thickBot="1" x14ac:dyDescent="0.25">
      <c r="B194" s="1" t="s">
        <v>556</v>
      </c>
      <c r="C194" s="1" t="s">
        <v>371</v>
      </c>
      <c r="D194" s="1" t="s">
        <v>371</v>
      </c>
      <c r="E194" s="1"/>
      <c r="F194" s="327">
        <v>105583.33</v>
      </c>
      <c r="G194" s="327">
        <f t="shared" si="43"/>
        <v>25139.390873</v>
      </c>
      <c r="H194" s="327">
        <f t="shared" si="46"/>
        <v>8798.6108333333341</v>
      </c>
      <c r="I194" s="327">
        <f t="shared" si="44"/>
        <v>2094.9492394166668</v>
      </c>
      <c r="J194" s="327">
        <f t="shared" si="47"/>
        <v>8798.6108333333341</v>
      </c>
      <c r="K194" s="327">
        <f t="shared" si="45"/>
        <v>2094.9492394166668</v>
      </c>
      <c r="L194" s="327">
        <f t="shared" si="48"/>
        <v>7820.9874074074078</v>
      </c>
      <c r="M194" s="330">
        <f t="shared" si="49"/>
        <v>160330.82842590741</v>
      </c>
    </row>
    <row r="195" spans="2:13" ht="15" thickBot="1" x14ac:dyDescent="0.25">
      <c r="B195" s="334" t="s">
        <v>3</v>
      </c>
      <c r="C195" s="335"/>
      <c r="D195" s="335"/>
      <c r="E195" s="335"/>
      <c r="F195" s="336">
        <f>SUBTOTAL(109,Tabella2[RAL])</f>
        <v>3258955.9800000112</v>
      </c>
      <c r="G195" s="336">
        <f>SUBTOTAL(109,Tabella2[Contributi])</f>
        <v>775957.41883799736</v>
      </c>
      <c r="H195" s="336">
        <f>SUBTOTAL(109,Tabella2[13ma])</f>
        <v>271579.66499999998</v>
      </c>
      <c r="I195" s="336">
        <f>SUBTOTAL(109,Tabella2[Contributi 13ma])</f>
        <v>64663.118236499991</v>
      </c>
      <c r="J195" s="336">
        <f>SUBTOTAL(109,Tabella2[14ma])</f>
        <v>271579.66499999998</v>
      </c>
      <c r="K195" s="336">
        <f>SUBTOTAL(109,Tabella2[Contributi 14m])</f>
        <v>64663.118236499991</v>
      </c>
      <c r="L195" s="336">
        <f>SUBTOTAL(109,Tabella2[TFR])</f>
        <v>241404.14666666702</v>
      </c>
      <c r="M195" s="337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dimension ref="B2:O42"/>
  <sheetViews>
    <sheetView showGridLines="0" topLeftCell="A31" zoomScale="191" zoomScaleNormal="160" workbookViewId="0">
      <selection activeCell="L42" sqref="L42"/>
    </sheetView>
  </sheetViews>
  <sheetFormatPr baseColWidth="10" defaultRowHeight="16" x14ac:dyDescent="0.2"/>
  <cols>
    <col min="1" max="1" width="10.83203125" style="2"/>
    <col min="2" max="2" width="27.33203125" style="2" bestFit="1" customWidth="1"/>
    <col min="3" max="3" width="11.1640625" style="15" customWidth="1"/>
    <col min="4" max="10" width="11.1640625" style="2" customWidth="1"/>
    <col min="11" max="12" width="12.1640625" style="2" customWidth="1"/>
    <col min="13" max="14" width="11" style="2" bestFit="1" customWidth="1"/>
    <col min="15" max="15" width="11.5" style="2" bestFit="1" customWidth="1"/>
    <col min="16" max="16384" width="10.83203125" style="2"/>
  </cols>
  <sheetData>
    <row r="2" spans="2:12" x14ac:dyDescent="0.2">
      <c r="B2" s="73" t="s">
        <v>575</v>
      </c>
    </row>
    <row r="3" spans="2:12" ht="17" thickBot="1" x14ac:dyDescent="0.25">
      <c r="B3" s="73"/>
    </row>
    <row r="4" spans="2:12" x14ac:dyDescent="0.2">
      <c r="B4" s="12"/>
      <c r="C4" s="455" t="s">
        <v>65</v>
      </c>
      <c r="D4" s="456"/>
      <c r="E4" s="456"/>
      <c r="F4" s="456"/>
      <c r="G4" s="456"/>
      <c r="H4" s="456"/>
      <c r="I4" s="456"/>
      <c r="J4" s="456"/>
      <c r="K4" s="456"/>
      <c r="L4" s="457"/>
    </row>
    <row r="5" spans="2:12" x14ac:dyDescent="0.2">
      <c r="B5" s="82"/>
      <c r="C5" s="325" t="s">
        <v>566</v>
      </c>
      <c r="D5" s="326" t="s">
        <v>176</v>
      </c>
      <c r="E5" s="326" t="s">
        <v>567</v>
      </c>
      <c r="F5" s="326" t="s">
        <v>37</v>
      </c>
      <c r="G5" s="326" t="s">
        <v>177</v>
      </c>
      <c r="H5" s="326" t="s">
        <v>38</v>
      </c>
      <c r="I5" s="326" t="s">
        <v>568</v>
      </c>
      <c r="J5" s="81" t="s">
        <v>41</v>
      </c>
      <c r="K5" s="339" t="s">
        <v>179</v>
      </c>
      <c r="L5" s="340" t="s">
        <v>574</v>
      </c>
    </row>
    <row r="6" spans="2:12" x14ac:dyDescent="0.2">
      <c r="B6" s="341" t="s">
        <v>371</v>
      </c>
      <c r="C6" s="71">
        <f>COUNTIF(Tabella2[Funzioni],'Tab. 10'!B6)</f>
        <v>1</v>
      </c>
      <c r="D6" s="74">
        <f>SUMIF(Tabella2[Funzioni],'Tab. 10'!$B6,Tabella2[RAL])</f>
        <v>105583.33</v>
      </c>
      <c r="E6" s="74">
        <f>SUMIF(Tabella2[Funzioni],'Tab. 10'!$B6,Tabella2[Contributi])</f>
        <v>25139.390873</v>
      </c>
      <c r="F6" s="74">
        <f>SUMIF(Tabella2[Funzioni],'Tab. 10'!$B6,Tabella2[13ma])</f>
        <v>8798.6108333333341</v>
      </c>
      <c r="G6" s="74">
        <f>SUMIF(Tabella2[Funzioni],'Tab. 10'!$B6,Tabella2[Contributi 13ma])</f>
        <v>2094.9492394166668</v>
      </c>
      <c r="H6" s="74">
        <f>SUMIF(Tabella2[Funzioni],'Tab. 10'!$B6,Tabella2[14ma])</f>
        <v>8798.6108333333341</v>
      </c>
      <c r="I6" s="74">
        <f>SUMIF(Tabella2[Funzioni],'Tab. 10'!$B6,Tabella2[Contributi 14m])</f>
        <v>2094.9492394166668</v>
      </c>
      <c r="J6" s="74">
        <f>SUMIF(Tabella2[Funzioni],'Tab. 10'!$B6,Tabella2[TFR])</f>
        <v>7820.9874074074078</v>
      </c>
      <c r="K6" s="342">
        <f>SUM(D6:J6)</f>
        <v>160330.82842590738</v>
      </c>
      <c r="L6" s="343">
        <f>K6/C6</f>
        <v>160330.82842590738</v>
      </c>
    </row>
    <row r="7" spans="2:12" x14ac:dyDescent="0.2">
      <c r="B7" s="344"/>
      <c r="D7" s="77"/>
      <c r="E7" s="77"/>
      <c r="F7" s="77"/>
      <c r="G7" s="77"/>
      <c r="H7" s="77"/>
      <c r="I7" s="77"/>
      <c r="J7" s="77"/>
      <c r="K7" s="345"/>
      <c r="L7" s="346"/>
    </row>
    <row r="8" spans="2:12" x14ac:dyDescent="0.2">
      <c r="B8" s="344" t="s">
        <v>180</v>
      </c>
      <c r="C8" s="15">
        <f>COUNTIF(Tabella2[Funzioni],'Tab. 10'!B8)</f>
        <v>1</v>
      </c>
      <c r="D8" s="76">
        <f>SUMIF(Tabella2[Funzioni],'Tab. 10'!$B8,Tabella2[RAL])</f>
        <v>52666.67</v>
      </c>
      <c r="E8" s="76">
        <f>SUMIF(Tabella2[Funzioni],'Tab. 10'!$B8,Tabella2[Contributi])</f>
        <v>12539.934127</v>
      </c>
      <c r="F8" s="76">
        <f>SUMIF(Tabella2[Funzioni],'Tab. 10'!$B8,Tabella2[13ma])</f>
        <v>4388.8891666666668</v>
      </c>
      <c r="G8" s="76">
        <f>SUMIF(Tabella2[Funzioni],'Tab. 10'!$B8,Tabella2[Contributi 13ma])</f>
        <v>1044.9945105833333</v>
      </c>
      <c r="H8" s="76">
        <f>SUMIF(Tabella2[Funzioni],'Tab. 10'!$B8,Tabella2[14ma])</f>
        <v>4388.8891666666668</v>
      </c>
      <c r="I8" s="76">
        <f>SUMIF(Tabella2[Funzioni],'Tab. 10'!$B8,Tabella2[Contributi 14m])</f>
        <v>1044.9945105833333</v>
      </c>
      <c r="J8" s="76">
        <f>SUMIF(Tabella2[Funzioni],'Tab. 10'!$B8,Tabella2[TFR])</f>
        <v>3901.2348148148149</v>
      </c>
      <c r="K8" s="345">
        <f>SUM(D8:J8)</f>
        <v>79975.6062963148</v>
      </c>
      <c r="L8" s="346">
        <f>K8/C8</f>
        <v>79975.6062963148</v>
      </c>
    </row>
    <row r="9" spans="2:12" x14ac:dyDescent="0.2">
      <c r="B9" s="344" t="s">
        <v>296</v>
      </c>
      <c r="C9" s="15">
        <f>COUNTIF(Tabella2[Funzioni],'Tab. 10'!B9)</f>
        <v>1</v>
      </c>
      <c r="D9" s="76">
        <f>SUMIF(Tabella2[Funzioni],'Tab. 10'!$B9,Tabella2[RAL])</f>
        <v>23537.57</v>
      </c>
      <c r="E9" s="76">
        <f>SUMIF(Tabella2[Funzioni],'Tab. 10'!$B9,Tabella2[Contributi])</f>
        <v>5604.2954170000003</v>
      </c>
      <c r="F9" s="76">
        <f>SUMIF(Tabella2[Funzioni],'Tab. 10'!$B9,Tabella2[13ma])</f>
        <v>1961.4641666666666</v>
      </c>
      <c r="G9" s="76">
        <f>SUMIF(Tabella2[Funzioni],'Tab. 10'!$B9,Tabella2[Contributi 13ma])</f>
        <v>467.02461808333334</v>
      </c>
      <c r="H9" s="76">
        <f>SUMIF(Tabella2[Funzioni],'Tab. 10'!$B9,Tabella2[14ma])</f>
        <v>1961.4641666666666</v>
      </c>
      <c r="I9" s="76">
        <f>SUMIF(Tabella2[Funzioni],'Tab. 10'!$B9,Tabella2[Contributi 14m])</f>
        <v>467.02461808333334</v>
      </c>
      <c r="J9" s="76">
        <f>SUMIF(Tabella2[Funzioni],'Tab. 10'!$B9,Tabella2[TFR])</f>
        <v>1743.5237037037036</v>
      </c>
      <c r="K9" s="345">
        <f>SUM(D9:J9)</f>
        <v>35742.3666902037</v>
      </c>
      <c r="L9" s="346">
        <f>K9/C9</f>
        <v>35742.3666902037</v>
      </c>
    </row>
    <row r="10" spans="2:12" x14ac:dyDescent="0.2">
      <c r="B10" s="344" t="s">
        <v>297</v>
      </c>
      <c r="C10" s="15">
        <f>COUNTIF(Tabella2[Funzioni],'Tab. 10'!B10)</f>
        <v>1</v>
      </c>
      <c r="D10" s="76">
        <f>SUMIF(Tabella2[Funzioni],'Tab. 10'!$B10,Tabella2[RAL])</f>
        <v>40536.639999999999</v>
      </c>
      <c r="E10" s="76">
        <f>SUMIF(Tabella2[Funzioni],'Tab. 10'!$B10,Tabella2[Contributi])</f>
        <v>9651.7739839999995</v>
      </c>
      <c r="F10" s="76">
        <f>SUMIF(Tabella2[Funzioni],'Tab. 10'!$B10,Tabella2[13ma])</f>
        <v>3378.0533333333333</v>
      </c>
      <c r="G10" s="76">
        <f>SUMIF(Tabella2[Funzioni],'Tab. 10'!$B10,Tabella2[Contributi 13ma])</f>
        <v>804.31449866666662</v>
      </c>
      <c r="H10" s="76">
        <f>SUMIF(Tabella2[Funzioni],'Tab. 10'!$B10,Tabella2[14ma])</f>
        <v>3378.0533333333333</v>
      </c>
      <c r="I10" s="76">
        <f>SUMIF(Tabella2[Funzioni],'Tab. 10'!$B10,Tabella2[Contributi 14m])</f>
        <v>804.31449866666662</v>
      </c>
      <c r="J10" s="76">
        <f>SUMIF(Tabella2[Funzioni],'Tab. 10'!$B10,Tabella2[TFR])</f>
        <v>3002.7140740740742</v>
      </c>
      <c r="K10" s="345">
        <f>SUM(D10:J10)</f>
        <v>61555.863722074071</v>
      </c>
      <c r="L10" s="346">
        <f>K10/C10</f>
        <v>61555.863722074071</v>
      </c>
    </row>
    <row r="11" spans="2:12" x14ac:dyDescent="0.2">
      <c r="B11" s="341" t="s">
        <v>558</v>
      </c>
      <c r="C11" s="71">
        <f t="shared" ref="C11:K11" si="0">SUM(C8:C10)</f>
        <v>3</v>
      </c>
      <c r="D11" s="74">
        <f t="shared" si="0"/>
        <v>116740.87999999999</v>
      </c>
      <c r="E11" s="74">
        <f t="shared" si="0"/>
        <v>27796.003528000001</v>
      </c>
      <c r="F11" s="74">
        <f t="shared" si="0"/>
        <v>9728.4066666666658</v>
      </c>
      <c r="G11" s="74">
        <f t="shared" si="0"/>
        <v>2316.3336273333334</v>
      </c>
      <c r="H11" s="74">
        <f t="shared" si="0"/>
        <v>9728.4066666666658</v>
      </c>
      <c r="I11" s="74">
        <f t="shared" si="0"/>
        <v>2316.3336273333334</v>
      </c>
      <c r="J11" s="74">
        <f t="shared" si="0"/>
        <v>8647.4725925925923</v>
      </c>
      <c r="K11" s="342">
        <f t="shared" si="0"/>
        <v>177273.83670859257</v>
      </c>
      <c r="L11" s="343">
        <f>K11/C11</f>
        <v>59091.278902864193</v>
      </c>
    </row>
    <row r="12" spans="2:12" x14ac:dyDescent="0.2">
      <c r="B12" s="344"/>
      <c r="K12" s="347"/>
      <c r="L12" s="348"/>
    </row>
    <row r="13" spans="2:12" x14ac:dyDescent="0.2">
      <c r="B13" s="344" t="s">
        <v>183</v>
      </c>
      <c r="C13" s="15">
        <f>COUNTIF(Tabella2[Funzioni],'Tab. 10'!B13)</f>
        <v>1</v>
      </c>
      <c r="D13" s="76">
        <f>SUMIF(Tabella2[Funzioni],'Tab. 10'!$B13,Tabella2[RAL])</f>
        <v>59504.31</v>
      </c>
      <c r="E13" s="76">
        <f>SUMIF(Tabella2[Funzioni],'Tab. 10'!$B13,Tabella2[Contributi])</f>
        <v>14167.976210999999</v>
      </c>
      <c r="F13" s="76">
        <f>SUMIF(Tabella2[Funzioni],'Tab. 10'!$B13,Tabella2[13ma])</f>
        <v>4958.6925000000001</v>
      </c>
      <c r="G13" s="76">
        <f>SUMIF(Tabella2[Funzioni],'Tab. 10'!$B13,Tabella2[Contributi 13ma])</f>
        <v>1180.6646842500002</v>
      </c>
      <c r="H13" s="76">
        <f>SUMIF(Tabella2[Funzioni],'Tab. 10'!$B13,Tabella2[14ma])</f>
        <v>4958.6925000000001</v>
      </c>
      <c r="I13" s="76">
        <f>SUMIF(Tabella2[Funzioni],'Tab. 10'!$B13,Tabella2[Contributi 14m])</f>
        <v>1180.6646842500002</v>
      </c>
      <c r="J13" s="76">
        <f>SUMIF(Tabella2[Funzioni],'Tab. 10'!$B13,Tabella2[TFR])</f>
        <v>4407.7266666666665</v>
      </c>
      <c r="K13" s="345">
        <f t="shared" ref="K13:K19" si="1">SUM(D13:J13)</f>
        <v>90358.727246166687</v>
      </c>
      <c r="L13" s="346">
        <f t="shared" ref="L13:L20" si="2">K13/C13</f>
        <v>90358.727246166687</v>
      </c>
    </row>
    <row r="14" spans="2:12" x14ac:dyDescent="0.2">
      <c r="B14" s="344" t="s">
        <v>299</v>
      </c>
      <c r="C14" s="15">
        <f>COUNTIF(Tabella2[Funzioni],'Tab. 10'!B14)</f>
        <v>110</v>
      </c>
      <c r="D14" s="76">
        <f>SUMIF(Tabella2[Funzioni],'Tab. 10'!$B14,Tabella2[RAL])</f>
        <v>1724420.4400000034</v>
      </c>
      <c r="E14" s="76">
        <f>SUMIF(Tabella2[Funzioni],'Tab. 10'!$B14,Tabella2[Contributi])</f>
        <v>410584.50676399923</v>
      </c>
      <c r="F14" s="76">
        <f>SUMIF(Tabella2[Funzioni],'Tab. 10'!$B14,Tabella2[13ma])</f>
        <v>143701.70333333313</v>
      </c>
      <c r="G14" s="76">
        <f>SUMIF(Tabella2[Funzioni],'Tab. 10'!$B14,Tabella2[Contributi 13ma])</f>
        <v>34215.375563666697</v>
      </c>
      <c r="H14" s="76">
        <f>SUMIF(Tabella2[Funzioni],'Tab. 10'!$B14,Tabella2[14ma])</f>
        <v>143701.70333333313</v>
      </c>
      <c r="I14" s="76">
        <f>SUMIF(Tabella2[Funzioni],'Tab. 10'!$B14,Tabella2[Contributi 14m])</f>
        <v>34215.375563666697</v>
      </c>
      <c r="J14" s="76">
        <f>SUMIF(Tabella2[Funzioni],'Tab. 10'!$B14,Tabella2[TFR])</f>
        <v>127734.84740740783</v>
      </c>
      <c r="K14" s="345">
        <f t="shared" si="1"/>
        <v>2618573.9519654103</v>
      </c>
      <c r="L14" s="346">
        <f t="shared" si="2"/>
        <v>23805.217745140093</v>
      </c>
    </row>
    <row r="15" spans="2:12" x14ac:dyDescent="0.2">
      <c r="B15" s="344" t="s">
        <v>300</v>
      </c>
      <c r="C15" s="15">
        <f>COUNTIF(Tabella2[Funzioni],'Tab. 10'!B15)</f>
        <v>16</v>
      </c>
      <c r="D15" s="76">
        <f>SUMIF(Tabella2[Funzioni],'Tab. 10'!$B15,Tabella2[RAL])</f>
        <v>245463.00999999995</v>
      </c>
      <c r="E15" s="76">
        <f>SUMIF(Tabella2[Funzioni],'Tab. 10'!$B15,Tabella2[Contributi])</f>
        <v>58444.742680999989</v>
      </c>
      <c r="F15" s="76">
        <f>SUMIF(Tabella2[Funzioni],'Tab. 10'!$B15,Tabella2[13ma])</f>
        <v>20455.250833333343</v>
      </c>
      <c r="G15" s="76">
        <f>SUMIF(Tabella2[Funzioni],'Tab. 10'!$B15,Tabella2[Contributi 13ma])</f>
        <v>4870.3952234166663</v>
      </c>
      <c r="H15" s="76">
        <f>SUMIF(Tabella2[Funzioni],'Tab. 10'!$B15,Tabella2[14ma])</f>
        <v>20455.250833333343</v>
      </c>
      <c r="I15" s="76">
        <f>SUMIF(Tabella2[Funzioni],'Tab. 10'!$B15,Tabella2[Contributi 14m])</f>
        <v>4870.3952234166663</v>
      </c>
      <c r="J15" s="76">
        <f>SUMIF(Tabella2[Funzioni],'Tab. 10'!$B15,Tabella2[TFR])</f>
        <v>18182.445185185185</v>
      </c>
      <c r="K15" s="345">
        <f t="shared" si="1"/>
        <v>372741.48997968517</v>
      </c>
      <c r="L15" s="346">
        <f t="shared" si="2"/>
        <v>23296.343123730323</v>
      </c>
    </row>
    <row r="16" spans="2:12" x14ac:dyDescent="0.2">
      <c r="B16" s="344" t="s">
        <v>561</v>
      </c>
      <c r="C16" s="15">
        <f>COUNTIF(Tabella2[Funzioni],'Tab. 10'!B16)</f>
        <v>1</v>
      </c>
      <c r="D16" s="76">
        <f>SUMIF(Tabella2[Funzioni],'Tab. 10'!$B16,Tabella2[RAL])</f>
        <v>17458.009999999998</v>
      </c>
      <c r="E16" s="76">
        <f>SUMIF(Tabella2[Funzioni],'Tab. 10'!$B16,Tabella2[Contributi])</f>
        <v>4156.7521809999998</v>
      </c>
      <c r="F16" s="76">
        <f>SUMIF(Tabella2[Funzioni],'Tab. 10'!$B16,Tabella2[13ma])</f>
        <v>1454.8341666666665</v>
      </c>
      <c r="G16" s="76">
        <f>SUMIF(Tabella2[Funzioni],'Tab. 10'!$B16,Tabella2[Contributi 13ma])</f>
        <v>346.39601508333334</v>
      </c>
      <c r="H16" s="76">
        <f>SUMIF(Tabella2[Funzioni],'Tab. 10'!$B16,Tabella2[14ma])</f>
        <v>1454.8341666666665</v>
      </c>
      <c r="I16" s="76">
        <f>SUMIF(Tabella2[Funzioni],'Tab. 10'!$B16,Tabella2[Contributi 14m])</f>
        <v>346.39601508333334</v>
      </c>
      <c r="J16" s="76">
        <f>SUMIF(Tabella2[Funzioni],'Tab. 10'!$B16,Tabella2[TFR])</f>
        <v>1293.1859259259259</v>
      </c>
      <c r="K16" s="345">
        <f t="shared" si="1"/>
        <v>26510.408470425926</v>
      </c>
      <c r="L16" s="346">
        <f t="shared" si="2"/>
        <v>26510.408470425926</v>
      </c>
    </row>
    <row r="17" spans="2:12" x14ac:dyDescent="0.2">
      <c r="B17" s="344" t="s">
        <v>323</v>
      </c>
      <c r="C17" s="15">
        <f>COUNTIF(Tabella2[Funzioni],'Tab. 10'!B17)</f>
        <v>2</v>
      </c>
      <c r="D17" s="76">
        <f>SUMIF(Tabella2[Funzioni],'Tab. 10'!$B17,Tabella2[RAL])</f>
        <v>26335.3</v>
      </c>
      <c r="E17" s="76">
        <f>SUMIF(Tabella2[Funzioni],'Tab. 10'!$B17,Tabella2[Contributi])</f>
        <v>6270.4349300000003</v>
      </c>
      <c r="F17" s="76">
        <f>SUMIF(Tabella2[Funzioni],'Tab. 10'!$B17,Tabella2[13ma])</f>
        <v>2194.6083333333331</v>
      </c>
      <c r="G17" s="76">
        <f>SUMIF(Tabella2[Funzioni],'Tab. 10'!$B17,Tabella2[Contributi 13ma])</f>
        <v>522.53624416666662</v>
      </c>
      <c r="H17" s="76">
        <f>SUMIF(Tabella2[Funzioni],'Tab. 10'!$B17,Tabella2[14ma])</f>
        <v>2194.6083333333331</v>
      </c>
      <c r="I17" s="76">
        <f>SUMIF(Tabella2[Funzioni],'Tab. 10'!$B17,Tabella2[Contributi 14m])</f>
        <v>522.53624416666662</v>
      </c>
      <c r="J17" s="76">
        <f>SUMIF(Tabella2[Funzioni],'Tab. 10'!$B17,Tabella2[TFR])</f>
        <v>1950.762962962963</v>
      </c>
      <c r="K17" s="345">
        <f t="shared" si="1"/>
        <v>39990.787047962956</v>
      </c>
      <c r="L17" s="346">
        <f t="shared" si="2"/>
        <v>19995.393523981478</v>
      </c>
    </row>
    <row r="18" spans="2:12" x14ac:dyDescent="0.2">
      <c r="B18" s="344" t="s">
        <v>317</v>
      </c>
      <c r="C18" s="15">
        <f>COUNTIF(Tabella2[Funzioni],'Tab. 10'!B18)</f>
        <v>1</v>
      </c>
      <c r="D18" s="76">
        <f>SUMIF(Tabella2[Funzioni],'Tab. 10'!$B18,Tabella2[RAL])</f>
        <v>24078.080000000002</v>
      </c>
      <c r="E18" s="76">
        <f>SUMIF(Tabella2[Funzioni],'Tab. 10'!$B18,Tabella2[Contributi])</f>
        <v>5732.9908480000004</v>
      </c>
      <c r="F18" s="76">
        <f>SUMIF(Tabella2[Funzioni],'Tab. 10'!$B18,Tabella2[13ma])</f>
        <v>2006.5066666666669</v>
      </c>
      <c r="G18" s="76">
        <f>SUMIF(Tabella2[Funzioni],'Tab. 10'!$B18,Tabella2[Contributi 13ma])</f>
        <v>477.74923733333338</v>
      </c>
      <c r="H18" s="76">
        <f>SUMIF(Tabella2[Funzioni],'Tab. 10'!$B18,Tabella2[14ma])</f>
        <v>2006.5066666666669</v>
      </c>
      <c r="I18" s="76">
        <f>SUMIF(Tabella2[Funzioni],'Tab. 10'!$B18,Tabella2[Contributi 14m])</f>
        <v>477.74923733333338</v>
      </c>
      <c r="J18" s="76">
        <f>SUMIF(Tabella2[Funzioni],'Tab. 10'!$B18,Tabella2[TFR])</f>
        <v>1783.5614814814817</v>
      </c>
      <c r="K18" s="345">
        <f t="shared" si="1"/>
        <v>36563.144137481482</v>
      </c>
      <c r="L18" s="346">
        <f t="shared" si="2"/>
        <v>36563.144137481482</v>
      </c>
    </row>
    <row r="19" spans="2:12" x14ac:dyDescent="0.2">
      <c r="B19" s="344" t="s">
        <v>318</v>
      </c>
      <c r="C19" s="15">
        <f>COUNTIF(Tabella2[Funzioni],'Tab. 10'!B19)</f>
        <v>2</v>
      </c>
      <c r="D19" s="76">
        <f>SUMIF(Tabella2[Funzioni],'Tab. 10'!$B19,Tabella2[RAL])</f>
        <v>52311.020000000004</v>
      </c>
      <c r="E19" s="76">
        <f>SUMIF(Tabella2[Funzioni],'Tab. 10'!$B19,Tabella2[Contributi])</f>
        <v>12455.253862000001</v>
      </c>
      <c r="F19" s="76">
        <f>SUMIF(Tabella2[Funzioni],'Tab. 10'!$B19,Tabella2[13ma])</f>
        <v>4359.251666666667</v>
      </c>
      <c r="G19" s="76">
        <f>SUMIF(Tabella2[Funzioni],'Tab. 10'!$B19,Tabella2[Contributi 13ma])</f>
        <v>1037.9378218333334</v>
      </c>
      <c r="H19" s="76">
        <f>SUMIF(Tabella2[Funzioni],'Tab. 10'!$B19,Tabella2[14ma])</f>
        <v>4359.251666666667</v>
      </c>
      <c r="I19" s="76">
        <f>SUMIF(Tabella2[Funzioni],'Tab. 10'!$B19,Tabella2[Contributi 14m])</f>
        <v>1037.9378218333334</v>
      </c>
      <c r="J19" s="76">
        <f>SUMIF(Tabella2[Funzioni],'Tab. 10'!$B19,Tabella2[TFR])</f>
        <v>3874.8903703703704</v>
      </c>
      <c r="K19" s="345">
        <f t="shared" si="1"/>
        <v>79435.543209370357</v>
      </c>
      <c r="L19" s="346">
        <f t="shared" si="2"/>
        <v>39717.771604685178</v>
      </c>
    </row>
    <row r="20" spans="2:12" x14ac:dyDescent="0.2">
      <c r="B20" s="341" t="s">
        <v>298</v>
      </c>
      <c r="C20" s="71">
        <f t="shared" ref="C20:K20" si="3">SUM(C13:C19)</f>
        <v>133</v>
      </c>
      <c r="D20" s="74">
        <f t="shared" si="3"/>
        <v>2149570.1700000037</v>
      </c>
      <c r="E20" s="74">
        <f t="shared" si="3"/>
        <v>511812.65747699921</v>
      </c>
      <c r="F20" s="74">
        <f t="shared" si="3"/>
        <v>179130.84749999983</v>
      </c>
      <c r="G20" s="74">
        <f t="shared" si="3"/>
        <v>42651.054789750022</v>
      </c>
      <c r="H20" s="74">
        <f t="shared" si="3"/>
        <v>179130.84749999983</v>
      </c>
      <c r="I20" s="74">
        <f t="shared" si="3"/>
        <v>42651.054789750022</v>
      </c>
      <c r="J20" s="74">
        <f t="shared" si="3"/>
        <v>159227.42000000042</v>
      </c>
      <c r="K20" s="342">
        <f t="shared" si="3"/>
        <v>3264174.052056503</v>
      </c>
      <c r="L20" s="343">
        <f t="shared" si="2"/>
        <v>24542.662045537618</v>
      </c>
    </row>
    <row r="21" spans="2:12" x14ac:dyDescent="0.2">
      <c r="B21" s="344"/>
      <c r="K21" s="347"/>
      <c r="L21" s="348"/>
    </row>
    <row r="22" spans="2:12" x14ac:dyDescent="0.2">
      <c r="B22" s="344" t="s">
        <v>325</v>
      </c>
      <c r="C22" s="15">
        <f>COUNTIF(Tabella2[Funzioni],'Tab. 10'!B22)</f>
        <v>1</v>
      </c>
      <c r="D22" s="76">
        <f>SUMIF(Tabella2[Funzioni],'Tab. 10'!$B22,Tabella2[RAL])</f>
        <v>70077.33</v>
      </c>
      <c r="E22" s="76">
        <f>SUMIF(Tabella2[Funzioni],'Tab. 10'!$B22,Tabella2[Contributi])</f>
        <v>16685.412273000002</v>
      </c>
      <c r="F22" s="76">
        <f>SUMIF(Tabella2[Funzioni],'Tab. 10'!$B22,Tabella2[13ma])</f>
        <v>5839.7775000000001</v>
      </c>
      <c r="G22" s="76">
        <f>SUMIF(Tabella2[Funzioni],'Tab. 10'!$B22,Tabella2[Contributi 13ma])</f>
        <v>1390.45102275</v>
      </c>
      <c r="H22" s="76">
        <f>SUMIF(Tabella2[Funzioni],'Tab. 10'!$B22,Tabella2[14ma])</f>
        <v>5839.7775000000001</v>
      </c>
      <c r="I22" s="76">
        <f>SUMIF(Tabella2[Funzioni],'Tab. 10'!$B22,Tabella2[Contributi 14m])</f>
        <v>1390.45102275</v>
      </c>
      <c r="J22" s="76">
        <f>SUMIF(Tabella2[Funzioni],'Tab. 10'!$B22,Tabella2[TFR])</f>
        <v>5190.9133333333339</v>
      </c>
      <c r="K22" s="345">
        <f>SUM(D22:J22)</f>
        <v>106414.11265183333</v>
      </c>
      <c r="L22" s="346">
        <f>K22/C22</f>
        <v>106414.11265183333</v>
      </c>
    </row>
    <row r="23" spans="2:12" x14ac:dyDescent="0.2">
      <c r="B23" s="344" t="s">
        <v>133</v>
      </c>
      <c r="C23" s="15">
        <f>COUNTIF(Tabella2[Funzioni],'Tab. 10'!B23)</f>
        <v>8</v>
      </c>
      <c r="D23" s="76">
        <f>SUMIF(Tabella2[Funzioni],'Tab. 10'!$B23,Tabella2[RAL])</f>
        <v>144280.19</v>
      </c>
      <c r="E23" s="76">
        <f>SUMIF(Tabella2[Funzioni],'Tab. 10'!$B23,Tabella2[Contributi])</f>
        <v>34353.113238999998</v>
      </c>
      <c r="F23" s="76">
        <f>SUMIF(Tabella2[Funzioni],'Tab. 10'!$B23,Tabella2[13ma])</f>
        <v>12023.349166666667</v>
      </c>
      <c r="G23" s="76">
        <f>SUMIF(Tabella2[Funzioni],'Tab. 10'!$B23,Tabella2[Contributi 13ma])</f>
        <v>2862.7594365833334</v>
      </c>
      <c r="H23" s="76">
        <f>SUMIF(Tabella2[Funzioni],'Tab. 10'!$B23,Tabella2[14ma])</f>
        <v>12023.349166666667</v>
      </c>
      <c r="I23" s="76">
        <f>SUMIF(Tabella2[Funzioni],'Tab. 10'!$B23,Tabella2[Contributi 14m])</f>
        <v>2862.7594365833334</v>
      </c>
      <c r="J23" s="76">
        <f>SUMIF(Tabella2[Funzioni],'Tab. 10'!$B23,Tabella2[TFR])</f>
        <v>10687.42148148148</v>
      </c>
      <c r="K23" s="345">
        <f>SUM(D23:J23)</f>
        <v>219092.94192698147</v>
      </c>
      <c r="L23" s="346">
        <f>K23/C23</f>
        <v>27386.617740872683</v>
      </c>
    </row>
    <row r="24" spans="2:12" x14ac:dyDescent="0.2">
      <c r="B24" s="344" t="s">
        <v>559</v>
      </c>
      <c r="C24" s="15">
        <f>COUNTIF(Tabella2[Funzioni],'Tab. 10'!B24)</f>
        <v>3</v>
      </c>
      <c r="D24" s="76">
        <f>SUMIF(Tabella2[Funzioni],'Tab. 10'!$B24,Tabella2[RAL])</f>
        <v>28643.190000000002</v>
      </c>
      <c r="E24" s="76">
        <f>SUMIF(Tabella2[Funzioni],'Tab. 10'!$B24,Tabella2[Contributi])</f>
        <v>6819.9435389999999</v>
      </c>
      <c r="F24" s="76">
        <f>SUMIF(Tabella2[Funzioni],'Tab. 10'!$B24,Tabella2[13ma])</f>
        <v>2386.9325000000003</v>
      </c>
      <c r="G24" s="76">
        <f>SUMIF(Tabella2[Funzioni],'Tab. 10'!$B24,Tabella2[Contributi 13ma])</f>
        <v>568.32862825000007</v>
      </c>
      <c r="H24" s="76">
        <f>SUMIF(Tabella2[Funzioni],'Tab. 10'!$B24,Tabella2[14ma])</f>
        <v>2386.9325000000003</v>
      </c>
      <c r="I24" s="76">
        <f>SUMIF(Tabella2[Funzioni],'Tab. 10'!$B24,Tabella2[Contributi 14m])</f>
        <v>568.32862825000007</v>
      </c>
      <c r="J24" s="76">
        <f>SUMIF(Tabella2[Funzioni],'Tab. 10'!$B24,Tabella2[TFR])</f>
        <v>2121.7177777777779</v>
      </c>
      <c r="K24" s="345">
        <f>SUM(D24:J24)</f>
        <v>43495.373573277779</v>
      </c>
      <c r="L24" s="346">
        <f>K24/C24</f>
        <v>14498.45785775926</v>
      </c>
    </row>
    <row r="25" spans="2:12" x14ac:dyDescent="0.2">
      <c r="B25" s="344" t="s">
        <v>560</v>
      </c>
      <c r="C25" s="15">
        <f>COUNTIF(Tabella2[Funzioni],'Tab. 10'!B25)</f>
        <v>30</v>
      </c>
      <c r="D25" s="76">
        <f>SUMIF(Tabella2[Funzioni],'Tab. 10'!$B25,Tabella2[RAL])</f>
        <v>497436.59999999963</v>
      </c>
      <c r="E25" s="76">
        <f>SUMIF(Tabella2[Funzioni],'Tab. 10'!$B25,Tabella2[Contributi])</f>
        <v>118439.65446000001</v>
      </c>
      <c r="F25" s="76">
        <f>SUMIF(Tabella2[Funzioni],'Tab. 10'!$B25,Tabella2[13ma])</f>
        <v>41453.050000000003</v>
      </c>
      <c r="G25" s="76">
        <f>SUMIF(Tabella2[Funzioni],'Tab. 10'!$B25,Tabella2[Contributi 13ma])</f>
        <v>9869.9712050000016</v>
      </c>
      <c r="H25" s="76">
        <f>SUMIF(Tabella2[Funzioni],'Tab. 10'!$B25,Tabella2[14ma])</f>
        <v>41453.050000000003</v>
      </c>
      <c r="I25" s="76">
        <f>SUMIF(Tabella2[Funzioni],'Tab. 10'!$B25,Tabella2[Contributi 14m])</f>
        <v>9869.9712050000016</v>
      </c>
      <c r="J25" s="76">
        <f>SUMIF(Tabella2[Funzioni],'Tab. 10'!$B25,Tabella2[TFR])</f>
        <v>36847.155555555575</v>
      </c>
      <c r="K25" s="345">
        <f>SUM(D25:J25)</f>
        <v>755369.45242555521</v>
      </c>
      <c r="L25" s="346">
        <f>K25/C25</f>
        <v>25178.981747518508</v>
      </c>
    </row>
    <row r="26" spans="2:12" x14ac:dyDescent="0.2">
      <c r="B26" s="341" t="s">
        <v>324</v>
      </c>
      <c r="C26" s="71">
        <f t="shared" ref="C26:K26" si="4">SUM(C22:C25)</f>
        <v>42</v>
      </c>
      <c r="D26" s="74">
        <f t="shared" si="4"/>
        <v>740437.30999999959</v>
      </c>
      <c r="E26" s="74">
        <f t="shared" si="4"/>
        <v>176298.12351100001</v>
      </c>
      <c r="F26" s="74">
        <f t="shared" si="4"/>
        <v>61703.109166666669</v>
      </c>
      <c r="G26" s="74">
        <f t="shared" si="4"/>
        <v>14691.510292583334</v>
      </c>
      <c r="H26" s="74">
        <f t="shared" si="4"/>
        <v>61703.109166666669</v>
      </c>
      <c r="I26" s="74">
        <f t="shared" si="4"/>
        <v>14691.510292583334</v>
      </c>
      <c r="J26" s="74">
        <f t="shared" si="4"/>
        <v>54847.208148148165</v>
      </c>
      <c r="K26" s="342">
        <f t="shared" si="4"/>
        <v>1124371.8805776478</v>
      </c>
      <c r="L26" s="343">
        <f>K26/C26</f>
        <v>26770.759061372566</v>
      </c>
    </row>
    <row r="27" spans="2:12" x14ac:dyDescent="0.2">
      <c r="B27" s="344"/>
      <c r="K27" s="347"/>
      <c r="L27" s="348"/>
    </row>
    <row r="28" spans="2:12" x14ac:dyDescent="0.2">
      <c r="B28" s="344" t="s">
        <v>367</v>
      </c>
      <c r="C28" s="15">
        <f>COUNTIF(Tabella2[Funzioni],'Tab. 10'!B28)</f>
        <v>1</v>
      </c>
      <c r="D28" s="76">
        <f>SUMIF(Tabella2[Funzioni],'Tab. 10'!$B28,Tabella2[RAL])</f>
        <v>55554.31</v>
      </c>
      <c r="E28" s="76">
        <f>SUMIF(Tabella2[Funzioni],'Tab. 10'!$B28,Tabella2[Contributi])</f>
        <v>13227.481211</v>
      </c>
      <c r="F28" s="76">
        <f>SUMIF(Tabella2[Funzioni],'Tab. 10'!$B28,Tabella2[13ma])</f>
        <v>4629.5258333333331</v>
      </c>
      <c r="G28" s="76">
        <f>SUMIF(Tabella2[Funzioni],'Tab. 10'!$B28,Tabella2[Contributi 13ma])</f>
        <v>1102.2901009166667</v>
      </c>
      <c r="H28" s="76">
        <f>SUMIF(Tabella2[Funzioni],'Tab. 10'!$B28,Tabella2[14ma])</f>
        <v>4629.5258333333331</v>
      </c>
      <c r="I28" s="76">
        <f>SUMIF(Tabella2[Funzioni],'Tab. 10'!$B28,Tabella2[Contributi 14m])</f>
        <v>1102.2901009166667</v>
      </c>
      <c r="J28" s="76">
        <f>SUMIF(Tabella2[Funzioni],'Tab. 10'!$B28,Tabella2[TFR])</f>
        <v>4115.1340740740743</v>
      </c>
      <c r="K28" s="345">
        <f>SUM(D28:J28)</f>
        <v>84360.557153574075</v>
      </c>
      <c r="L28" s="346">
        <f t="shared" ref="L28:L33" si="5">K28/C28</f>
        <v>84360.557153574075</v>
      </c>
    </row>
    <row r="29" spans="2:12" x14ac:dyDescent="0.2">
      <c r="B29" s="344" t="s">
        <v>562</v>
      </c>
      <c r="C29" s="15">
        <f>COUNTIF(Tabella2[Funzioni],'Tab. 10'!B29)</f>
        <v>1</v>
      </c>
      <c r="D29" s="76">
        <f>SUMIF(Tabella2[Funzioni],'Tab. 10'!$B29,Tabella2[RAL])</f>
        <v>22180.16</v>
      </c>
      <c r="E29" s="76">
        <f>SUMIF(Tabella2[Funzioni],'Tab. 10'!$B29,Tabella2[Contributi])</f>
        <v>5281.0960960000002</v>
      </c>
      <c r="F29" s="76">
        <f>SUMIF(Tabella2[Funzioni],'Tab. 10'!$B29,Tabella2[13ma])</f>
        <v>1848.3466666666666</v>
      </c>
      <c r="G29" s="76">
        <f>SUMIF(Tabella2[Funzioni],'Tab. 10'!$B29,Tabella2[Contributi 13ma])</f>
        <v>440.09134133333333</v>
      </c>
      <c r="H29" s="76">
        <f>SUMIF(Tabella2[Funzioni],'Tab. 10'!$B29,Tabella2[14ma])</f>
        <v>1848.3466666666666</v>
      </c>
      <c r="I29" s="76">
        <f>SUMIF(Tabella2[Funzioni],'Tab. 10'!$B29,Tabella2[Contributi 14m])</f>
        <v>440.09134133333333</v>
      </c>
      <c r="J29" s="76">
        <f>SUMIF(Tabella2[Funzioni],'Tab. 10'!$B29,Tabella2[TFR])</f>
        <v>1642.9748148148149</v>
      </c>
      <c r="K29" s="345">
        <f>SUM(D29:J29)</f>
        <v>33681.10692681482</v>
      </c>
      <c r="L29" s="346">
        <f t="shared" si="5"/>
        <v>33681.10692681482</v>
      </c>
    </row>
    <row r="30" spans="2:12" x14ac:dyDescent="0.2">
      <c r="B30" s="344" t="s">
        <v>369</v>
      </c>
      <c r="C30" s="15">
        <f>COUNTIF(Tabella2[Funzioni],'Tab. 10'!B30)</f>
        <v>1</v>
      </c>
      <c r="D30" s="76">
        <f>SUMIF(Tabella2[Funzioni],'Tab. 10'!$B30,Tabella2[RAL])</f>
        <v>17781.22</v>
      </c>
      <c r="E30" s="76">
        <f>SUMIF(Tabella2[Funzioni],'Tab. 10'!$B30,Tabella2[Contributi])</f>
        <v>4233.708482</v>
      </c>
      <c r="F30" s="76">
        <f>SUMIF(Tabella2[Funzioni],'Tab. 10'!$B30,Tabella2[13ma])</f>
        <v>1481.7683333333334</v>
      </c>
      <c r="G30" s="76">
        <f>SUMIF(Tabella2[Funzioni],'Tab. 10'!$B30,Tabella2[Contributi 13ma])</f>
        <v>352.8090401666667</v>
      </c>
      <c r="H30" s="76">
        <f>SUMIF(Tabella2[Funzioni],'Tab. 10'!$B30,Tabella2[14ma])</f>
        <v>1481.7683333333334</v>
      </c>
      <c r="I30" s="76">
        <f>SUMIF(Tabella2[Funzioni],'Tab. 10'!$B30,Tabella2[Contributi 14m])</f>
        <v>352.8090401666667</v>
      </c>
      <c r="J30" s="76">
        <f>SUMIF(Tabella2[Funzioni],'Tab. 10'!$B30,Tabella2[TFR])</f>
        <v>1317.1274074074074</v>
      </c>
      <c r="K30" s="345">
        <f>SUM(D30:J30)</f>
        <v>27001.21063640741</v>
      </c>
      <c r="L30" s="346">
        <f t="shared" si="5"/>
        <v>27001.21063640741</v>
      </c>
    </row>
    <row r="31" spans="2:12" x14ac:dyDescent="0.2">
      <c r="B31" s="344" t="s">
        <v>368</v>
      </c>
      <c r="C31" s="15">
        <f>COUNTIF(Tabella2[Funzioni],'Tab. 10'!B31)</f>
        <v>1</v>
      </c>
      <c r="D31" s="76">
        <f>SUMIF(Tabella2[Funzioni],'Tab. 10'!$B31,Tabella2[RAL])</f>
        <v>12388.59</v>
      </c>
      <c r="E31" s="76">
        <f>SUMIF(Tabella2[Funzioni],'Tab. 10'!$B31,Tabella2[Contributi])</f>
        <v>2949.7232790000003</v>
      </c>
      <c r="F31" s="76">
        <f>SUMIF(Tabella2[Funzioni],'Tab. 10'!$B31,Tabella2[13ma])</f>
        <v>1032.3824999999999</v>
      </c>
      <c r="G31" s="76">
        <f>SUMIF(Tabella2[Funzioni],'Tab. 10'!$B31,Tabella2[Contributi 13ma])</f>
        <v>245.81027324999999</v>
      </c>
      <c r="H31" s="76">
        <f>SUMIF(Tabella2[Funzioni],'Tab. 10'!$B31,Tabella2[14ma])</f>
        <v>1032.3824999999999</v>
      </c>
      <c r="I31" s="76">
        <f>SUMIF(Tabella2[Funzioni],'Tab. 10'!$B31,Tabella2[Contributi 14m])</f>
        <v>245.81027324999999</v>
      </c>
      <c r="J31" s="76">
        <f>SUMIF(Tabella2[Funzioni],'Tab. 10'!$B31,Tabella2[TFR])</f>
        <v>917.67333333333329</v>
      </c>
      <c r="K31" s="345">
        <f>SUM(D31:J31)</f>
        <v>18812.372158833332</v>
      </c>
      <c r="L31" s="346">
        <f t="shared" si="5"/>
        <v>18812.372158833332</v>
      </c>
    </row>
    <row r="32" spans="2:12" x14ac:dyDescent="0.2">
      <c r="B32" s="344" t="s">
        <v>563</v>
      </c>
      <c r="C32" s="15">
        <f>COUNTIF(Tabella2[Funzioni],'Tab. 10'!B32)</f>
        <v>2</v>
      </c>
      <c r="D32" s="76">
        <f>SUMIF(Tabella2[Funzioni],'Tab. 10'!$B32,Tabella2[RAL])</f>
        <v>38720.009999999995</v>
      </c>
      <c r="E32" s="76">
        <f>SUMIF(Tabella2[Funzioni],'Tab. 10'!$B32,Tabella2[Contributi])</f>
        <v>9219.2343810000002</v>
      </c>
      <c r="F32" s="76">
        <f>SUMIF(Tabella2[Funzioni],'Tab. 10'!$B32,Tabella2[13ma])</f>
        <v>3226.6675</v>
      </c>
      <c r="G32" s="76">
        <f>SUMIF(Tabella2[Funzioni],'Tab. 10'!$B32,Tabella2[Contributi 13ma])</f>
        <v>768.26953174999994</v>
      </c>
      <c r="H32" s="76">
        <f>SUMIF(Tabella2[Funzioni],'Tab. 10'!$B32,Tabella2[14ma])</f>
        <v>3226.6675</v>
      </c>
      <c r="I32" s="76">
        <f>SUMIF(Tabella2[Funzioni],'Tab. 10'!$B32,Tabella2[Contributi 14m])</f>
        <v>768.26953174999994</v>
      </c>
      <c r="J32" s="76">
        <f>SUMIF(Tabella2[Funzioni],'Tab. 10'!$B32,Tabella2[TFR])</f>
        <v>2868.1488888888889</v>
      </c>
      <c r="K32" s="345">
        <f>SUM(D32:J32)</f>
        <v>58797.267333388882</v>
      </c>
      <c r="L32" s="346">
        <f t="shared" si="5"/>
        <v>29398.633666694441</v>
      </c>
    </row>
    <row r="33" spans="2:15" x14ac:dyDescent="0.2">
      <c r="B33" s="341" t="s">
        <v>572</v>
      </c>
      <c r="C33" s="71">
        <f t="shared" ref="C33:K33" si="6">SUM(C28:C32)</f>
        <v>6</v>
      </c>
      <c r="D33" s="74">
        <f t="shared" si="6"/>
        <v>146624.28999999998</v>
      </c>
      <c r="E33" s="74">
        <f t="shared" si="6"/>
        <v>34911.243449000001</v>
      </c>
      <c r="F33" s="74">
        <f t="shared" si="6"/>
        <v>12218.690833333332</v>
      </c>
      <c r="G33" s="74">
        <f t="shared" si="6"/>
        <v>2909.2702874166671</v>
      </c>
      <c r="H33" s="74">
        <f t="shared" si="6"/>
        <v>12218.690833333332</v>
      </c>
      <c r="I33" s="74">
        <f t="shared" si="6"/>
        <v>2909.2702874166671</v>
      </c>
      <c r="J33" s="74">
        <f t="shared" si="6"/>
        <v>10861.058518518519</v>
      </c>
      <c r="K33" s="342">
        <f t="shared" si="6"/>
        <v>222652.51420901853</v>
      </c>
      <c r="L33" s="343">
        <f t="shared" si="5"/>
        <v>37108.752368169757</v>
      </c>
    </row>
    <row r="34" spans="2:15" x14ac:dyDescent="0.2">
      <c r="B34" s="344"/>
      <c r="J34" s="72"/>
      <c r="K34" s="72"/>
      <c r="L34" s="349"/>
    </row>
    <row r="35" spans="2:15" ht="17" thickBot="1" x14ac:dyDescent="0.25">
      <c r="B35" s="350" t="s">
        <v>573</v>
      </c>
      <c r="C35" s="351">
        <f t="shared" ref="C35:K35" si="7">C6+C11+C20+C26+C33</f>
        <v>185</v>
      </c>
      <c r="D35" s="352">
        <f t="shared" si="7"/>
        <v>3258955.9800000032</v>
      </c>
      <c r="E35" s="352">
        <f t="shared" si="7"/>
        <v>775957.41883799923</v>
      </c>
      <c r="F35" s="352">
        <f t="shared" si="7"/>
        <v>271579.6649999998</v>
      </c>
      <c r="G35" s="352">
        <f t="shared" si="7"/>
        <v>64663.11823650002</v>
      </c>
      <c r="H35" s="352">
        <f t="shared" si="7"/>
        <v>271579.6649999998</v>
      </c>
      <c r="I35" s="352">
        <f t="shared" si="7"/>
        <v>64663.11823650002</v>
      </c>
      <c r="J35" s="352">
        <f t="shared" si="7"/>
        <v>241404.1466666671</v>
      </c>
      <c r="K35" s="353">
        <f t="shared" si="7"/>
        <v>4948803.1119776685</v>
      </c>
      <c r="L35" s="354">
        <f>K35/C35</f>
        <v>26750.287091771181</v>
      </c>
      <c r="N35" s="2" t="s">
        <v>36</v>
      </c>
      <c r="O35" s="78">
        <f>K35-Tabella2[[#Totals],[Costo totale]]</f>
        <v>0</v>
      </c>
    </row>
    <row r="39" spans="2:15" ht="17" thickBot="1" x14ac:dyDescent="0.25"/>
    <row r="40" spans="2:15" x14ac:dyDescent="0.2">
      <c r="B40" s="355" t="s">
        <v>40</v>
      </c>
      <c r="C40" s="412" t="s">
        <v>91</v>
      </c>
      <c r="D40" s="413"/>
      <c r="E40" s="413"/>
      <c r="F40" s="413"/>
      <c r="G40" s="413"/>
      <c r="H40" s="413"/>
      <c r="I40" s="413"/>
      <c r="J40" s="413"/>
      <c r="K40" s="413"/>
      <c r="L40" s="413"/>
      <c r="M40" s="414"/>
    </row>
    <row r="41" spans="2:15" x14ac:dyDescent="0.2">
      <c r="B41" s="82"/>
      <c r="C41" s="325" t="s">
        <v>566</v>
      </c>
      <c r="D41" s="326" t="s">
        <v>576</v>
      </c>
      <c r="E41" s="326" t="s">
        <v>176</v>
      </c>
      <c r="F41" s="326" t="s">
        <v>567</v>
      </c>
      <c r="G41" s="326" t="s">
        <v>37</v>
      </c>
      <c r="H41" s="326" t="s">
        <v>177</v>
      </c>
      <c r="I41" s="326" t="s">
        <v>38</v>
      </c>
      <c r="J41" s="326" t="s">
        <v>568</v>
      </c>
      <c r="K41" s="81" t="s">
        <v>41</v>
      </c>
      <c r="L41" s="339" t="s">
        <v>179</v>
      </c>
      <c r="M41" s="340" t="s">
        <v>574</v>
      </c>
    </row>
    <row r="42" spans="2:15" x14ac:dyDescent="0.2">
      <c r="B42" s="341" t="s">
        <v>562</v>
      </c>
      <c r="C42" s="71">
        <f>COUNTIF(Tabella2[Funzioni],'Tab. 10'!B42)</f>
        <v>1</v>
      </c>
      <c r="D42" s="71" t="s">
        <v>108</v>
      </c>
      <c r="E42" s="356">
        <v>20000</v>
      </c>
      <c r="F42" s="357">
        <f>E42*'All. 4'!$E$4</f>
        <v>4762</v>
      </c>
      <c r="G42" s="357">
        <f>E42/12</f>
        <v>1666.6666666666667</v>
      </c>
      <c r="H42" s="357">
        <f>G42*'All. 4'!$E$4</f>
        <v>396.83333333333337</v>
      </c>
      <c r="I42" s="357">
        <f>E42/12</f>
        <v>1666.6666666666667</v>
      </c>
      <c r="J42" s="357">
        <f>I42*'All. 4'!$E$4</f>
        <v>396.83333333333337</v>
      </c>
      <c r="K42" s="357">
        <f>E42/13.5</f>
        <v>1481.4814814814815</v>
      </c>
      <c r="L42" s="358">
        <f>SUM(E42:K42)</f>
        <v>30370.481481481482</v>
      </c>
      <c r="M42" s="359">
        <f>L42/C42</f>
        <v>30370.481481481482</v>
      </c>
    </row>
  </sheetData>
  <mergeCells count="2">
    <mergeCell ref="C4:L4"/>
    <mergeCell ref="C40:M40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dimension ref="B2:R78"/>
  <sheetViews>
    <sheetView showGridLines="0" tabSelected="1" topLeftCell="A34" zoomScale="156" zoomScaleNormal="150" workbookViewId="0">
      <selection activeCell="B38" sqref="B38:B44"/>
    </sheetView>
  </sheetViews>
  <sheetFormatPr baseColWidth="10" defaultRowHeight="13" outlineLevelRow="1" outlineLevelCol="1" x14ac:dyDescent="0.15"/>
  <cols>
    <col min="2" max="2" width="20" customWidth="1"/>
    <col min="3" max="14" width="12.1640625" bestFit="1" customWidth="1"/>
    <col min="15" max="15" width="12.6640625" customWidth="1"/>
    <col min="16" max="16" width="2" customWidth="1"/>
    <col min="17" max="17" width="12.5" hidden="1" customWidth="1" outlineLevel="1"/>
    <col min="18" max="18" width="10.83203125" collapsed="1"/>
  </cols>
  <sheetData>
    <row r="2" spans="2:17" x14ac:dyDescent="0.15">
      <c r="B2" s="338" t="s">
        <v>589</v>
      </c>
    </row>
    <row r="3" spans="2:17" ht="14" thickBot="1" x14ac:dyDescent="0.2"/>
    <row r="4" spans="2:17" s="2" customFormat="1" ht="16" x14ac:dyDescent="0.2">
      <c r="B4" s="236"/>
      <c r="C4" s="442" t="s">
        <v>91</v>
      </c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1"/>
    </row>
    <row r="5" spans="2:17" s="2" customFormat="1" ht="16" x14ac:dyDescent="0.2">
      <c r="B5" s="136"/>
      <c r="C5" s="243" t="s">
        <v>106</v>
      </c>
      <c r="D5" s="243" t="s">
        <v>107</v>
      </c>
      <c r="E5" s="243" t="s">
        <v>108</v>
      </c>
      <c r="F5" s="243" t="s">
        <v>109</v>
      </c>
      <c r="G5" s="243" t="s">
        <v>110</v>
      </c>
      <c r="H5" s="243" t="s">
        <v>111</v>
      </c>
      <c r="I5" s="243" t="s">
        <v>112</v>
      </c>
      <c r="J5" s="243" t="s">
        <v>113</v>
      </c>
      <c r="K5" s="243" t="s">
        <v>114</v>
      </c>
      <c r="L5" s="243" t="s">
        <v>115</v>
      </c>
      <c r="M5" s="243" t="s">
        <v>116</v>
      </c>
      <c r="N5" s="243" t="s">
        <v>117</v>
      </c>
      <c r="O5" s="248" t="s">
        <v>74</v>
      </c>
      <c r="Q5" s="248" t="s">
        <v>587</v>
      </c>
    </row>
    <row r="6" spans="2:17" s="2" customFormat="1" ht="16" x14ac:dyDescent="0.2">
      <c r="B6" s="191" t="s">
        <v>577</v>
      </c>
      <c r="C6" s="101">
        <v>20</v>
      </c>
      <c r="D6" s="101">
        <v>20</v>
      </c>
      <c r="E6" s="101">
        <v>23</v>
      </c>
      <c r="F6" s="101">
        <v>21</v>
      </c>
      <c r="G6" s="101">
        <v>21</v>
      </c>
      <c r="H6" s="101">
        <v>22</v>
      </c>
      <c r="I6" s="101">
        <v>22</v>
      </c>
      <c r="J6" s="101">
        <v>22</v>
      </c>
      <c r="K6" s="101">
        <v>22</v>
      </c>
      <c r="L6" s="101">
        <v>21</v>
      </c>
      <c r="M6" s="101">
        <v>21</v>
      </c>
      <c r="N6" s="101">
        <v>24</v>
      </c>
      <c r="O6" s="244">
        <f>SUM(C6:N6)</f>
        <v>259</v>
      </c>
      <c r="Q6" s="244"/>
    </row>
    <row r="7" spans="2:17" s="2" customFormat="1" ht="17" thickBot="1" x14ac:dyDescent="0.25">
      <c r="B7" s="375" t="s">
        <v>585</v>
      </c>
      <c r="C7" s="101">
        <v>2</v>
      </c>
      <c r="D7" s="101">
        <v>0</v>
      </c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10</v>
      </c>
      <c r="K7" s="101">
        <v>0</v>
      </c>
      <c r="L7" s="101">
        <v>0</v>
      </c>
      <c r="M7" s="101">
        <v>0</v>
      </c>
      <c r="N7" s="101">
        <v>12</v>
      </c>
      <c r="O7" s="244">
        <f>SUM(C7:N7)</f>
        <v>24</v>
      </c>
      <c r="Q7" s="244"/>
    </row>
    <row r="8" spans="2:17" s="2" customFormat="1" ht="17" thickBot="1" x14ac:dyDescent="0.25">
      <c r="B8" s="376" t="s">
        <v>586</v>
      </c>
      <c r="C8" s="377">
        <f>C6-C7</f>
        <v>18</v>
      </c>
      <c r="D8" s="377">
        <f t="shared" ref="D8:O8" si="0">D6-D7</f>
        <v>20</v>
      </c>
      <c r="E8" s="377">
        <f t="shared" si="0"/>
        <v>23</v>
      </c>
      <c r="F8" s="377">
        <f t="shared" si="0"/>
        <v>21</v>
      </c>
      <c r="G8" s="377">
        <f t="shared" si="0"/>
        <v>21</v>
      </c>
      <c r="H8" s="377">
        <f t="shared" si="0"/>
        <v>22</v>
      </c>
      <c r="I8" s="377">
        <f t="shared" si="0"/>
        <v>22</v>
      </c>
      <c r="J8" s="377">
        <f t="shared" si="0"/>
        <v>12</v>
      </c>
      <c r="K8" s="377">
        <f t="shared" si="0"/>
        <v>22</v>
      </c>
      <c r="L8" s="377">
        <f t="shared" si="0"/>
        <v>21</v>
      </c>
      <c r="M8" s="377">
        <f t="shared" si="0"/>
        <v>21</v>
      </c>
      <c r="N8" s="377">
        <f t="shared" si="0"/>
        <v>12</v>
      </c>
      <c r="O8" s="378">
        <f t="shared" si="0"/>
        <v>235</v>
      </c>
      <c r="Q8" s="378"/>
    </row>
    <row r="9" spans="2:17" s="2" customFormat="1" ht="16" x14ac:dyDescent="0.2">
      <c r="B9" s="344"/>
      <c r="C9" s="15"/>
      <c r="O9" s="370"/>
      <c r="Q9" s="370"/>
    </row>
    <row r="10" spans="2:17" s="2" customFormat="1" ht="16" x14ac:dyDescent="0.2">
      <c r="B10" s="360" t="s">
        <v>371</v>
      </c>
      <c r="C10" s="15"/>
      <c r="O10" s="370"/>
      <c r="Q10" s="370"/>
    </row>
    <row r="11" spans="2:17" s="2" customFormat="1" ht="16" x14ac:dyDescent="0.2">
      <c r="B11" s="344" t="s">
        <v>578</v>
      </c>
      <c r="C11" s="379">
        <f>+$O11/$O$6*C$6</f>
        <v>8153.1528957528963</v>
      </c>
      <c r="D11" s="379">
        <f t="shared" ref="D11:N11" si="1">+$O11/$O$6*D$6</f>
        <v>8153.1528957528963</v>
      </c>
      <c r="E11" s="379">
        <f t="shared" si="1"/>
        <v>9376.1258301158305</v>
      </c>
      <c r="F11" s="379">
        <f t="shared" si="1"/>
        <v>8560.8105405405404</v>
      </c>
      <c r="G11" s="379">
        <f t="shared" si="1"/>
        <v>8560.8105405405404</v>
      </c>
      <c r="H11" s="379">
        <f t="shared" si="1"/>
        <v>8968.4681853281854</v>
      </c>
      <c r="I11" s="379">
        <f t="shared" si="1"/>
        <v>8968.4681853281854</v>
      </c>
      <c r="J11" s="379">
        <f t="shared" si="1"/>
        <v>8968.4681853281854</v>
      </c>
      <c r="K11" s="379">
        <f t="shared" si="1"/>
        <v>8968.4681853281854</v>
      </c>
      <c r="L11" s="379">
        <f t="shared" si="1"/>
        <v>8560.8105405405404</v>
      </c>
      <c r="M11" s="379">
        <f t="shared" si="1"/>
        <v>8560.8105405405404</v>
      </c>
      <c r="N11" s="379">
        <f>+$O11/$O$6*N$61</f>
        <v>55963.297439745329</v>
      </c>
      <c r="O11" s="371">
        <f>SUMIF('Tab. 10'!$B$6:$B$35,B10,'Tab. 10'!$D$6:$D$35)</f>
        <v>105583.33</v>
      </c>
      <c r="Q11" s="371">
        <f>O11/$O$6*$O$7</f>
        <v>9783.7834749034755</v>
      </c>
    </row>
    <row r="12" spans="2:17" s="2" customFormat="1" ht="16" x14ac:dyDescent="0.2">
      <c r="B12" s="344" t="s">
        <v>37</v>
      </c>
      <c r="C12" s="379">
        <f t="shared" ref="C12:N17" si="2">+$O12/$O$6*C$6</f>
        <v>679.4294079794081</v>
      </c>
      <c r="D12" s="379">
        <f t="shared" si="2"/>
        <v>679.4294079794081</v>
      </c>
      <c r="E12" s="379">
        <f t="shared" si="2"/>
        <v>781.34381917631924</v>
      </c>
      <c r="F12" s="379">
        <f t="shared" si="2"/>
        <v>713.40087837837848</v>
      </c>
      <c r="G12" s="379">
        <f t="shared" si="2"/>
        <v>713.40087837837848</v>
      </c>
      <c r="H12" s="379">
        <f t="shared" si="2"/>
        <v>747.37234877734886</v>
      </c>
      <c r="I12" s="379">
        <f t="shared" si="2"/>
        <v>747.37234877734886</v>
      </c>
      <c r="J12" s="379">
        <f t="shared" si="2"/>
        <v>747.37234877734886</v>
      </c>
      <c r="K12" s="379">
        <f t="shared" si="2"/>
        <v>747.37234877734886</v>
      </c>
      <c r="L12" s="379">
        <f t="shared" si="2"/>
        <v>713.40087837837848</v>
      </c>
      <c r="M12" s="379">
        <f t="shared" si="2"/>
        <v>713.40087837837848</v>
      </c>
      <c r="N12" s="379">
        <f t="shared" si="2"/>
        <v>815.31528957528963</v>
      </c>
      <c r="O12" s="371">
        <f>SUMIF('Tab. 10'!$B$6:$B$35,B10,'Tab. 10'!$F$6:$F$35)</f>
        <v>8798.6108333333341</v>
      </c>
      <c r="Q12" s="371">
        <f t="shared" ref="Q12:Q17" si="3">O12/$O$6*$O$7</f>
        <v>815.31528957528963</v>
      </c>
    </row>
    <row r="13" spans="2:17" s="2" customFormat="1" ht="16" x14ac:dyDescent="0.2">
      <c r="B13" s="344" t="s">
        <v>38</v>
      </c>
      <c r="C13" s="379">
        <f t="shared" si="2"/>
        <v>679.4294079794081</v>
      </c>
      <c r="D13" s="379">
        <f t="shared" si="2"/>
        <v>679.4294079794081</v>
      </c>
      <c r="E13" s="379">
        <f t="shared" si="2"/>
        <v>781.34381917631924</v>
      </c>
      <c r="F13" s="379">
        <f t="shared" si="2"/>
        <v>713.40087837837848</v>
      </c>
      <c r="G13" s="379">
        <f t="shared" si="2"/>
        <v>713.40087837837848</v>
      </c>
      <c r="H13" s="379">
        <f t="shared" si="2"/>
        <v>747.37234877734886</v>
      </c>
      <c r="I13" s="379">
        <f t="shared" si="2"/>
        <v>747.37234877734886</v>
      </c>
      <c r="J13" s="379">
        <f t="shared" si="2"/>
        <v>747.37234877734886</v>
      </c>
      <c r="K13" s="379">
        <f t="shared" si="2"/>
        <v>747.37234877734886</v>
      </c>
      <c r="L13" s="379">
        <f t="shared" si="2"/>
        <v>713.40087837837848</v>
      </c>
      <c r="M13" s="379">
        <f t="shared" si="2"/>
        <v>713.40087837837848</v>
      </c>
      <c r="N13" s="379">
        <f t="shared" si="2"/>
        <v>815.31528957528963</v>
      </c>
      <c r="O13" s="371">
        <f>SUMIF('Tab. 10'!$B$6:$B$35,B10,'Tab. 10'!$H$6:$H$35)</f>
        <v>8798.6108333333341</v>
      </c>
      <c r="Q13" s="371">
        <f t="shared" si="3"/>
        <v>815.31528957528963</v>
      </c>
    </row>
    <row r="14" spans="2:17" s="2" customFormat="1" ht="16" x14ac:dyDescent="0.2">
      <c r="B14" s="344" t="s">
        <v>580</v>
      </c>
      <c r="C14" s="379">
        <f t="shared" si="2"/>
        <v>1941.2657044787645</v>
      </c>
      <c r="D14" s="379">
        <f t="shared" si="2"/>
        <v>1941.2657044787645</v>
      </c>
      <c r="E14" s="379">
        <f t="shared" si="2"/>
        <v>2232.455560150579</v>
      </c>
      <c r="F14" s="379">
        <f t="shared" si="2"/>
        <v>2038.3289897027028</v>
      </c>
      <c r="G14" s="379">
        <f t="shared" si="2"/>
        <v>2038.3289897027028</v>
      </c>
      <c r="H14" s="379">
        <f t="shared" si="2"/>
        <v>2135.3922749266408</v>
      </c>
      <c r="I14" s="379">
        <f t="shared" si="2"/>
        <v>2135.3922749266408</v>
      </c>
      <c r="J14" s="379">
        <f t="shared" si="2"/>
        <v>2135.3922749266408</v>
      </c>
      <c r="K14" s="379">
        <f t="shared" si="2"/>
        <v>2135.3922749266408</v>
      </c>
      <c r="L14" s="379">
        <f t="shared" si="2"/>
        <v>2038.3289897027028</v>
      </c>
      <c r="M14" s="379">
        <f t="shared" si="2"/>
        <v>2038.3289897027028</v>
      </c>
      <c r="N14" s="379">
        <f t="shared" si="2"/>
        <v>2329.5188453745172</v>
      </c>
      <c r="O14" s="371">
        <f>SUMIF('Tab. 10'!$B$6:$B$35,B10,'Tab. 10'!$E$6:$E$35)</f>
        <v>25139.390873</v>
      </c>
      <c r="Q14" s="371">
        <f t="shared" si="3"/>
        <v>2329.5188453745172</v>
      </c>
    </row>
    <row r="15" spans="2:17" s="2" customFormat="1" ht="16" x14ac:dyDescent="0.2">
      <c r="B15" s="344" t="s">
        <v>581</v>
      </c>
      <c r="C15" s="379">
        <f t="shared" si="2"/>
        <v>161.77214203989706</v>
      </c>
      <c r="D15" s="379">
        <f t="shared" si="2"/>
        <v>161.77214203989706</v>
      </c>
      <c r="E15" s="379">
        <f t="shared" si="2"/>
        <v>186.03796334588162</v>
      </c>
      <c r="F15" s="379">
        <f t="shared" si="2"/>
        <v>169.86074914189192</v>
      </c>
      <c r="G15" s="379">
        <f t="shared" si="2"/>
        <v>169.86074914189192</v>
      </c>
      <c r="H15" s="379">
        <f t="shared" si="2"/>
        <v>177.94935624388677</v>
      </c>
      <c r="I15" s="379">
        <f t="shared" si="2"/>
        <v>177.94935624388677</v>
      </c>
      <c r="J15" s="379">
        <f t="shared" si="2"/>
        <v>177.94935624388677</v>
      </c>
      <c r="K15" s="379">
        <f t="shared" si="2"/>
        <v>177.94935624388677</v>
      </c>
      <c r="L15" s="379">
        <f t="shared" si="2"/>
        <v>169.86074914189192</v>
      </c>
      <c r="M15" s="379">
        <f t="shared" si="2"/>
        <v>169.86074914189192</v>
      </c>
      <c r="N15" s="379">
        <f t="shared" si="2"/>
        <v>194.12657044787647</v>
      </c>
      <c r="O15" s="371">
        <f>SUMIF('Tab. 10'!$B$6:$B$35,B10,'Tab. 10'!$G$6:$G$35)</f>
        <v>2094.9492394166668</v>
      </c>
      <c r="Q15" s="371">
        <f t="shared" si="3"/>
        <v>194.12657044787647</v>
      </c>
    </row>
    <row r="16" spans="2:17" s="2" customFormat="1" ht="16" x14ac:dyDescent="0.2">
      <c r="B16" s="344" t="s">
        <v>582</v>
      </c>
      <c r="C16" s="379">
        <f t="shared" si="2"/>
        <v>161.77214203989706</v>
      </c>
      <c r="D16" s="379">
        <f t="shared" si="2"/>
        <v>161.77214203989706</v>
      </c>
      <c r="E16" s="379">
        <f t="shared" si="2"/>
        <v>186.03796334588162</v>
      </c>
      <c r="F16" s="379">
        <f t="shared" si="2"/>
        <v>169.86074914189192</v>
      </c>
      <c r="G16" s="379">
        <f t="shared" si="2"/>
        <v>169.86074914189192</v>
      </c>
      <c r="H16" s="379">
        <f t="shared" si="2"/>
        <v>177.94935624388677</v>
      </c>
      <c r="I16" s="379">
        <f t="shared" si="2"/>
        <v>177.94935624388677</v>
      </c>
      <c r="J16" s="379">
        <f t="shared" si="2"/>
        <v>177.94935624388677</v>
      </c>
      <c r="K16" s="379">
        <f t="shared" si="2"/>
        <v>177.94935624388677</v>
      </c>
      <c r="L16" s="379">
        <f t="shared" si="2"/>
        <v>169.86074914189192</v>
      </c>
      <c r="M16" s="379">
        <f t="shared" si="2"/>
        <v>169.86074914189192</v>
      </c>
      <c r="N16" s="379">
        <f t="shared" si="2"/>
        <v>194.12657044787647</v>
      </c>
      <c r="O16" s="371">
        <f>SUMIF('Tab. 10'!$B$6:$B$35,B10,'Tab. 10'!$I$6:$I$35)</f>
        <v>2094.9492394166668</v>
      </c>
      <c r="Q16" s="371">
        <f t="shared" si="3"/>
        <v>194.12657044787647</v>
      </c>
    </row>
    <row r="17" spans="2:17" s="2" customFormat="1" ht="17" thickBot="1" x14ac:dyDescent="0.25">
      <c r="B17" s="344" t="s">
        <v>41</v>
      </c>
      <c r="C17" s="379">
        <f t="shared" si="2"/>
        <v>603.93725153725154</v>
      </c>
      <c r="D17" s="379">
        <f t="shared" si="2"/>
        <v>603.93725153725154</v>
      </c>
      <c r="E17" s="379">
        <f t="shared" si="2"/>
        <v>694.52783926783934</v>
      </c>
      <c r="F17" s="379">
        <f t="shared" si="2"/>
        <v>634.13411411411414</v>
      </c>
      <c r="G17" s="379">
        <f t="shared" si="2"/>
        <v>634.13411411411414</v>
      </c>
      <c r="H17" s="379">
        <f t="shared" si="2"/>
        <v>664.33097669097674</v>
      </c>
      <c r="I17" s="379">
        <f t="shared" si="2"/>
        <v>664.33097669097674</v>
      </c>
      <c r="J17" s="379">
        <f t="shared" si="2"/>
        <v>664.33097669097674</v>
      </c>
      <c r="K17" s="379">
        <f t="shared" si="2"/>
        <v>664.33097669097674</v>
      </c>
      <c r="L17" s="379">
        <f t="shared" si="2"/>
        <v>634.13411411411414</v>
      </c>
      <c r="M17" s="379">
        <f t="shared" si="2"/>
        <v>634.13411411411414</v>
      </c>
      <c r="N17" s="379">
        <f t="shared" si="2"/>
        <v>724.72470184470194</v>
      </c>
      <c r="O17" s="371">
        <f>SUMIF('Tab. 10'!$B$6:$B$35,B10,'Tab. 10'!$J$6:$J$35)</f>
        <v>7820.9874074074078</v>
      </c>
      <c r="Q17" s="371">
        <f t="shared" si="3"/>
        <v>724.72470184470194</v>
      </c>
    </row>
    <row r="18" spans="2:17" s="2" customFormat="1" ht="17" thickBot="1" x14ac:dyDescent="0.25">
      <c r="B18" s="361" t="s">
        <v>3</v>
      </c>
      <c r="C18" s="310">
        <f t="shared" ref="C18:O18" si="4">SUM(C11:C17)</f>
        <v>12380.758951807522</v>
      </c>
      <c r="D18" s="310">
        <f t="shared" si="4"/>
        <v>12380.758951807522</v>
      </c>
      <c r="E18" s="310">
        <f t="shared" si="4"/>
        <v>14237.87279457865</v>
      </c>
      <c r="F18" s="310">
        <f t="shared" si="4"/>
        <v>12999.796899397899</v>
      </c>
      <c r="G18" s="310">
        <f t="shared" si="4"/>
        <v>12999.796899397899</v>
      </c>
      <c r="H18" s="310">
        <f t="shared" si="4"/>
        <v>13618.834846988277</v>
      </c>
      <c r="I18" s="310">
        <f t="shared" si="4"/>
        <v>13618.834846988277</v>
      </c>
      <c r="J18" s="310">
        <f t="shared" si="4"/>
        <v>13618.834846988277</v>
      </c>
      <c r="K18" s="310">
        <f t="shared" si="4"/>
        <v>13618.834846988277</v>
      </c>
      <c r="L18" s="310">
        <f t="shared" si="4"/>
        <v>12999.796899397899</v>
      </c>
      <c r="M18" s="310">
        <f t="shared" si="4"/>
        <v>12999.796899397899</v>
      </c>
      <c r="N18" s="310">
        <f t="shared" si="4"/>
        <v>61036.424707010876</v>
      </c>
      <c r="O18" s="372">
        <f t="shared" si="4"/>
        <v>160330.82842590741</v>
      </c>
      <c r="Q18" s="372">
        <f>SUM(Q11:Q17)</f>
        <v>14856.910742169028</v>
      </c>
    </row>
    <row r="19" spans="2:17" s="2" customFormat="1" ht="16" x14ac:dyDescent="0.2">
      <c r="B19" s="360" t="s">
        <v>558</v>
      </c>
      <c r="C19" s="379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371"/>
      <c r="Q19" s="371"/>
    </row>
    <row r="20" spans="2:17" s="2" customFormat="1" ht="16" x14ac:dyDescent="0.2">
      <c r="B20" s="344" t="s">
        <v>578</v>
      </c>
      <c r="C20" s="379">
        <f>+$O20/$O$6*C$6</f>
        <v>9014.7397683397667</v>
      </c>
      <c r="D20" s="379">
        <f t="shared" ref="D20:N20" si="5">+$O20/$O$6*D$6</f>
        <v>9014.7397683397667</v>
      </c>
      <c r="E20" s="379">
        <f t="shared" si="5"/>
        <v>10366.950733590733</v>
      </c>
      <c r="F20" s="379">
        <f t="shared" si="5"/>
        <v>9465.476756756756</v>
      </c>
      <c r="G20" s="379">
        <f t="shared" si="5"/>
        <v>9465.476756756756</v>
      </c>
      <c r="H20" s="379">
        <f t="shared" si="5"/>
        <v>9916.2137451737435</v>
      </c>
      <c r="I20" s="379">
        <f t="shared" si="5"/>
        <v>9916.2137451737435</v>
      </c>
      <c r="J20" s="379">
        <f t="shared" si="5"/>
        <v>9916.2137451737435</v>
      </c>
      <c r="K20" s="379">
        <f t="shared" si="5"/>
        <v>9916.2137451737435</v>
      </c>
      <c r="L20" s="379">
        <f t="shared" si="5"/>
        <v>9465.476756756756</v>
      </c>
      <c r="M20" s="379">
        <f t="shared" si="5"/>
        <v>9465.476756756756</v>
      </c>
      <c r="N20" s="379">
        <f t="shared" si="5"/>
        <v>10817.68772200772</v>
      </c>
      <c r="O20" s="371">
        <f>SUMIF('Tab. 10'!$B$6:$B$35,B19,'Tab. 10'!$D$6:$D$35)</f>
        <v>116740.87999999999</v>
      </c>
      <c r="Q20" s="371">
        <f t="shared" ref="Q20:Q26" si="6">O20/$O$6*$O$7</f>
        <v>10817.68772200772</v>
      </c>
    </row>
    <row r="21" spans="2:17" s="2" customFormat="1" ht="16" x14ac:dyDescent="0.2">
      <c r="B21" s="344" t="s">
        <v>37</v>
      </c>
      <c r="C21" s="379">
        <f t="shared" ref="C21:N26" si="7">+$O21/$O$6*C$6</f>
        <v>751.22831402831389</v>
      </c>
      <c r="D21" s="379">
        <f t="shared" si="7"/>
        <v>751.22831402831389</v>
      </c>
      <c r="E21" s="379">
        <f t="shared" si="7"/>
        <v>863.912561132561</v>
      </c>
      <c r="F21" s="379">
        <f t="shared" si="7"/>
        <v>788.78972972972963</v>
      </c>
      <c r="G21" s="379">
        <f t="shared" si="7"/>
        <v>788.78972972972963</v>
      </c>
      <c r="H21" s="379">
        <f t="shared" si="7"/>
        <v>826.35114543114537</v>
      </c>
      <c r="I21" s="379">
        <f t="shared" si="7"/>
        <v>826.35114543114537</v>
      </c>
      <c r="J21" s="379">
        <f t="shared" si="7"/>
        <v>826.35114543114537</v>
      </c>
      <c r="K21" s="379">
        <f t="shared" si="7"/>
        <v>826.35114543114537</v>
      </c>
      <c r="L21" s="379">
        <f t="shared" si="7"/>
        <v>788.78972972972963</v>
      </c>
      <c r="M21" s="379">
        <f t="shared" si="7"/>
        <v>788.78972972972963</v>
      </c>
      <c r="N21" s="379">
        <f t="shared" si="7"/>
        <v>901.47397683397674</v>
      </c>
      <c r="O21" s="371">
        <f>SUMIF('Tab. 10'!$B$6:$B$35,B19,'Tab. 10'!$F$6:$F$35)</f>
        <v>9728.4066666666658</v>
      </c>
      <c r="Q21" s="371">
        <f t="shared" si="6"/>
        <v>901.47397683397674</v>
      </c>
    </row>
    <row r="22" spans="2:17" s="2" customFormat="1" ht="16" x14ac:dyDescent="0.2">
      <c r="B22" s="344" t="s">
        <v>38</v>
      </c>
      <c r="C22" s="379">
        <f t="shared" si="7"/>
        <v>751.22831402831389</v>
      </c>
      <c r="D22" s="379">
        <f t="shared" si="7"/>
        <v>751.22831402831389</v>
      </c>
      <c r="E22" s="379">
        <f t="shared" si="7"/>
        <v>863.912561132561</v>
      </c>
      <c r="F22" s="379">
        <f t="shared" si="7"/>
        <v>788.78972972972963</v>
      </c>
      <c r="G22" s="379">
        <f t="shared" si="7"/>
        <v>788.78972972972963</v>
      </c>
      <c r="H22" s="379">
        <f t="shared" si="7"/>
        <v>826.35114543114537</v>
      </c>
      <c r="I22" s="379">
        <f t="shared" si="7"/>
        <v>826.35114543114537</v>
      </c>
      <c r="J22" s="379">
        <f t="shared" si="7"/>
        <v>826.35114543114537</v>
      </c>
      <c r="K22" s="379">
        <f t="shared" si="7"/>
        <v>826.35114543114537</v>
      </c>
      <c r="L22" s="379">
        <f t="shared" si="7"/>
        <v>788.78972972972963</v>
      </c>
      <c r="M22" s="379">
        <f t="shared" si="7"/>
        <v>788.78972972972963</v>
      </c>
      <c r="N22" s="379">
        <f t="shared" si="7"/>
        <v>901.47397683397674</v>
      </c>
      <c r="O22" s="371">
        <f>SUMIF('Tab. 10'!$B$6:$B$35,B19,'Tab. 10'!$H$6:$H$35)</f>
        <v>9728.4066666666658</v>
      </c>
      <c r="Q22" s="371">
        <f t="shared" si="6"/>
        <v>901.47397683397674</v>
      </c>
    </row>
    <row r="23" spans="2:17" s="2" customFormat="1" ht="16" x14ac:dyDescent="0.2">
      <c r="B23" s="344" t="s">
        <v>580</v>
      </c>
      <c r="C23" s="379">
        <f t="shared" si="7"/>
        <v>2146.409538841699</v>
      </c>
      <c r="D23" s="379">
        <f t="shared" si="7"/>
        <v>2146.409538841699</v>
      </c>
      <c r="E23" s="379">
        <f t="shared" si="7"/>
        <v>2468.3709696679539</v>
      </c>
      <c r="F23" s="379">
        <f t="shared" si="7"/>
        <v>2253.730015783784</v>
      </c>
      <c r="G23" s="379">
        <f t="shared" si="7"/>
        <v>2253.730015783784</v>
      </c>
      <c r="H23" s="379">
        <f t="shared" si="7"/>
        <v>2361.0504927258689</v>
      </c>
      <c r="I23" s="379">
        <f t="shared" si="7"/>
        <v>2361.0504927258689</v>
      </c>
      <c r="J23" s="379">
        <f t="shared" si="7"/>
        <v>2361.0504927258689</v>
      </c>
      <c r="K23" s="379">
        <f t="shared" si="7"/>
        <v>2361.0504927258689</v>
      </c>
      <c r="L23" s="379">
        <f t="shared" si="7"/>
        <v>2253.730015783784</v>
      </c>
      <c r="M23" s="379">
        <f t="shared" si="7"/>
        <v>2253.730015783784</v>
      </c>
      <c r="N23" s="379">
        <f t="shared" si="7"/>
        <v>2575.6914466100388</v>
      </c>
      <c r="O23" s="371">
        <f>SUMIF('Tab. 10'!$B$6:$B$35,B19,'Tab. 10'!$E$6:$E$35)</f>
        <v>27796.003528000001</v>
      </c>
      <c r="Q23" s="371">
        <f t="shared" si="6"/>
        <v>2575.6914466100388</v>
      </c>
    </row>
    <row r="24" spans="2:17" s="2" customFormat="1" ht="16" x14ac:dyDescent="0.2">
      <c r="B24" s="344" t="s">
        <v>581</v>
      </c>
      <c r="C24" s="379">
        <f t="shared" si="7"/>
        <v>178.86746157014159</v>
      </c>
      <c r="D24" s="379">
        <f t="shared" si="7"/>
        <v>178.86746157014159</v>
      </c>
      <c r="E24" s="379">
        <f t="shared" si="7"/>
        <v>205.69758080566282</v>
      </c>
      <c r="F24" s="379">
        <f t="shared" si="7"/>
        <v>187.81083464864867</v>
      </c>
      <c r="G24" s="379">
        <f t="shared" si="7"/>
        <v>187.81083464864867</v>
      </c>
      <c r="H24" s="379">
        <f t="shared" si="7"/>
        <v>196.75420772715574</v>
      </c>
      <c r="I24" s="379">
        <f t="shared" si="7"/>
        <v>196.75420772715574</v>
      </c>
      <c r="J24" s="379">
        <f t="shared" si="7"/>
        <v>196.75420772715574</v>
      </c>
      <c r="K24" s="379">
        <f t="shared" si="7"/>
        <v>196.75420772715574</v>
      </c>
      <c r="L24" s="379">
        <f t="shared" si="7"/>
        <v>187.81083464864867</v>
      </c>
      <c r="M24" s="379">
        <f t="shared" si="7"/>
        <v>187.81083464864867</v>
      </c>
      <c r="N24" s="379">
        <f t="shared" si="7"/>
        <v>214.6409538841699</v>
      </c>
      <c r="O24" s="371">
        <f>SUMIF('Tab. 10'!$B$6:$B$35,B19,'Tab. 10'!$G$6:$G$35)</f>
        <v>2316.3336273333334</v>
      </c>
      <c r="Q24" s="371">
        <f t="shared" si="6"/>
        <v>214.6409538841699</v>
      </c>
    </row>
    <row r="25" spans="2:17" s="2" customFormat="1" ht="16" x14ac:dyDescent="0.2">
      <c r="B25" s="344" t="s">
        <v>582</v>
      </c>
      <c r="C25" s="379">
        <f t="shared" si="7"/>
        <v>178.86746157014159</v>
      </c>
      <c r="D25" s="379">
        <f t="shared" si="7"/>
        <v>178.86746157014159</v>
      </c>
      <c r="E25" s="379">
        <f t="shared" si="7"/>
        <v>205.69758080566282</v>
      </c>
      <c r="F25" s="379">
        <f t="shared" si="7"/>
        <v>187.81083464864867</v>
      </c>
      <c r="G25" s="379">
        <f t="shared" si="7"/>
        <v>187.81083464864867</v>
      </c>
      <c r="H25" s="379">
        <f t="shared" si="7"/>
        <v>196.75420772715574</v>
      </c>
      <c r="I25" s="379">
        <f t="shared" si="7"/>
        <v>196.75420772715574</v>
      </c>
      <c r="J25" s="379">
        <f t="shared" si="7"/>
        <v>196.75420772715574</v>
      </c>
      <c r="K25" s="379">
        <f t="shared" si="7"/>
        <v>196.75420772715574</v>
      </c>
      <c r="L25" s="379">
        <f t="shared" si="7"/>
        <v>187.81083464864867</v>
      </c>
      <c r="M25" s="379">
        <f t="shared" si="7"/>
        <v>187.81083464864867</v>
      </c>
      <c r="N25" s="379">
        <f t="shared" si="7"/>
        <v>214.6409538841699</v>
      </c>
      <c r="O25" s="371">
        <f>SUMIF('Tab. 10'!$B$6:$B$35,B19,'Tab. 10'!$I$6:$I$35)</f>
        <v>2316.3336273333334</v>
      </c>
      <c r="Q25" s="371">
        <f t="shared" si="6"/>
        <v>214.6409538841699</v>
      </c>
    </row>
    <row r="26" spans="2:17" s="2" customFormat="1" ht="17" thickBot="1" x14ac:dyDescent="0.25">
      <c r="B26" s="344" t="s">
        <v>41</v>
      </c>
      <c r="C26" s="379">
        <f t="shared" si="7"/>
        <v>667.75850135850135</v>
      </c>
      <c r="D26" s="379">
        <f t="shared" si="7"/>
        <v>667.75850135850135</v>
      </c>
      <c r="E26" s="379">
        <f t="shared" si="7"/>
        <v>767.92227656227658</v>
      </c>
      <c r="F26" s="379">
        <f t="shared" si="7"/>
        <v>701.14642642642639</v>
      </c>
      <c r="G26" s="379">
        <f t="shared" si="7"/>
        <v>701.14642642642639</v>
      </c>
      <c r="H26" s="379">
        <f t="shared" si="7"/>
        <v>734.53435149435154</v>
      </c>
      <c r="I26" s="379">
        <f t="shared" si="7"/>
        <v>734.53435149435154</v>
      </c>
      <c r="J26" s="379">
        <f t="shared" si="7"/>
        <v>734.53435149435154</v>
      </c>
      <c r="K26" s="379">
        <f t="shared" si="7"/>
        <v>734.53435149435154</v>
      </c>
      <c r="L26" s="379">
        <f t="shared" si="7"/>
        <v>701.14642642642639</v>
      </c>
      <c r="M26" s="379">
        <f t="shared" si="7"/>
        <v>701.14642642642639</v>
      </c>
      <c r="N26" s="379">
        <f t="shared" si="7"/>
        <v>801.31020163020162</v>
      </c>
      <c r="O26" s="371">
        <f>SUMIF('Tab. 10'!$B$6:$B$35,B19,'Tab. 10'!$J$6:$J$35)</f>
        <v>8647.4725925925923</v>
      </c>
      <c r="Q26" s="371">
        <f t="shared" si="6"/>
        <v>801.31020163020162</v>
      </c>
    </row>
    <row r="27" spans="2:17" s="2" customFormat="1" ht="17" thickBot="1" x14ac:dyDescent="0.25">
      <c r="B27" s="361" t="s">
        <v>3</v>
      </c>
      <c r="C27" s="310">
        <f t="shared" ref="C27:O27" si="8">SUM(C20:C26)</f>
        <v>13689.09935973688</v>
      </c>
      <c r="D27" s="310">
        <f t="shared" si="8"/>
        <v>13689.09935973688</v>
      </c>
      <c r="E27" s="310">
        <f t="shared" si="8"/>
        <v>15742.464263697413</v>
      </c>
      <c r="F27" s="310">
        <f t="shared" si="8"/>
        <v>14373.554327723721</v>
      </c>
      <c r="G27" s="310">
        <f t="shared" si="8"/>
        <v>14373.554327723721</v>
      </c>
      <c r="H27" s="310">
        <f t="shared" si="8"/>
        <v>15058.009295710566</v>
      </c>
      <c r="I27" s="310">
        <f t="shared" si="8"/>
        <v>15058.009295710566</v>
      </c>
      <c r="J27" s="310">
        <f t="shared" si="8"/>
        <v>15058.009295710566</v>
      </c>
      <c r="K27" s="310">
        <f t="shared" si="8"/>
        <v>15058.009295710566</v>
      </c>
      <c r="L27" s="310">
        <f t="shared" si="8"/>
        <v>14373.554327723721</v>
      </c>
      <c r="M27" s="310">
        <f t="shared" si="8"/>
        <v>14373.554327723721</v>
      </c>
      <c r="N27" s="310">
        <f t="shared" si="8"/>
        <v>16426.919231684253</v>
      </c>
      <c r="O27" s="372">
        <f t="shared" si="8"/>
        <v>177273.8367085926</v>
      </c>
      <c r="Q27" s="372">
        <f>SUM(Q20:Q26)</f>
        <v>16426.919231684253</v>
      </c>
    </row>
    <row r="28" spans="2:17" s="2" customFormat="1" ht="16" x14ac:dyDescent="0.2">
      <c r="B28" s="360" t="s">
        <v>298</v>
      </c>
      <c r="C28" s="379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371"/>
      <c r="Q28" s="371"/>
    </row>
    <row r="29" spans="2:17" s="2" customFormat="1" ht="16" x14ac:dyDescent="0.2">
      <c r="B29" s="344" t="s">
        <v>578</v>
      </c>
      <c r="C29" s="379">
        <f>+$O29/$O$6*C$6</f>
        <v>165989.97451737479</v>
      </c>
      <c r="D29" s="379">
        <f t="shared" ref="D29:N29" si="9">+$O29/$O$6*D$6</f>
        <v>165989.97451737479</v>
      </c>
      <c r="E29" s="379">
        <f t="shared" si="9"/>
        <v>190888.47069498102</v>
      </c>
      <c r="F29" s="379">
        <f t="shared" si="9"/>
        <v>174289.47324324353</v>
      </c>
      <c r="G29" s="379">
        <f t="shared" si="9"/>
        <v>174289.47324324353</v>
      </c>
      <c r="H29" s="379">
        <f t="shared" si="9"/>
        <v>182588.97196911229</v>
      </c>
      <c r="I29" s="379">
        <f t="shared" si="9"/>
        <v>182588.97196911229</v>
      </c>
      <c r="J29" s="379">
        <f t="shared" si="9"/>
        <v>182588.97196911229</v>
      </c>
      <c r="K29" s="379">
        <f t="shared" si="9"/>
        <v>182588.97196911229</v>
      </c>
      <c r="L29" s="379">
        <f t="shared" si="9"/>
        <v>174289.47324324353</v>
      </c>
      <c r="M29" s="379">
        <f t="shared" si="9"/>
        <v>174289.47324324353</v>
      </c>
      <c r="N29" s="379">
        <f t="shared" si="9"/>
        <v>199187.96942084975</v>
      </c>
      <c r="O29" s="371">
        <f>SUMIF('Tab. 10'!$B$6:$B$35,B28,'Tab. 10'!$D$6:$D$35)</f>
        <v>2149570.1700000037</v>
      </c>
      <c r="Q29" s="371">
        <f t="shared" ref="Q29:Q35" si="10">O29/$O$6*$O$7</f>
        <v>199187.96942084975</v>
      </c>
    </row>
    <row r="30" spans="2:17" s="2" customFormat="1" ht="16" x14ac:dyDescent="0.2">
      <c r="B30" s="344" t="s">
        <v>37</v>
      </c>
      <c r="C30" s="379">
        <f t="shared" ref="C30:N35" si="11">+$O30/$O$6*C$6</f>
        <v>13832.497876447862</v>
      </c>
      <c r="D30" s="379">
        <f t="shared" si="11"/>
        <v>13832.497876447862</v>
      </c>
      <c r="E30" s="379">
        <f t="shared" si="11"/>
        <v>15907.372557915041</v>
      </c>
      <c r="F30" s="379">
        <f t="shared" si="11"/>
        <v>14524.122770270256</v>
      </c>
      <c r="G30" s="379">
        <f t="shared" si="11"/>
        <v>14524.122770270256</v>
      </c>
      <c r="H30" s="379">
        <f t="shared" si="11"/>
        <v>15215.747664092649</v>
      </c>
      <c r="I30" s="379">
        <f t="shared" si="11"/>
        <v>15215.747664092649</v>
      </c>
      <c r="J30" s="379">
        <f t="shared" si="11"/>
        <v>15215.747664092649</v>
      </c>
      <c r="K30" s="379">
        <f t="shared" si="11"/>
        <v>15215.747664092649</v>
      </c>
      <c r="L30" s="379">
        <f t="shared" si="11"/>
        <v>14524.122770270256</v>
      </c>
      <c r="M30" s="379">
        <f t="shared" si="11"/>
        <v>14524.122770270256</v>
      </c>
      <c r="N30" s="379">
        <f t="shared" si="11"/>
        <v>16598.997451737436</v>
      </c>
      <c r="O30" s="371">
        <f>SUMIF('Tab. 10'!$B$6:$B$35,B28,'Tab. 10'!$F$6:$F$35)</f>
        <v>179130.84749999983</v>
      </c>
      <c r="Q30" s="371">
        <f t="shared" si="10"/>
        <v>16598.997451737436</v>
      </c>
    </row>
    <row r="31" spans="2:17" s="2" customFormat="1" ht="16" x14ac:dyDescent="0.2">
      <c r="B31" s="344" t="s">
        <v>38</v>
      </c>
      <c r="C31" s="379">
        <f t="shared" si="11"/>
        <v>13832.497876447862</v>
      </c>
      <c r="D31" s="379">
        <f t="shared" si="11"/>
        <v>13832.497876447862</v>
      </c>
      <c r="E31" s="379">
        <f t="shared" si="11"/>
        <v>15907.372557915041</v>
      </c>
      <c r="F31" s="379">
        <f t="shared" si="11"/>
        <v>14524.122770270256</v>
      </c>
      <c r="G31" s="379">
        <f t="shared" si="11"/>
        <v>14524.122770270256</v>
      </c>
      <c r="H31" s="379">
        <f t="shared" si="11"/>
        <v>15215.747664092649</v>
      </c>
      <c r="I31" s="379">
        <f t="shared" si="11"/>
        <v>15215.747664092649</v>
      </c>
      <c r="J31" s="379">
        <f t="shared" si="11"/>
        <v>15215.747664092649</v>
      </c>
      <c r="K31" s="379">
        <f t="shared" si="11"/>
        <v>15215.747664092649</v>
      </c>
      <c r="L31" s="379">
        <f t="shared" si="11"/>
        <v>14524.122770270256</v>
      </c>
      <c r="M31" s="379">
        <f t="shared" si="11"/>
        <v>14524.122770270256</v>
      </c>
      <c r="N31" s="379">
        <f t="shared" si="11"/>
        <v>16598.997451737436</v>
      </c>
      <c r="O31" s="371">
        <f>SUMIF('Tab. 10'!$B$6:$B$35,B28,'Tab. 10'!$H$6:$H$35)</f>
        <v>179130.84749999983</v>
      </c>
      <c r="Q31" s="371">
        <f t="shared" si="10"/>
        <v>16598.997451737436</v>
      </c>
    </row>
    <row r="32" spans="2:17" s="2" customFormat="1" ht="16" x14ac:dyDescent="0.2">
      <c r="B32" s="344" t="s">
        <v>580</v>
      </c>
      <c r="C32" s="379">
        <f t="shared" si="11"/>
        <v>39522.212932586815</v>
      </c>
      <c r="D32" s="379">
        <f t="shared" si="11"/>
        <v>39522.212932586815</v>
      </c>
      <c r="E32" s="379">
        <f t="shared" si="11"/>
        <v>45450.544872474835</v>
      </c>
      <c r="F32" s="379">
        <f t="shared" si="11"/>
        <v>41498.32357921615</v>
      </c>
      <c r="G32" s="379">
        <f t="shared" si="11"/>
        <v>41498.32357921615</v>
      </c>
      <c r="H32" s="379">
        <f t="shared" si="11"/>
        <v>43474.434225845493</v>
      </c>
      <c r="I32" s="379">
        <f t="shared" si="11"/>
        <v>43474.434225845493</v>
      </c>
      <c r="J32" s="379">
        <f t="shared" si="11"/>
        <v>43474.434225845493</v>
      </c>
      <c r="K32" s="379">
        <f t="shared" si="11"/>
        <v>43474.434225845493</v>
      </c>
      <c r="L32" s="379">
        <f t="shared" si="11"/>
        <v>41498.32357921615</v>
      </c>
      <c r="M32" s="379">
        <f t="shared" si="11"/>
        <v>41498.32357921615</v>
      </c>
      <c r="N32" s="379">
        <f t="shared" si="11"/>
        <v>47426.655519104177</v>
      </c>
      <c r="O32" s="371">
        <f>SUMIF('Tab. 10'!$B$6:$B$35,B28,'Tab. 10'!$E$6:$E$35)</f>
        <v>511812.65747699921</v>
      </c>
      <c r="Q32" s="371">
        <f t="shared" si="10"/>
        <v>47426.655519104177</v>
      </c>
    </row>
    <row r="33" spans="2:17" s="2" customFormat="1" ht="16" x14ac:dyDescent="0.2">
      <c r="B33" s="344" t="s">
        <v>581</v>
      </c>
      <c r="C33" s="379">
        <f t="shared" si="11"/>
        <v>3293.5177443822408</v>
      </c>
      <c r="D33" s="379">
        <f t="shared" si="11"/>
        <v>3293.5177443822408</v>
      </c>
      <c r="E33" s="379">
        <f t="shared" si="11"/>
        <v>3787.5454060395768</v>
      </c>
      <c r="F33" s="379">
        <f t="shared" si="11"/>
        <v>3458.193631601353</v>
      </c>
      <c r="G33" s="379">
        <f t="shared" si="11"/>
        <v>3458.193631601353</v>
      </c>
      <c r="H33" s="379">
        <f t="shared" si="11"/>
        <v>3622.8695188204647</v>
      </c>
      <c r="I33" s="379">
        <f t="shared" si="11"/>
        <v>3622.8695188204647</v>
      </c>
      <c r="J33" s="379">
        <f t="shared" si="11"/>
        <v>3622.8695188204647</v>
      </c>
      <c r="K33" s="379">
        <f t="shared" si="11"/>
        <v>3622.8695188204647</v>
      </c>
      <c r="L33" s="379">
        <f t="shared" si="11"/>
        <v>3458.193631601353</v>
      </c>
      <c r="M33" s="379">
        <f t="shared" si="11"/>
        <v>3458.193631601353</v>
      </c>
      <c r="N33" s="379">
        <f t="shared" si="11"/>
        <v>3952.221293258689</v>
      </c>
      <c r="O33" s="371">
        <f>SUMIF('Tab. 10'!$B$6:$B$35,B28,'Tab. 10'!$G$6:$G$35)</f>
        <v>42651.054789750022</v>
      </c>
      <c r="Q33" s="371">
        <f t="shared" si="10"/>
        <v>3952.221293258689</v>
      </c>
    </row>
    <row r="34" spans="2:17" s="2" customFormat="1" ht="16" x14ac:dyDescent="0.2">
      <c r="B34" s="344" t="s">
        <v>582</v>
      </c>
      <c r="C34" s="379">
        <f t="shared" si="11"/>
        <v>3293.5177443822408</v>
      </c>
      <c r="D34" s="379">
        <f t="shared" si="11"/>
        <v>3293.5177443822408</v>
      </c>
      <c r="E34" s="379">
        <f t="shared" si="11"/>
        <v>3787.5454060395768</v>
      </c>
      <c r="F34" s="379">
        <f t="shared" si="11"/>
        <v>3458.193631601353</v>
      </c>
      <c r="G34" s="379">
        <f t="shared" si="11"/>
        <v>3458.193631601353</v>
      </c>
      <c r="H34" s="379">
        <f t="shared" si="11"/>
        <v>3622.8695188204647</v>
      </c>
      <c r="I34" s="379">
        <f t="shared" si="11"/>
        <v>3622.8695188204647</v>
      </c>
      <c r="J34" s="379">
        <f t="shared" si="11"/>
        <v>3622.8695188204647</v>
      </c>
      <c r="K34" s="379">
        <f t="shared" si="11"/>
        <v>3622.8695188204647</v>
      </c>
      <c r="L34" s="379">
        <f t="shared" si="11"/>
        <v>3458.193631601353</v>
      </c>
      <c r="M34" s="379">
        <f t="shared" si="11"/>
        <v>3458.193631601353</v>
      </c>
      <c r="N34" s="379">
        <f t="shared" si="11"/>
        <v>3952.221293258689</v>
      </c>
      <c r="O34" s="371">
        <f>SUMIF('Tab. 10'!$B$6:$B$35,B28,'Tab. 10'!$I$6:$I$35)</f>
        <v>42651.054789750022</v>
      </c>
      <c r="Q34" s="371">
        <f t="shared" si="10"/>
        <v>3952.221293258689</v>
      </c>
    </row>
    <row r="35" spans="2:17" s="2" customFormat="1" ht="17" thickBot="1" x14ac:dyDescent="0.25">
      <c r="B35" s="344" t="s">
        <v>41</v>
      </c>
      <c r="C35" s="379">
        <f t="shared" si="11"/>
        <v>12295.5536679537</v>
      </c>
      <c r="D35" s="379">
        <f t="shared" si="11"/>
        <v>12295.5536679537</v>
      </c>
      <c r="E35" s="379">
        <f t="shared" si="11"/>
        <v>14139.886718146754</v>
      </c>
      <c r="F35" s="379">
        <f t="shared" si="11"/>
        <v>12910.331351351386</v>
      </c>
      <c r="G35" s="379">
        <f t="shared" si="11"/>
        <v>12910.331351351386</v>
      </c>
      <c r="H35" s="379">
        <f t="shared" si="11"/>
        <v>13525.10903474907</v>
      </c>
      <c r="I35" s="379">
        <f t="shared" si="11"/>
        <v>13525.10903474907</v>
      </c>
      <c r="J35" s="379">
        <f t="shared" si="11"/>
        <v>13525.10903474907</v>
      </c>
      <c r="K35" s="379">
        <f t="shared" si="11"/>
        <v>13525.10903474907</v>
      </c>
      <c r="L35" s="379">
        <f t="shared" si="11"/>
        <v>12910.331351351386</v>
      </c>
      <c r="M35" s="379">
        <f t="shared" si="11"/>
        <v>12910.331351351386</v>
      </c>
      <c r="N35" s="379">
        <f t="shared" si="11"/>
        <v>14754.66440154444</v>
      </c>
      <c r="O35" s="371">
        <f>SUMIF('Tab. 10'!$B$6:$B$35,B28,'Tab. 10'!$J$6:$J$35)</f>
        <v>159227.42000000042</v>
      </c>
      <c r="Q35" s="371">
        <f t="shared" si="10"/>
        <v>14754.66440154444</v>
      </c>
    </row>
    <row r="36" spans="2:17" s="2" customFormat="1" ht="17" thickBot="1" x14ac:dyDescent="0.25">
      <c r="B36" s="361" t="s">
        <v>3</v>
      </c>
      <c r="C36" s="310">
        <f t="shared" ref="C36:O36" si="12">SUM(C29:C35)</f>
        <v>252059.77235957549</v>
      </c>
      <c r="D36" s="310">
        <f t="shared" si="12"/>
        <v>252059.77235957549</v>
      </c>
      <c r="E36" s="310">
        <f t="shared" si="12"/>
        <v>289868.73821351182</v>
      </c>
      <c r="F36" s="310">
        <f t="shared" si="12"/>
        <v>264662.76097755425</v>
      </c>
      <c r="G36" s="310">
        <f t="shared" si="12"/>
        <v>264662.76097755425</v>
      </c>
      <c r="H36" s="310">
        <f t="shared" si="12"/>
        <v>277265.74959553313</v>
      </c>
      <c r="I36" s="310">
        <f t="shared" si="12"/>
        <v>277265.74959553313</v>
      </c>
      <c r="J36" s="310">
        <f t="shared" si="12"/>
        <v>277265.74959553313</v>
      </c>
      <c r="K36" s="310">
        <f t="shared" si="12"/>
        <v>277265.74959553313</v>
      </c>
      <c r="L36" s="310">
        <f t="shared" si="12"/>
        <v>264662.76097755425</v>
      </c>
      <c r="M36" s="310">
        <f t="shared" si="12"/>
        <v>264662.76097755425</v>
      </c>
      <c r="N36" s="310">
        <f t="shared" si="12"/>
        <v>302471.72683149064</v>
      </c>
      <c r="O36" s="372">
        <f t="shared" si="12"/>
        <v>3264174.0520565026</v>
      </c>
      <c r="Q36" s="372">
        <f>SUM(Q29:Q35)</f>
        <v>302471.72683149064</v>
      </c>
    </row>
    <row r="37" spans="2:17" s="2" customFormat="1" ht="16" x14ac:dyDescent="0.2">
      <c r="B37" s="360" t="s">
        <v>324</v>
      </c>
      <c r="C37" s="379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371"/>
      <c r="Q37" s="371"/>
    </row>
    <row r="38" spans="2:17" s="2" customFormat="1" ht="16" x14ac:dyDescent="0.2">
      <c r="B38" s="344" t="s">
        <v>578</v>
      </c>
      <c r="C38" s="379">
        <f>+$O38/$O$6*C$6</f>
        <v>57176.626254826224</v>
      </c>
      <c r="D38" s="379">
        <f t="shared" ref="D38:N38" si="13">+$O38/$O$6*D$6</f>
        <v>57176.626254826224</v>
      </c>
      <c r="E38" s="379">
        <f t="shared" si="13"/>
        <v>65753.120193050156</v>
      </c>
      <c r="F38" s="379">
        <f t="shared" si="13"/>
        <v>60035.457567567537</v>
      </c>
      <c r="G38" s="379">
        <f t="shared" si="13"/>
        <v>60035.457567567537</v>
      </c>
      <c r="H38" s="379">
        <f t="shared" si="13"/>
        <v>62894.288880308843</v>
      </c>
      <c r="I38" s="379">
        <f t="shared" si="13"/>
        <v>62894.288880308843</v>
      </c>
      <c r="J38" s="379">
        <f t="shared" si="13"/>
        <v>62894.288880308843</v>
      </c>
      <c r="K38" s="379">
        <f t="shared" si="13"/>
        <v>62894.288880308843</v>
      </c>
      <c r="L38" s="379">
        <f t="shared" si="13"/>
        <v>60035.457567567537</v>
      </c>
      <c r="M38" s="379">
        <f t="shared" si="13"/>
        <v>60035.457567567537</v>
      </c>
      <c r="N38" s="379">
        <f t="shared" si="13"/>
        <v>68611.951505791469</v>
      </c>
      <c r="O38" s="371">
        <f>SUMIF('Tab. 10'!$B$6:$B$35,B37,'Tab. 10'!$D$6:$D$35)</f>
        <v>740437.30999999959</v>
      </c>
      <c r="Q38" s="371">
        <f t="shared" ref="Q38:Q44" si="14">O38/$O$6*$O$7</f>
        <v>68611.951505791469</v>
      </c>
    </row>
    <row r="39" spans="2:17" s="2" customFormat="1" ht="16" x14ac:dyDescent="0.2">
      <c r="B39" s="344" t="s">
        <v>37</v>
      </c>
      <c r="C39" s="379">
        <f t="shared" ref="C39:N44" si="15">+$O39/$O$6*C$6</f>
        <v>4764.718854568855</v>
      </c>
      <c r="D39" s="379">
        <f t="shared" si="15"/>
        <v>4764.718854568855</v>
      </c>
      <c r="E39" s="379">
        <f t="shared" si="15"/>
        <v>5479.4266827541833</v>
      </c>
      <c r="F39" s="379">
        <f t="shared" si="15"/>
        <v>5002.9547972972978</v>
      </c>
      <c r="G39" s="379">
        <f t="shared" si="15"/>
        <v>5002.9547972972978</v>
      </c>
      <c r="H39" s="379">
        <f t="shared" si="15"/>
        <v>5241.1907400257405</v>
      </c>
      <c r="I39" s="379">
        <f t="shared" si="15"/>
        <v>5241.1907400257405</v>
      </c>
      <c r="J39" s="379">
        <f t="shared" si="15"/>
        <v>5241.1907400257405</v>
      </c>
      <c r="K39" s="379">
        <f t="shared" si="15"/>
        <v>5241.1907400257405</v>
      </c>
      <c r="L39" s="379">
        <f t="shared" si="15"/>
        <v>5002.9547972972978</v>
      </c>
      <c r="M39" s="379">
        <f t="shared" si="15"/>
        <v>5002.9547972972978</v>
      </c>
      <c r="N39" s="379">
        <f t="shared" si="15"/>
        <v>5717.662625482626</v>
      </c>
      <c r="O39" s="371">
        <f>SUMIF('Tab. 10'!$B$6:$B$35,B37,'Tab. 10'!$F$6:$F$35)</f>
        <v>61703.109166666669</v>
      </c>
      <c r="Q39" s="371">
        <f t="shared" si="14"/>
        <v>5717.662625482626</v>
      </c>
    </row>
    <row r="40" spans="2:17" s="2" customFormat="1" ht="16" x14ac:dyDescent="0.2">
      <c r="B40" s="344" t="s">
        <v>38</v>
      </c>
      <c r="C40" s="379">
        <f t="shared" si="15"/>
        <v>4764.718854568855</v>
      </c>
      <c r="D40" s="379">
        <f t="shared" si="15"/>
        <v>4764.718854568855</v>
      </c>
      <c r="E40" s="379">
        <f t="shared" si="15"/>
        <v>5479.4266827541833</v>
      </c>
      <c r="F40" s="379">
        <f t="shared" si="15"/>
        <v>5002.9547972972978</v>
      </c>
      <c r="G40" s="379">
        <f t="shared" si="15"/>
        <v>5002.9547972972978</v>
      </c>
      <c r="H40" s="379">
        <f t="shared" si="15"/>
        <v>5241.1907400257405</v>
      </c>
      <c r="I40" s="379">
        <f t="shared" si="15"/>
        <v>5241.1907400257405</v>
      </c>
      <c r="J40" s="379">
        <f t="shared" si="15"/>
        <v>5241.1907400257405</v>
      </c>
      <c r="K40" s="379">
        <f t="shared" si="15"/>
        <v>5241.1907400257405</v>
      </c>
      <c r="L40" s="379">
        <f t="shared" si="15"/>
        <v>5002.9547972972978</v>
      </c>
      <c r="M40" s="379">
        <f t="shared" si="15"/>
        <v>5002.9547972972978</v>
      </c>
      <c r="N40" s="379">
        <f t="shared" si="15"/>
        <v>5717.662625482626</v>
      </c>
      <c r="O40" s="371">
        <f>SUMIF('Tab. 10'!$B$6:$B$35,B37,'Tab. 10'!$H$6:$H$35)</f>
        <v>61703.109166666669</v>
      </c>
      <c r="Q40" s="371">
        <f t="shared" si="14"/>
        <v>5717.662625482626</v>
      </c>
    </row>
    <row r="41" spans="2:17" s="2" customFormat="1" ht="16" x14ac:dyDescent="0.2">
      <c r="B41" s="344" t="s">
        <v>580</v>
      </c>
      <c r="C41" s="379">
        <f t="shared" si="15"/>
        <v>13613.754711274132</v>
      </c>
      <c r="D41" s="379">
        <f t="shared" si="15"/>
        <v>13613.754711274132</v>
      </c>
      <c r="E41" s="379">
        <f t="shared" si="15"/>
        <v>15655.817917965252</v>
      </c>
      <c r="F41" s="379">
        <f t="shared" si="15"/>
        <v>14294.442446837838</v>
      </c>
      <c r="G41" s="379">
        <f t="shared" si="15"/>
        <v>14294.442446837838</v>
      </c>
      <c r="H41" s="379">
        <f t="shared" si="15"/>
        <v>14975.130182401546</v>
      </c>
      <c r="I41" s="379">
        <f t="shared" si="15"/>
        <v>14975.130182401546</v>
      </c>
      <c r="J41" s="379">
        <f t="shared" si="15"/>
        <v>14975.130182401546</v>
      </c>
      <c r="K41" s="379">
        <f t="shared" si="15"/>
        <v>14975.130182401546</v>
      </c>
      <c r="L41" s="379">
        <f t="shared" si="15"/>
        <v>14294.442446837838</v>
      </c>
      <c r="M41" s="379">
        <f t="shared" si="15"/>
        <v>14294.442446837838</v>
      </c>
      <c r="N41" s="379">
        <f t="shared" si="15"/>
        <v>16336.505653528959</v>
      </c>
      <c r="O41" s="371">
        <f>SUMIF('Tab. 10'!$B$6:$B$35,B37,'Tab. 10'!$E$6:$E$35)</f>
        <v>176298.12351100001</v>
      </c>
      <c r="Q41" s="371">
        <f t="shared" si="14"/>
        <v>16336.505653528959</v>
      </c>
    </row>
    <row r="42" spans="2:17" s="2" customFormat="1" ht="16" x14ac:dyDescent="0.2">
      <c r="B42" s="344" t="s">
        <v>581</v>
      </c>
      <c r="C42" s="379">
        <f t="shared" si="15"/>
        <v>1134.4795592728444</v>
      </c>
      <c r="D42" s="379">
        <f t="shared" si="15"/>
        <v>1134.4795592728444</v>
      </c>
      <c r="E42" s="379">
        <f t="shared" si="15"/>
        <v>1304.651493163771</v>
      </c>
      <c r="F42" s="379">
        <f t="shared" si="15"/>
        <v>1191.2035372364867</v>
      </c>
      <c r="G42" s="379">
        <f t="shared" si="15"/>
        <v>1191.2035372364867</v>
      </c>
      <c r="H42" s="379">
        <f t="shared" si="15"/>
        <v>1247.9275152001289</v>
      </c>
      <c r="I42" s="379">
        <f t="shared" si="15"/>
        <v>1247.9275152001289</v>
      </c>
      <c r="J42" s="379">
        <f t="shared" si="15"/>
        <v>1247.9275152001289</v>
      </c>
      <c r="K42" s="379">
        <f t="shared" si="15"/>
        <v>1247.9275152001289</v>
      </c>
      <c r="L42" s="379">
        <f t="shared" si="15"/>
        <v>1191.2035372364867</v>
      </c>
      <c r="M42" s="379">
        <f t="shared" si="15"/>
        <v>1191.2035372364867</v>
      </c>
      <c r="N42" s="379">
        <f t="shared" si="15"/>
        <v>1361.3754711274132</v>
      </c>
      <c r="O42" s="371">
        <f>SUMIF('Tab. 10'!$B$6:$B$35,B37,'Tab. 10'!$G$6:$G$35)</f>
        <v>14691.510292583334</v>
      </c>
      <c r="Q42" s="371">
        <f t="shared" si="14"/>
        <v>1361.3754711274132</v>
      </c>
    </row>
    <row r="43" spans="2:17" s="2" customFormat="1" ht="16" x14ac:dyDescent="0.2">
      <c r="B43" s="344" t="s">
        <v>582</v>
      </c>
      <c r="C43" s="379">
        <f t="shared" si="15"/>
        <v>1134.4795592728444</v>
      </c>
      <c r="D43" s="379">
        <f t="shared" si="15"/>
        <v>1134.4795592728444</v>
      </c>
      <c r="E43" s="379">
        <f t="shared" si="15"/>
        <v>1304.651493163771</v>
      </c>
      <c r="F43" s="379">
        <f t="shared" si="15"/>
        <v>1191.2035372364867</v>
      </c>
      <c r="G43" s="379">
        <f t="shared" si="15"/>
        <v>1191.2035372364867</v>
      </c>
      <c r="H43" s="379">
        <f t="shared" si="15"/>
        <v>1247.9275152001289</v>
      </c>
      <c r="I43" s="379">
        <f t="shared" si="15"/>
        <v>1247.9275152001289</v>
      </c>
      <c r="J43" s="379">
        <f t="shared" si="15"/>
        <v>1247.9275152001289</v>
      </c>
      <c r="K43" s="379">
        <f t="shared" si="15"/>
        <v>1247.9275152001289</v>
      </c>
      <c r="L43" s="379">
        <f t="shared" si="15"/>
        <v>1191.2035372364867</v>
      </c>
      <c r="M43" s="379">
        <f t="shared" si="15"/>
        <v>1191.2035372364867</v>
      </c>
      <c r="N43" s="379">
        <f t="shared" si="15"/>
        <v>1361.3754711274132</v>
      </c>
      <c r="O43" s="371">
        <f>SUMIF('Tab. 10'!$B$6:$B$35,B37,'Tab. 10'!$I$6:$I$35)</f>
        <v>14691.510292583334</v>
      </c>
      <c r="Q43" s="371">
        <f t="shared" si="14"/>
        <v>1361.3754711274132</v>
      </c>
    </row>
    <row r="44" spans="2:17" s="2" customFormat="1" ht="17" thickBot="1" x14ac:dyDescent="0.25">
      <c r="B44" s="344" t="s">
        <v>41</v>
      </c>
      <c r="C44" s="379">
        <f t="shared" si="15"/>
        <v>4235.3056485056495</v>
      </c>
      <c r="D44" s="379">
        <f t="shared" si="15"/>
        <v>4235.3056485056495</v>
      </c>
      <c r="E44" s="379">
        <f t="shared" si="15"/>
        <v>4870.6014957814978</v>
      </c>
      <c r="F44" s="379">
        <f t="shared" si="15"/>
        <v>4447.0709309309323</v>
      </c>
      <c r="G44" s="379">
        <f t="shared" si="15"/>
        <v>4447.0709309309323</v>
      </c>
      <c r="H44" s="379">
        <f t="shared" si="15"/>
        <v>4658.836213356215</v>
      </c>
      <c r="I44" s="379">
        <f t="shared" si="15"/>
        <v>4658.836213356215</v>
      </c>
      <c r="J44" s="379">
        <f t="shared" si="15"/>
        <v>4658.836213356215</v>
      </c>
      <c r="K44" s="379">
        <f t="shared" si="15"/>
        <v>4658.836213356215</v>
      </c>
      <c r="L44" s="379">
        <f t="shared" si="15"/>
        <v>4447.0709309309323</v>
      </c>
      <c r="M44" s="379">
        <f t="shared" si="15"/>
        <v>4447.0709309309323</v>
      </c>
      <c r="N44" s="379">
        <f t="shared" si="15"/>
        <v>5082.3667782067796</v>
      </c>
      <c r="O44" s="371">
        <f>SUMIF('Tab. 10'!$B$6:$B$35,B37,'Tab. 10'!$J$6:$J$35)</f>
        <v>54847.208148148165</v>
      </c>
      <c r="Q44" s="371">
        <f t="shared" si="14"/>
        <v>5082.3667782067796</v>
      </c>
    </row>
    <row r="45" spans="2:17" s="2" customFormat="1" ht="17" thickBot="1" x14ac:dyDescent="0.25">
      <c r="B45" s="361" t="s">
        <v>3</v>
      </c>
      <c r="C45" s="310">
        <f t="shared" ref="C45:O45" si="16">SUM(C38:C44)</f>
        <v>86824.083442289411</v>
      </c>
      <c r="D45" s="310">
        <f t="shared" si="16"/>
        <v>86824.083442289411</v>
      </c>
      <c r="E45" s="310">
        <f t="shared" si="16"/>
        <v>99847.695958632801</v>
      </c>
      <c r="F45" s="310">
        <f t="shared" si="16"/>
        <v>91165.287614403889</v>
      </c>
      <c r="G45" s="310">
        <f t="shared" si="16"/>
        <v>91165.287614403889</v>
      </c>
      <c r="H45" s="310">
        <f t="shared" si="16"/>
        <v>95506.491786518352</v>
      </c>
      <c r="I45" s="310">
        <f t="shared" si="16"/>
        <v>95506.491786518352</v>
      </c>
      <c r="J45" s="310">
        <f t="shared" si="16"/>
        <v>95506.491786518352</v>
      </c>
      <c r="K45" s="310">
        <f t="shared" si="16"/>
        <v>95506.491786518352</v>
      </c>
      <c r="L45" s="310">
        <f t="shared" si="16"/>
        <v>91165.287614403889</v>
      </c>
      <c r="M45" s="310">
        <f t="shared" si="16"/>
        <v>91165.287614403889</v>
      </c>
      <c r="N45" s="310">
        <f t="shared" si="16"/>
        <v>104188.90013074728</v>
      </c>
      <c r="O45" s="372">
        <f t="shared" si="16"/>
        <v>1124371.8805776478</v>
      </c>
      <c r="Q45" s="372">
        <f>SUM(Q38:Q44)</f>
        <v>104188.90013074728</v>
      </c>
    </row>
    <row r="46" spans="2:17" s="2" customFormat="1" ht="16" x14ac:dyDescent="0.2">
      <c r="B46" s="360" t="s">
        <v>572</v>
      </c>
      <c r="C46" s="379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371"/>
      <c r="Q46" s="371"/>
    </row>
    <row r="47" spans="2:17" s="363" customFormat="1" ht="16" outlineLevel="1" x14ac:dyDescent="0.2">
      <c r="B47" s="362" t="s">
        <v>578</v>
      </c>
      <c r="C47" s="380">
        <f>+$O47/$O$6*C$6</f>
        <v>11322.338996138995</v>
      </c>
      <c r="D47" s="380">
        <f t="shared" ref="D47:N47" si="17">+$O47/$O$6*D$6</f>
        <v>11322.338996138995</v>
      </c>
      <c r="E47" s="380">
        <f t="shared" si="17"/>
        <v>13020.689845559844</v>
      </c>
      <c r="F47" s="380">
        <f t="shared" si="17"/>
        <v>11888.455945945943</v>
      </c>
      <c r="G47" s="380">
        <f t="shared" si="17"/>
        <v>11888.455945945943</v>
      </c>
      <c r="H47" s="380">
        <f t="shared" si="17"/>
        <v>12454.572895752894</v>
      </c>
      <c r="I47" s="380">
        <f t="shared" si="17"/>
        <v>12454.572895752894</v>
      </c>
      <c r="J47" s="380">
        <f t="shared" si="17"/>
        <v>12454.572895752894</v>
      </c>
      <c r="K47" s="380">
        <f t="shared" si="17"/>
        <v>12454.572895752894</v>
      </c>
      <c r="L47" s="380">
        <f t="shared" si="17"/>
        <v>11888.455945945943</v>
      </c>
      <c r="M47" s="380">
        <f t="shared" si="17"/>
        <v>11888.455945945943</v>
      </c>
      <c r="N47" s="380">
        <f t="shared" si="17"/>
        <v>13586.806795366792</v>
      </c>
      <c r="O47" s="373">
        <f>SUMIF('Tab. 10'!$B$6:$B$35,B46,'Tab. 10'!$D$6:$D$35)</f>
        <v>146624.28999999998</v>
      </c>
      <c r="Q47" s="373">
        <f t="shared" ref="Q47:Q53" si="18">O47/$O$6*$O$7</f>
        <v>13586.806795366792</v>
      </c>
    </row>
    <row r="48" spans="2:17" s="363" customFormat="1" ht="16" outlineLevel="1" x14ac:dyDescent="0.2">
      <c r="B48" s="362" t="s">
        <v>37</v>
      </c>
      <c r="C48" s="380">
        <f t="shared" ref="C48:N53" si="19">+$O48/$O$6*C$6</f>
        <v>943.52824967824961</v>
      </c>
      <c r="D48" s="380">
        <f t="shared" si="19"/>
        <v>943.52824967824961</v>
      </c>
      <c r="E48" s="380">
        <f t="shared" si="19"/>
        <v>1085.0574871299871</v>
      </c>
      <c r="F48" s="380">
        <f t="shared" si="19"/>
        <v>990.70466216216209</v>
      </c>
      <c r="G48" s="380">
        <f t="shared" si="19"/>
        <v>990.70466216216209</v>
      </c>
      <c r="H48" s="380">
        <f t="shared" si="19"/>
        <v>1037.8810746460745</v>
      </c>
      <c r="I48" s="380">
        <f t="shared" si="19"/>
        <v>1037.8810746460745</v>
      </c>
      <c r="J48" s="380">
        <f t="shared" si="19"/>
        <v>1037.8810746460745</v>
      </c>
      <c r="K48" s="380">
        <f t="shared" si="19"/>
        <v>1037.8810746460745</v>
      </c>
      <c r="L48" s="380">
        <f t="shared" si="19"/>
        <v>990.70466216216209</v>
      </c>
      <c r="M48" s="380">
        <f t="shared" si="19"/>
        <v>990.70466216216209</v>
      </c>
      <c r="N48" s="380">
        <f t="shared" si="19"/>
        <v>1132.2338996138994</v>
      </c>
      <c r="O48" s="373">
        <f>SUMIF('Tab. 10'!$B$6:$B$35,B46,'Tab. 10'!$F$6:$F$35)</f>
        <v>12218.690833333332</v>
      </c>
      <c r="Q48" s="373">
        <f t="shared" si="18"/>
        <v>1132.2338996138994</v>
      </c>
    </row>
    <row r="49" spans="2:17" s="363" customFormat="1" ht="16" outlineLevel="1" x14ac:dyDescent="0.2">
      <c r="B49" s="362" t="s">
        <v>38</v>
      </c>
      <c r="C49" s="380">
        <f t="shared" si="19"/>
        <v>943.52824967824961</v>
      </c>
      <c r="D49" s="380">
        <f t="shared" si="19"/>
        <v>943.52824967824961</v>
      </c>
      <c r="E49" s="380">
        <f t="shared" si="19"/>
        <v>1085.0574871299871</v>
      </c>
      <c r="F49" s="380">
        <f t="shared" si="19"/>
        <v>990.70466216216209</v>
      </c>
      <c r="G49" s="380">
        <f t="shared" si="19"/>
        <v>990.70466216216209</v>
      </c>
      <c r="H49" s="380">
        <f t="shared" si="19"/>
        <v>1037.8810746460745</v>
      </c>
      <c r="I49" s="380">
        <f t="shared" si="19"/>
        <v>1037.8810746460745</v>
      </c>
      <c r="J49" s="380">
        <f t="shared" si="19"/>
        <v>1037.8810746460745</v>
      </c>
      <c r="K49" s="380">
        <f t="shared" si="19"/>
        <v>1037.8810746460745</v>
      </c>
      <c r="L49" s="380">
        <f t="shared" si="19"/>
        <v>990.70466216216209</v>
      </c>
      <c r="M49" s="380">
        <f t="shared" si="19"/>
        <v>990.70466216216209</v>
      </c>
      <c r="N49" s="380">
        <f t="shared" si="19"/>
        <v>1132.2338996138994</v>
      </c>
      <c r="O49" s="373">
        <f>SUMIF('Tab. 10'!$B$6:$B$35,B46,'Tab. 10'!$H$6:$H$35)</f>
        <v>12218.690833333332</v>
      </c>
      <c r="Q49" s="373">
        <f t="shared" si="18"/>
        <v>1132.2338996138994</v>
      </c>
    </row>
    <row r="50" spans="2:17" s="363" customFormat="1" ht="16" outlineLevel="1" x14ac:dyDescent="0.2">
      <c r="B50" s="362" t="s">
        <v>580</v>
      </c>
      <c r="C50" s="380">
        <f t="shared" si="19"/>
        <v>2695.8489149806951</v>
      </c>
      <c r="D50" s="380">
        <f t="shared" si="19"/>
        <v>2695.8489149806951</v>
      </c>
      <c r="E50" s="380">
        <f t="shared" si="19"/>
        <v>3100.2262522277993</v>
      </c>
      <c r="F50" s="380">
        <f t="shared" si="19"/>
        <v>2830.64136072973</v>
      </c>
      <c r="G50" s="380">
        <f t="shared" si="19"/>
        <v>2830.64136072973</v>
      </c>
      <c r="H50" s="380">
        <f t="shared" si="19"/>
        <v>2965.4338064787644</v>
      </c>
      <c r="I50" s="380">
        <f t="shared" si="19"/>
        <v>2965.4338064787644</v>
      </c>
      <c r="J50" s="380">
        <f t="shared" si="19"/>
        <v>2965.4338064787644</v>
      </c>
      <c r="K50" s="380">
        <f t="shared" si="19"/>
        <v>2965.4338064787644</v>
      </c>
      <c r="L50" s="380">
        <f t="shared" si="19"/>
        <v>2830.64136072973</v>
      </c>
      <c r="M50" s="380">
        <f t="shared" si="19"/>
        <v>2830.64136072973</v>
      </c>
      <c r="N50" s="380">
        <f t="shared" si="19"/>
        <v>3235.0186979768341</v>
      </c>
      <c r="O50" s="373">
        <f>SUMIF('Tab. 10'!$B$6:$B$35,B46,'Tab. 10'!$E$6:$E$35)</f>
        <v>34911.243449000001</v>
      </c>
      <c r="Q50" s="373">
        <f t="shared" si="18"/>
        <v>3235.0186979768341</v>
      </c>
    </row>
    <row r="51" spans="2:17" s="363" customFormat="1" ht="16" outlineLevel="1" x14ac:dyDescent="0.2">
      <c r="B51" s="362" t="s">
        <v>581</v>
      </c>
      <c r="C51" s="380">
        <f t="shared" si="19"/>
        <v>224.65407624839128</v>
      </c>
      <c r="D51" s="380">
        <f t="shared" si="19"/>
        <v>224.65407624839128</v>
      </c>
      <c r="E51" s="380">
        <f t="shared" si="19"/>
        <v>258.35218768564994</v>
      </c>
      <c r="F51" s="380">
        <f t="shared" si="19"/>
        <v>235.88678006081082</v>
      </c>
      <c r="G51" s="380">
        <f t="shared" si="19"/>
        <v>235.88678006081082</v>
      </c>
      <c r="H51" s="380">
        <f t="shared" si="19"/>
        <v>247.11948387323039</v>
      </c>
      <c r="I51" s="380">
        <f t="shared" si="19"/>
        <v>247.11948387323039</v>
      </c>
      <c r="J51" s="380">
        <f t="shared" si="19"/>
        <v>247.11948387323039</v>
      </c>
      <c r="K51" s="380">
        <f t="shared" si="19"/>
        <v>247.11948387323039</v>
      </c>
      <c r="L51" s="380">
        <f t="shared" si="19"/>
        <v>235.88678006081082</v>
      </c>
      <c r="M51" s="380">
        <f t="shared" si="19"/>
        <v>235.88678006081082</v>
      </c>
      <c r="N51" s="380">
        <f t="shared" si="19"/>
        <v>269.58489149806951</v>
      </c>
      <c r="O51" s="373">
        <f>SUMIF('Tab. 10'!$B$6:$B$35,B46,'Tab. 10'!$G$6:$G$35)</f>
        <v>2909.2702874166671</v>
      </c>
      <c r="Q51" s="373">
        <f t="shared" si="18"/>
        <v>269.58489149806951</v>
      </c>
    </row>
    <row r="52" spans="2:17" s="363" customFormat="1" ht="16" outlineLevel="1" x14ac:dyDescent="0.2">
      <c r="B52" s="362" t="s">
        <v>582</v>
      </c>
      <c r="C52" s="380">
        <f t="shared" si="19"/>
        <v>224.65407624839128</v>
      </c>
      <c r="D52" s="380">
        <f t="shared" si="19"/>
        <v>224.65407624839128</v>
      </c>
      <c r="E52" s="380">
        <f t="shared" si="19"/>
        <v>258.35218768564994</v>
      </c>
      <c r="F52" s="380">
        <f t="shared" si="19"/>
        <v>235.88678006081082</v>
      </c>
      <c r="G52" s="380">
        <f t="shared" si="19"/>
        <v>235.88678006081082</v>
      </c>
      <c r="H52" s="380">
        <f t="shared" si="19"/>
        <v>247.11948387323039</v>
      </c>
      <c r="I52" s="380">
        <f t="shared" si="19"/>
        <v>247.11948387323039</v>
      </c>
      <c r="J52" s="380">
        <f t="shared" si="19"/>
        <v>247.11948387323039</v>
      </c>
      <c r="K52" s="380">
        <f t="shared" si="19"/>
        <v>247.11948387323039</v>
      </c>
      <c r="L52" s="380">
        <f t="shared" si="19"/>
        <v>235.88678006081082</v>
      </c>
      <c r="M52" s="380">
        <f t="shared" si="19"/>
        <v>235.88678006081082</v>
      </c>
      <c r="N52" s="380">
        <f t="shared" si="19"/>
        <v>269.58489149806951</v>
      </c>
      <c r="O52" s="373">
        <f>SUMIF('Tab. 10'!$B$6:$B$35,B46,'Tab. 10'!$I$6:$I$35)</f>
        <v>2909.2702874166671</v>
      </c>
      <c r="Q52" s="373">
        <f t="shared" si="18"/>
        <v>269.58489149806951</v>
      </c>
    </row>
    <row r="53" spans="2:17" s="363" customFormat="1" ht="17" outlineLevel="1" thickBot="1" x14ac:dyDescent="0.25">
      <c r="B53" s="362" t="s">
        <v>41</v>
      </c>
      <c r="C53" s="380">
        <f t="shared" si="19"/>
        <v>838.69177749177754</v>
      </c>
      <c r="D53" s="380">
        <f t="shared" si="19"/>
        <v>838.69177749177754</v>
      </c>
      <c r="E53" s="380">
        <f t="shared" si="19"/>
        <v>964.49554411554413</v>
      </c>
      <c r="F53" s="380">
        <f t="shared" si="19"/>
        <v>880.62636636636637</v>
      </c>
      <c r="G53" s="380">
        <f t="shared" si="19"/>
        <v>880.62636636636637</v>
      </c>
      <c r="H53" s="380">
        <f t="shared" si="19"/>
        <v>922.56095524095531</v>
      </c>
      <c r="I53" s="380">
        <f t="shared" si="19"/>
        <v>922.56095524095531</v>
      </c>
      <c r="J53" s="380">
        <f t="shared" si="19"/>
        <v>922.56095524095531</v>
      </c>
      <c r="K53" s="380">
        <f t="shared" si="19"/>
        <v>922.56095524095531</v>
      </c>
      <c r="L53" s="380">
        <f t="shared" si="19"/>
        <v>880.62636636636637</v>
      </c>
      <c r="M53" s="380">
        <f t="shared" si="19"/>
        <v>880.62636636636637</v>
      </c>
      <c r="N53" s="380">
        <f t="shared" si="19"/>
        <v>1006.430132990133</v>
      </c>
      <c r="O53" s="373">
        <f>SUMIF('Tab. 10'!$B$6:$B$35,B46,'Tab. 10'!$J$6:$J$35)</f>
        <v>10861.058518518519</v>
      </c>
      <c r="Q53" s="373">
        <f t="shared" si="18"/>
        <v>1006.430132990133</v>
      </c>
    </row>
    <row r="54" spans="2:17" s="363" customFormat="1" ht="17" outlineLevel="1" thickBot="1" x14ac:dyDescent="0.25">
      <c r="B54" s="364" t="s">
        <v>583</v>
      </c>
      <c r="C54" s="365">
        <f t="shared" ref="C54:O54" si="20">SUM(C47:C53)</f>
        <v>17193.244340464749</v>
      </c>
      <c r="D54" s="365">
        <f t="shared" si="20"/>
        <v>17193.244340464749</v>
      </c>
      <c r="E54" s="365">
        <f t="shared" si="20"/>
        <v>19772.230991534459</v>
      </c>
      <c r="F54" s="365">
        <f t="shared" si="20"/>
        <v>18052.906557487982</v>
      </c>
      <c r="G54" s="365">
        <f t="shared" si="20"/>
        <v>18052.906557487982</v>
      </c>
      <c r="H54" s="365">
        <f t="shared" si="20"/>
        <v>18912.568774511223</v>
      </c>
      <c r="I54" s="365">
        <f t="shared" si="20"/>
        <v>18912.568774511223</v>
      </c>
      <c r="J54" s="365">
        <f t="shared" si="20"/>
        <v>18912.568774511223</v>
      </c>
      <c r="K54" s="365">
        <f t="shared" si="20"/>
        <v>18912.568774511223</v>
      </c>
      <c r="L54" s="365">
        <f t="shared" si="20"/>
        <v>18052.906557487982</v>
      </c>
      <c r="M54" s="365">
        <f t="shared" si="20"/>
        <v>18052.906557487982</v>
      </c>
      <c r="N54" s="365">
        <f t="shared" si="20"/>
        <v>20631.893208557696</v>
      </c>
      <c r="O54" s="374">
        <f t="shared" si="20"/>
        <v>222652.5142090185</v>
      </c>
      <c r="Q54" s="374">
        <f>SUM(Q47:Q53)</f>
        <v>20631.893208557696</v>
      </c>
    </row>
    <row r="55" spans="2:17" s="363" customFormat="1" ht="16" outlineLevel="1" x14ac:dyDescent="0.2">
      <c r="B55" s="362" t="s">
        <v>578</v>
      </c>
      <c r="C55" s="380">
        <v>0</v>
      </c>
      <c r="D55" s="380">
        <v>0</v>
      </c>
      <c r="E55" s="380">
        <f>'Tab. 10'!$E$42/$O$6*E$6</f>
        <v>1776.0617760617758</v>
      </c>
      <c r="F55" s="380">
        <f>'Tab. 10'!$E$42/$O$6*F$6</f>
        <v>1621.6216216216214</v>
      </c>
      <c r="G55" s="380">
        <f>'Tab. 10'!$E$42/$O$6*G$6</f>
        <v>1621.6216216216214</v>
      </c>
      <c r="H55" s="380">
        <f>'Tab. 10'!$E$42/$O$6*H$6</f>
        <v>1698.8416988416986</v>
      </c>
      <c r="I55" s="380">
        <f>'Tab. 10'!$E$42/$O$6*I$6</f>
        <v>1698.8416988416986</v>
      </c>
      <c r="J55" s="380">
        <f>'Tab. 10'!$E$42/$O$6*J$6</f>
        <v>1698.8416988416986</v>
      </c>
      <c r="K55" s="380">
        <f>'Tab. 10'!$E$42/$O$6*K$6</f>
        <v>1698.8416988416986</v>
      </c>
      <c r="L55" s="380">
        <f>'Tab. 10'!$E$42/$O$6*L$6</f>
        <v>1621.6216216216214</v>
      </c>
      <c r="M55" s="380">
        <f>'Tab. 10'!$E$42/$O$6*M$6</f>
        <v>1621.6216216216214</v>
      </c>
      <c r="N55" s="380">
        <f>'Tab. 10'!$E$42/$O$6*N$6</f>
        <v>1853.2818532818533</v>
      </c>
      <c r="O55" s="373">
        <f t="shared" ref="O55:O61" si="21">SUM(C55:N55)</f>
        <v>16911.196911196912</v>
      </c>
      <c r="Q55" s="373">
        <f>O55/$O$6*SUM($E$7:$N$7)</f>
        <v>1436.4723245032126</v>
      </c>
    </row>
    <row r="56" spans="2:17" s="363" customFormat="1" ht="16" outlineLevel="1" x14ac:dyDescent="0.2">
      <c r="B56" s="362" t="s">
        <v>37</v>
      </c>
      <c r="C56" s="380">
        <v>0</v>
      </c>
      <c r="D56" s="380">
        <v>0</v>
      </c>
      <c r="E56" s="380">
        <f>'Tab. 10'!$G$42/$O$6*E$6</f>
        <v>148.00514800514802</v>
      </c>
      <c r="F56" s="380">
        <f>'Tab. 10'!$G$42/$O$6*F$6</f>
        <v>135.13513513513513</v>
      </c>
      <c r="G56" s="380">
        <f>'Tab. 10'!$G$42/$O$6*G$6</f>
        <v>135.13513513513513</v>
      </c>
      <c r="H56" s="380">
        <f>'Tab. 10'!$G$42/$O$6*H$6</f>
        <v>141.57014157014157</v>
      </c>
      <c r="I56" s="380">
        <f>'Tab. 10'!$G$42/$O$6*I$6</f>
        <v>141.57014157014157</v>
      </c>
      <c r="J56" s="380">
        <f>'Tab. 10'!$G$42/$O$6*J$6</f>
        <v>141.57014157014157</v>
      </c>
      <c r="K56" s="380">
        <f>'Tab. 10'!$G$42/$O$6*K$6</f>
        <v>141.57014157014157</v>
      </c>
      <c r="L56" s="380">
        <f>'Tab. 10'!$G$42/$O$6*L$6</f>
        <v>135.13513513513513</v>
      </c>
      <c r="M56" s="380">
        <f>'Tab. 10'!$G$42/$O$6*M$6</f>
        <v>135.13513513513513</v>
      </c>
      <c r="N56" s="380">
        <f>'Tab. 10'!$G$42/$O$6*N$6</f>
        <v>154.44015444015443</v>
      </c>
      <c r="O56" s="373">
        <f t="shared" si="21"/>
        <v>1409.2664092664093</v>
      </c>
      <c r="Q56" s="373">
        <f t="shared" ref="Q56:Q61" si="22">O56/$O$6*SUM($E$7:$N$7)</f>
        <v>119.70602704193438</v>
      </c>
    </row>
    <row r="57" spans="2:17" s="363" customFormat="1" ht="16" outlineLevel="1" x14ac:dyDescent="0.2">
      <c r="B57" s="362" t="s">
        <v>38</v>
      </c>
      <c r="C57" s="380">
        <v>0</v>
      </c>
      <c r="D57" s="380">
        <v>0</v>
      </c>
      <c r="E57" s="380">
        <f>'Tab. 10'!$I$42/$O$6*E$6</f>
        <v>148.00514800514802</v>
      </c>
      <c r="F57" s="380">
        <f>'Tab. 10'!$I$42/$O$6*F$6</f>
        <v>135.13513513513513</v>
      </c>
      <c r="G57" s="380">
        <f>'Tab. 10'!$I$42/$O$6*G$6</f>
        <v>135.13513513513513</v>
      </c>
      <c r="H57" s="380">
        <f>'Tab. 10'!$I$42/$O$6*H$6</f>
        <v>141.57014157014157</v>
      </c>
      <c r="I57" s="380">
        <f>'Tab. 10'!$I$42/$O$6*I$6</f>
        <v>141.57014157014157</v>
      </c>
      <c r="J57" s="380">
        <f>'Tab. 10'!$I$42/$O$6*J$6</f>
        <v>141.57014157014157</v>
      </c>
      <c r="K57" s="380">
        <f>'Tab. 10'!$I$42/$O$6*K$6</f>
        <v>141.57014157014157</v>
      </c>
      <c r="L57" s="380">
        <f>'Tab. 10'!$I$42/$O$6*L$6</f>
        <v>135.13513513513513</v>
      </c>
      <c r="M57" s="380">
        <f>'Tab. 10'!$I$42/$O$6*M$6</f>
        <v>135.13513513513513</v>
      </c>
      <c r="N57" s="380">
        <f>'Tab. 10'!$I$42/$O$6*N$6</f>
        <v>154.44015444015443</v>
      </c>
      <c r="O57" s="373">
        <f t="shared" si="21"/>
        <v>1409.2664092664093</v>
      </c>
      <c r="Q57" s="373">
        <f t="shared" si="22"/>
        <v>119.70602704193438</v>
      </c>
    </row>
    <row r="58" spans="2:17" s="363" customFormat="1" ht="16" outlineLevel="1" x14ac:dyDescent="0.2">
      <c r="B58" s="362" t="s">
        <v>580</v>
      </c>
      <c r="C58" s="380">
        <v>0</v>
      </c>
      <c r="D58" s="380">
        <v>0</v>
      </c>
      <c r="E58" s="380">
        <f>'Tab. 10'!$F$42/$O$6*E$6</f>
        <v>422.88030888030886</v>
      </c>
      <c r="F58" s="380">
        <f>'Tab. 10'!$F$42/$O$6*F$6</f>
        <v>386.10810810810807</v>
      </c>
      <c r="G58" s="380">
        <f>'Tab. 10'!$F$42/$O$6*G$6</f>
        <v>386.10810810810807</v>
      </c>
      <c r="H58" s="380">
        <f>'Tab. 10'!$F$42/$O$6*H$6</f>
        <v>404.49420849420846</v>
      </c>
      <c r="I58" s="380">
        <f>'Tab. 10'!$F$42/$O$6*I$6</f>
        <v>404.49420849420846</v>
      </c>
      <c r="J58" s="380">
        <f>'Tab. 10'!$F$42/$O$6*J$6</f>
        <v>404.49420849420846</v>
      </c>
      <c r="K58" s="380">
        <f>'Tab. 10'!$F$42/$O$6*K$6</f>
        <v>404.49420849420846</v>
      </c>
      <c r="L58" s="380">
        <f>'Tab. 10'!$F$42/$O$6*L$6</f>
        <v>386.10810810810807</v>
      </c>
      <c r="M58" s="380">
        <f>'Tab. 10'!$F$42/$O$6*M$6</f>
        <v>386.10810810810807</v>
      </c>
      <c r="N58" s="380">
        <f>'Tab. 10'!$F$42/$O$6*N$6</f>
        <v>441.26640926640925</v>
      </c>
      <c r="O58" s="373">
        <f t="shared" si="21"/>
        <v>4026.5559845559847</v>
      </c>
      <c r="Q58" s="373">
        <f t="shared" si="22"/>
        <v>342.02406046421493</v>
      </c>
    </row>
    <row r="59" spans="2:17" s="363" customFormat="1" ht="16" outlineLevel="1" x14ac:dyDescent="0.2">
      <c r="B59" s="362" t="s">
        <v>581</v>
      </c>
      <c r="C59" s="380">
        <v>0</v>
      </c>
      <c r="D59" s="380">
        <v>0</v>
      </c>
      <c r="E59" s="380">
        <f>'Tab. 10'!$H$42/$O$6*E$6</f>
        <v>35.240025740025743</v>
      </c>
      <c r="F59" s="380">
        <f>'Tab. 10'!$H$42/$O$6*F$6</f>
        <v>32.175675675675677</v>
      </c>
      <c r="G59" s="380">
        <f>'Tab. 10'!$H$42/$O$6*G$6</f>
        <v>32.175675675675677</v>
      </c>
      <c r="H59" s="380">
        <f>'Tab. 10'!$H$42/$O$6*H$6</f>
        <v>33.70785070785071</v>
      </c>
      <c r="I59" s="380">
        <f>'Tab. 10'!$H$42/$O$6*I$6</f>
        <v>33.70785070785071</v>
      </c>
      <c r="J59" s="380">
        <f>'Tab. 10'!$H$42/$O$6*J$6</f>
        <v>33.70785070785071</v>
      </c>
      <c r="K59" s="380">
        <f>'Tab. 10'!$H$42/$O$6*K$6</f>
        <v>33.70785070785071</v>
      </c>
      <c r="L59" s="380">
        <f>'Tab. 10'!$H$42/$O$6*L$6</f>
        <v>32.175675675675677</v>
      </c>
      <c r="M59" s="380">
        <f>'Tab. 10'!$H$42/$O$6*M$6</f>
        <v>32.175675675675677</v>
      </c>
      <c r="N59" s="380">
        <f>'Tab. 10'!$H$42/$O$6*N$6</f>
        <v>36.772200772200776</v>
      </c>
      <c r="O59" s="373">
        <f t="shared" si="21"/>
        <v>335.54633204633205</v>
      </c>
      <c r="Q59" s="373">
        <f t="shared" si="22"/>
        <v>28.50200503868458</v>
      </c>
    </row>
    <row r="60" spans="2:17" s="363" customFormat="1" ht="16" outlineLevel="1" x14ac:dyDescent="0.2">
      <c r="B60" s="362" t="s">
        <v>582</v>
      </c>
      <c r="C60" s="380">
        <v>0</v>
      </c>
      <c r="D60" s="380">
        <v>0</v>
      </c>
      <c r="E60" s="380">
        <f>'Tab. 10'!$J$42/$O$6*E$6</f>
        <v>35.240025740025743</v>
      </c>
      <c r="F60" s="380">
        <f>'Tab. 10'!$J$42/$O$6*F$6</f>
        <v>32.175675675675677</v>
      </c>
      <c r="G60" s="380">
        <f>'Tab. 10'!$J$42/$O$6*G$6</f>
        <v>32.175675675675677</v>
      </c>
      <c r="H60" s="380">
        <f>'Tab. 10'!$J$42/$O$6*H$6</f>
        <v>33.70785070785071</v>
      </c>
      <c r="I60" s="380">
        <f>'Tab. 10'!$J$42/$O$6*I$6</f>
        <v>33.70785070785071</v>
      </c>
      <c r="J60" s="380">
        <f>'Tab. 10'!$J$42/$O$6*J$6</f>
        <v>33.70785070785071</v>
      </c>
      <c r="K60" s="380">
        <f>'Tab. 10'!$J$42/$O$6*K$6</f>
        <v>33.70785070785071</v>
      </c>
      <c r="L60" s="380">
        <f>'Tab. 10'!$J$42/$O$6*L$6</f>
        <v>32.175675675675677</v>
      </c>
      <c r="M60" s="380">
        <f>'Tab. 10'!$J$42/$O$6*M$6</f>
        <v>32.175675675675677</v>
      </c>
      <c r="N60" s="380">
        <f>'Tab. 10'!$J$42/$O$6*N$6</f>
        <v>36.772200772200776</v>
      </c>
      <c r="O60" s="373">
        <f t="shared" si="21"/>
        <v>335.54633204633205</v>
      </c>
      <c r="Q60" s="373">
        <f t="shared" si="22"/>
        <v>28.50200503868458</v>
      </c>
    </row>
    <row r="61" spans="2:17" s="363" customFormat="1" ht="17" outlineLevel="1" thickBot="1" x14ac:dyDescent="0.25">
      <c r="B61" s="362" t="s">
        <v>41</v>
      </c>
      <c r="C61" s="380">
        <v>0</v>
      </c>
      <c r="D61" s="380">
        <v>0</v>
      </c>
      <c r="E61" s="380">
        <f>'Tab. 10'!$K$42/$O$6*E$6</f>
        <v>131.56013156013157</v>
      </c>
      <c r="F61" s="380">
        <f>'Tab. 10'!$K$42/$O$6*F$6</f>
        <v>120.12012012012013</v>
      </c>
      <c r="G61" s="380">
        <f>'Tab. 10'!$K$42/$O$6*G$6</f>
        <v>120.12012012012013</v>
      </c>
      <c r="H61" s="380">
        <f>'Tab. 10'!$K$42/$O$6*H$6</f>
        <v>125.84012584012585</v>
      </c>
      <c r="I61" s="380">
        <f>'Tab. 10'!$K$42/$O$6*I$6</f>
        <v>125.84012584012585</v>
      </c>
      <c r="J61" s="380">
        <f>'Tab. 10'!$K$42/$O$6*J$6</f>
        <v>125.84012584012585</v>
      </c>
      <c r="K61" s="380">
        <f>'Tab. 10'!$K$42/$O$6*K$6</f>
        <v>125.84012584012585</v>
      </c>
      <c r="L61" s="380">
        <f>'Tab. 10'!$K$42/$O$6*L$6</f>
        <v>120.12012012012013</v>
      </c>
      <c r="M61" s="380">
        <f>'Tab. 10'!$K$42/$O$6*M$6</f>
        <v>120.12012012012013</v>
      </c>
      <c r="N61" s="380">
        <f>'Tab. 10'!$K$42/$O$6*N$6</f>
        <v>137.2801372801373</v>
      </c>
      <c r="O61" s="373">
        <f t="shared" si="21"/>
        <v>1252.681252681253</v>
      </c>
      <c r="Q61" s="373">
        <f t="shared" si="22"/>
        <v>106.40535737060836</v>
      </c>
    </row>
    <row r="62" spans="2:17" s="363" customFormat="1" ht="17" outlineLevel="1" thickBot="1" x14ac:dyDescent="0.25">
      <c r="B62" s="364" t="s">
        <v>584</v>
      </c>
      <c r="C62" s="365">
        <f t="shared" ref="C62:O62" si="23">SUM(C55:C61)</f>
        <v>0</v>
      </c>
      <c r="D62" s="365">
        <f t="shared" si="23"/>
        <v>0</v>
      </c>
      <c r="E62" s="365">
        <f t="shared" si="23"/>
        <v>2696.9925639925641</v>
      </c>
      <c r="F62" s="365">
        <f t="shared" si="23"/>
        <v>2462.4714714714719</v>
      </c>
      <c r="G62" s="365">
        <f t="shared" si="23"/>
        <v>2462.4714714714719</v>
      </c>
      <c r="H62" s="365">
        <f t="shared" si="23"/>
        <v>2579.732017732018</v>
      </c>
      <c r="I62" s="365">
        <f t="shared" si="23"/>
        <v>2579.732017732018</v>
      </c>
      <c r="J62" s="365">
        <f t="shared" si="23"/>
        <v>2579.732017732018</v>
      </c>
      <c r="K62" s="365">
        <f t="shared" si="23"/>
        <v>2579.732017732018</v>
      </c>
      <c r="L62" s="365">
        <f t="shared" si="23"/>
        <v>2462.4714714714719</v>
      </c>
      <c r="M62" s="365">
        <f t="shared" si="23"/>
        <v>2462.4714714714719</v>
      </c>
      <c r="N62" s="365">
        <f t="shared" si="23"/>
        <v>2814.2531102531107</v>
      </c>
      <c r="O62" s="374">
        <f t="shared" si="23"/>
        <v>25680.05963105963</v>
      </c>
      <c r="Q62" s="374">
        <f>SUM(Q55:Q61)</f>
        <v>2181.317806499274</v>
      </c>
    </row>
    <row r="63" spans="2:17" s="2" customFormat="1" ht="16" x14ac:dyDescent="0.2">
      <c r="B63" s="344" t="s">
        <v>578</v>
      </c>
      <c r="C63" s="379">
        <f>+C47+C55</f>
        <v>11322.338996138995</v>
      </c>
      <c r="D63" s="379">
        <f t="shared" ref="D63:N63" si="24">+D47+D55</f>
        <v>11322.338996138995</v>
      </c>
      <c r="E63" s="379">
        <f t="shared" si="24"/>
        <v>14796.751621621619</v>
      </c>
      <c r="F63" s="379">
        <f t="shared" si="24"/>
        <v>13510.077567567565</v>
      </c>
      <c r="G63" s="379">
        <f t="shared" si="24"/>
        <v>13510.077567567565</v>
      </c>
      <c r="H63" s="379">
        <f t="shared" si="24"/>
        <v>14153.414594594593</v>
      </c>
      <c r="I63" s="379">
        <f t="shared" si="24"/>
        <v>14153.414594594593</v>
      </c>
      <c r="J63" s="379">
        <f t="shared" si="24"/>
        <v>14153.414594594593</v>
      </c>
      <c r="K63" s="379">
        <f t="shared" si="24"/>
        <v>14153.414594594593</v>
      </c>
      <c r="L63" s="379">
        <f t="shared" si="24"/>
        <v>13510.077567567565</v>
      </c>
      <c r="M63" s="379">
        <f t="shared" si="24"/>
        <v>13510.077567567565</v>
      </c>
      <c r="N63" s="379">
        <f t="shared" si="24"/>
        <v>15440.088648648645</v>
      </c>
      <c r="O63" s="371">
        <f>SUM(C63:N63)</f>
        <v>163535.48691119687</v>
      </c>
      <c r="Q63" s="371">
        <f t="shared" ref="Q63:Q69" si="25">O63/$O$6*$O$7</f>
        <v>15153.867513006662</v>
      </c>
    </row>
    <row r="64" spans="2:17" s="2" customFormat="1" ht="16" x14ac:dyDescent="0.2">
      <c r="B64" s="344" t="s">
        <v>37</v>
      </c>
      <c r="C64" s="379">
        <f t="shared" ref="C64:C69" si="26">+C48+C56</f>
        <v>943.52824967824961</v>
      </c>
      <c r="D64" s="379">
        <f t="shared" ref="D64:N64" si="27">+D48+D56</f>
        <v>943.52824967824961</v>
      </c>
      <c r="E64" s="379">
        <f t="shared" si="27"/>
        <v>1233.062635135135</v>
      </c>
      <c r="F64" s="379">
        <f t="shared" si="27"/>
        <v>1125.8397972972973</v>
      </c>
      <c r="G64" s="379">
        <f t="shared" si="27"/>
        <v>1125.8397972972973</v>
      </c>
      <c r="H64" s="379">
        <f t="shared" si="27"/>
        <v>1179.4512162162159</v>
      </c>
      <c r="I64" s="379">
        <f t="shared" si="27"/>
        <v>1179.4512162162159</v>
      </c>
      <c r="J64" s="379">
        <f t="shared" si="27"/>
        <v>1179.4512162162159</v>
      </c>
      <c r="K64" s="379">
        <f t="shared" si="27"/>
        <v>1179.4512162162159</v>
      </c>
      <c r="L64" s="379">
        <f t="shared" si="27"/>
        <v>1125.8397972972973</v>
      </c>
      <c r="M64" s="379">
        <f t="shared" si="27"/>
        <v>1125.8397972972973</v>
      </c>
      <c r="N64" s="379">
        <f t="shared" si="27"/>
        <v>1286.6740540540538</v>
      </c>
      <c r="O64" s="371">
        <f t="shared" ref="O64:O69" si="28">SUM(C64:N64)</f>
        <v>13627.957242599741</v>
      </c>
      <c r="Q64" s="371">
        <f t="shared" si="25"/>
        <v>1262.8222927505551</v>
      </c>
    </row>
    <row r="65" spans="2:18" s="2" customFormat="1" ht="16" x14ac:dyDescent="0.2">
      <c r="B65" s="344" t="s">
        <v>38</v>
      </c>
      <c r="C65" s="379">
        <f t="shared" si="26"/>
        <v>943.52824967824961</v>
      </c>
      <c r="D65" s="379">
        <f t="shared" ref="D65:N65" si="29">+D49+D57</f>
        <v>943.52824967824961</v>
      </c>
      <c r="E65" s="379">
        <f t="shared" si="29"/>
        <v>1233.062635135135</v>
      </c>
      <c r="F65" s="379">
        <f t="shared" si="29"/>
        <v>1125.8397972972973</v>
      </c>
      <c r="G65" s="379">
        <f t="shared" si="29"/>
        <v>1125.8397972972973</v>
      </c>
      <c r="H65" s="379">
        <f t="shared" si="29"/>
        <v>1179.4512162162159</v>
      </c>
      <c r="I65" s="379">
        <f t="shared" si="29"/>
        <v>1179.4512162162159</v>
      </c>
      <c r="J65" s="379">
        <f t="shared" si="29"/>
        <v>1179.4512162162159</v>
      </c>
      <c r="K65" s="379">
        <f t="shared" si="29"/>
        <v>1179.4512162162159</v>
      </c>
      <c r="L65" s="379">
        <f t="shared" si="29"/>
        <v>1125.8397972972973</v>
      </c>
      <c r="M65" s="379">
        <f t="shared" si="29"/>
        <v>1125.8397972972973</v>
      </c>
      <c r="N65" s="379">
        <f t="shared" si="29"/>
        <v>1286.6740540540538</v>
      </c>
      <c r="O65" s="371">
        <f t="shared" si="28"/>
        <v>13627.957242599741</v>
      </c>
      <c r="Q65" s="371">
        <f t="shared" si="25"/>
        <v>1262.8222927505551</v>
      </c>
    </row>
    <row r="66" spans="2:18" s="2" customFormat="1" ht="16" x14ac:dyDescent="0.2">
      <c r="B66" s="344" t="s">
        <v>580</v>
      </c>
      <c r="C66" s="379">
        <f t="shared" si="26"/>
        <v>2695.8489149806951</v>
      </c>
      <c r="D66" s="379">
        <f t="shared" ref="D66:N66" si="30">+D50+D58</f>
        <v>2695.8489149806951</v>
      </c>
      <c r="E66" s="379">
        <f t="shared" si="30"/>
        <v>3523.1065611081081</v>
      </c>
      <c r="F66" s="379">
        <f t="shared" si="30"/>
        <v>3216.7494688378379</v>
      </c>
      <c r="G66" s="379">
        <f t="shared" si="30"/>
        <v>3216.7494688378379</v>
      </c>
      <c r="H66" s="379">
        <f t="shared" si="30"/>
        <v>3369.928014972973</v>
      </c>
      <c r="I66" s="379">
        <f t="shared" si="30"/>
        <v>3369.928014972973</v>
      </c>
      <c r="J66" s="379">
        <f t="shared" si="30"/>
        <v>3369.928014972973</v>
      </c>
      <c r="K66" s="379">
        <f t="shared" si="30"/>
        <v>3369.928014972973</v>
      </c>
      <c r="L66" s="379">
        <f t="shared" si="30"/>
        <v>3216.7494688378379</v>
      </c>
      <c r="M66" s="379">
        <f t="shared" si="30"/>
        <v>3216.7494688378379</v>
      </c>
      <c r="N66" s="379">
        <f t="shared" si="30"/>
        <v>3676.2851072432431</v>
      </c>
      <c r="O66" s="371">
        <f t="shared" si="28"/>
        <v>38937.799433555992</v>
      </c>
      <c r="Q66" s="371">
        <f t="shared" si="25"/>
        <v>3608.135854846887</v>
      </c>
    </row>
    <row r="67" spans="2:18" s="2" customFormat="1" ht="16" x14ac:dyDescent="0.2">
      <c r="B67" s="344" t="s">
        <v>581</v>
      </c>
      <c r="C67" s="379">
        <f t="shared" si="26"/>
        <v>224.65407624839128</v>
      </c>
      <c r="D67" s="379">
        <f t="shared" ref="D67:N67" si="31">+D51+D59</f>
        <v>224.65407624839128</v>
      </c>
      <c r="E67" s="379">
        <f t="shared" si="31"/>
        <v>293.59221342567571</v>
      </c>
      <c r="F67" s="379">
        <f t="shared" si="31"/>
        <v>268.06245573648653</v>
      </c>
      <c r="G67" s="379">
        <f t="shared" si="31"/>
        <v>268.06245573648653</v>
      </c>
      <c r="H67" s="379">
        <f t="shared" si="31"/>
        <v>280.82733458108112</v>
      </c>
      <c r="I67" s="379">
        <f t="shared" si="31"/>
        <v>280.82733458108112</v>
      </c>
      <c r="J67" s="379">
        <f t="shared" si="31"/>
        <v>280.82733458108112</v>
      </c>
      <c r="K67" s="379">
        <f t="shared" si="31"/>
        <v>280.82733458108112</v>
      </c>
      <c r="L67" s="379">
        <f t="shared" si="31"/>
        <v>268.06245573648653</v>
      </c>
      <c r="M67" s="379">
        <f t="shared" si="31"/>
        <v>268.06245573648653</v>
      </c>
      <c r="N67" s="379">
        <f t="shared" si="31"/>
        <v>306.3570922702703</v>
      </c>
      <c r="O67" s="371">
        <f t="shared" si="28"/>
        <v>3244.8166194629994</v>
      </c>
      <c r="Q67" s="371">
        <f t="shared" si="25"/>
        <v>300.67798790390731</v>
      </c>
    </row>
    <row r="68" spans="2:18" s="2" customFormat="1" ht="16" x14ac:dyDescent="0.2">
      <c r="B68" s="344" t="s">
        <v>582</v>
      </c>
      <c r="C68" s="379">
        <f t="shared" si="26"/>
        <v>224.65407624839128</v>
      </c>
      <c r="D68" s="379">
        <f t="shared" ref="D68:N68" si="32">+D52+D60</f>
        <v>224.65407624839128</v>
      </c>
      <c r="E68" s="379">
        <f t="shared" si="32"/>
        <v>293.59221342567571</v>
      </c>
      <c r="F68" s="379">
        <f t="shared" si="32"/>
        <v>268.06245573648653</v>
      </c>
      <c r="G68" s="379">
        <f t="shared" si="32"/>
        <v>268.06245573648653</v>
      </c>
      <c r="H68" s="379">
        <f t="shared" si="32"/>
        <v>280.82733458108112</v>
      </c>
      <c r="I68" s="379">
        <f t="shared" si="32"/>
        <v>280.82733458108112</v>
      </c>
      <c r="J68" s="379">
        <f t="shared" si="32"/>
        <v>280.82733458108112</v>
      </c>
      <c r="K68" s="379">
        <f t="shared" si="32"/>
        <v>280.82733458108112</v>
      </c>
      <c r="L68" s="379">
        <f t="shared" si="32"/>
        <v>268.06245573648653</v>
      </c>
      <c r="M68" s="379">
        <f t="shared" si="32"/>
        <v>268.06245573648653</v>
      </c>
      <c r="N68" s="379">
        <f t="shared" si="32"/>
        <v>306.3570922702703</v>
      </c>
      <c r="O68" s="371">
        <f t="shared" si="28"/>
        <v>3244.8166194629994</v>
      </c>
      <c r="Q68" s="371">
        <f t="shared" si="25"/>
        <v>300.67798790390731</v>
      </c>
    </row>
    <row r="69" spans="2:18" s="2" customFormat="1" ht="17" thickBot="1" x14ac:dyDescent="0.25">
      <c r="B69" s="344" t="s">
        <v>41</v>
      </c>
      <c r="C69" s="379">
        <f t="shared" si="26"/>
        <v>838.69177749177754</v>
      </c>
      <c r="D69" s="379">
        <f t="shared" ref="D69:N69" si="33">+D53+D61</f>
        <v>838.69177749177754</v>
      </c>
      <c r="E69" s="379">
        <f t="shared" si="33"/>
        <v>1096.0556756756757</v>
      </c>
      <c r="F69" s="379">
        <f t="shared" si="33"/>
        <v>1000.7464864864864</v>
      </c>
      <c r="G69" s="379">
        <f t="shared" si="33"/>
        <v>1000.7464864864864</v>
      </c>
      <c r="H69" s="379">
        <f t="shared" si="33"/>
        <v>1048.4010810810812</v>
      </c>
      <c r="I69" s="379">
        <f t="shared" si="33"/>
        <v>1048.4010810810812</v>
      </c>
      <c r="J69" s="379">
        <f t="shared" si="33"/>
        <v>1048.4010810810812</v>
      </c>
      <c r="K69" s="379">
        <f t="shared" si="33"/>
        <v>1048.4010810810812</v>
      </c>
      <c r="L69" s="379">
        <f t="shared" si="33"/>
        <v>1000.7464864864864</v>
      </c>
      <c r="M69" s="379">
        <f t="shared" si="33"/>
        <v>1000.7464864864864</v>
      </c>
      <c r="N69" s="379">
        <f t="shared" si="33"/>
        <v>1143.7102702702703</v>
      </c>
      <c r="O69" s="371">
        <f t="shared" si="28"/>
        <v>12113.739771199773</v>
      </c>
      <c r="Q69" s="371">
        <f t="shared" si="25"/>
        <v>1122.5087046671606</v>
      </c>
    </row>
    <row r="70" spans="2:18" s="2" customFormat="1" ht="17" thickBot="1" x14ac:dyDescent="0.25">
      <c r="B70" s="361" t="s">
        <v>3</v>
      </c>
      <c r="C70" s="310">
        <f t="shared" ref="C70:O70" si="34">SUM(C63:C69)</f>
        <v>17193.244340464749</v>
      </c>
      <c r="D70" s="310">
        <f t="shared" si="34"/>
        <v>17193.244340464749</v>
      </c>
      <c r="E70" s="310">
        <f t="shared" si="34"/>
        <v>22469.223555527024</v>
      </c>
      <c r="F70" s="310">
        <f t="shared" si="34"/>
        <v>20515.378028959458</v>
      </c>
      <c r="G70" s="310">
        <f t="shared" si="34"/>
        <v>20515.378028959458</v>
      </c>
      <c r="H70" s="310">
        <f t="shared" si="34"/>
        <v>21492.300792243237</v>
      </c>
      <c r="I70" s="310">
        <f t="shared" si="34"/>
        <v>21492.300792243237</v>
      </c>
      <c r="J70" s="310">
        <f t="shared" si="34"/>
        <v>21492.300792243237</v>
      </c>
      <c r="K70" s="310">
        <f t="shared" si="34"/>
        <v>21492.300792243237</v>
      </c>
      <c r="L70" s="310">
        <f t="shared" si="34"/>
        <v>20515.378028959458</v>
      </c>
      <c r="M70" s="310">
        <f t="shared" si="34"/>
        <v>20515.378028959458</v>
      </c>
      <c r="N70" s="310">
        <f t="shared" si="34"/>
        <v>23446.146318810803</v>
      </c>
      <c r="O70" s="372">
        <f t="shared" si="34"/>
        <v>248332.57384007814</v>
      </c>
      <c r="Q70" s="372">
        <f>SUM(Q63:Q69)</f>
        <v>23011.512633829632</v>
      </c>
      <c r="R70" s="77"/>
    </row>
    <row r="71" spans="2:18" s="2" customFormat="1" ht="16" x14ac:dyDescent="0.2">
      <c r="B71" s="366"/>
      <c r="C71" s="381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71"/>
      <c r="Q71" s="371"/>
    </row>
    <row r="72" spans="2:18" ht="16" x14ac:dyDescent="0.2">
      <c r="B72" s="367" t="s">
        <v>578</v>
      </c>
      <c r="C72" s="381">
        <f>+SUM(C11:C13)+SUM(C20:C22)+SUM(C29:C31)+SUM(C38:C40)+SUM(C63:C65)</f>
        <v>293599.63783783803</v>
      </c>
      <c r="D72" s="381">
        <f t="shared" ref="D72:N72" si="35">+SUM(D11:D13)+SUM(D20:D22)+SUM(D29:D31)+SUM(D38:D40)+SUM(D63:D65)</f>
        <v>293599.63783783803</v>
      </c>
      <c r="E72" s="381">
        <f t="shared" si="35"/>
        <v>339711.65558558586</v>
      </c>
      <c r="F72" s="381">
        <f t="shared" si="35"/>
        <v>310171.51162162184</v>
      </c>
      <c r="G72" s="381">
        <f t="shared" si="35"/>
        <v>310171.51162162184</v>
      </c>
      <c r="H72" s="381">
        <f t="shared" si="35"/>
        <v>324941.58360360388</v>
      </c>
      <c r="I72" s="381">
        <f t="shared" si="35"/>
        <v>324941.58360360388</v>
      </c>
      <c r="J72" s="381">
        <f t="shared" si="35"/>
        <v>324941.58360360388</v>
      </c>
      <c r="K72" s="381">
        <f t="shared" si="35"/>
        <v>324941.58360360388</v>
      </c>
      <c r="L72" s="381">
        <f t="shared" si="35"/>
        <v>310171.51162162184</v>
      </c>
      <c r="M72" s="381">
        <f t="shared" si="35"/>
        <v>310171.51162162184</v>
      </c>
      <c r="N72" s="381">
        <f t="shared" si="35"/>
        <v>400661.24153240968</v>
      </c>
      <c r="O72" s="371">
        <f>SUM(C72:N72)</f>
        <v>3868024.5536945742</v>
      </c>
      <c r="Q72" s="371">
        <f t="shared" ref="Q72" si="36">+SUM(Q11:Q13)+SUM(Q20:Q22)+SUM(Q29:Q31)+SUM(Q38:Q40)+SUM(Q63:Q65)</f>
        <v>354147.80290931888</v>
      </c>
    </row>
    <row r="73" spans="2:18" ht="16" x14ac:dyDescent="0.2">
      <c r="B73" s="367" t="s">
        <v>579</v>
      </c>
      <c r="C73" s="381">
        <f>+SUM(C14:C16)+SUM(C23:C25)+SUM(C32:C34)+SUM(C41:C43)+SUM(C66:C68)</f>
        <v>69906.073769189141</v>
      </c>
      <c r="D73" s="381">
        <f t="shared" ref="D73:N73" si="37">+SUM(D14:D16)+SUM(D23:D25)+SUM(D32:D34)+SUM(D41:D43)+SUM(D66:D68)</f>
        <v>69906.073769189141</v>
      </c>
      <c r="E73" s="381">
        <f t="shared" si="37"/>
        <v>80885.345194927853</v>
      </c>
      <c r="F73" s="381">
        <f t="shared" si="37"/>
        <v>73851.836917108041</v>
      </c>
      <c r="G73" s="381">
        <f t="shared" si="37"/>
        <v>73851.836917108041</v>
      </c>
      <c r="H73" s="381">
        <f t="shared" si="37"/>
        <v>77368.591056017947</v>
      </c>
      <c r="I73" s="381">
        <f t="shared" si="37"/>
        <v>77368.591056017947</v>
      </c>
      <c r="J73" s="381">
        <f t="shared" si="37"/>
        <v>77368.591056017947</v>
      </c>
      <c r="K73" s="381">
        <f t="shared" si="37"/>
        <v>77368.591056017947</v>
      </c>
      <c r="L73" s="381">
        <f t="shared" si="37"/>
        <v>73851.836917108041</v>
      </c>
      <c r="M73" s="381">
        <f t="shared" si="37"/>
        <v>73851.836917108041</v>
      </c>
      <c r="N73" s="381">
        <f t="shared" si="37"/>
        <v>84402.099333837774</v>
      </c>
      <c r="O73" s="371">
        <f t="shared" ref="O73:O74" si="38">SUM(C73:N73)</f>
        <v>909981.30395964778</v>
      </c>
      <c r="Q73" s="371">
        <f t="shared" ref="Q73" si="39">+SUM(Q14:Q16)+SUM(Q23:Q25)+SUM(Q32:Q34)+SUM(Q41:Q43)+SUM(Q66:Q68)</f>
        <v>84322.591872708697</v>
      </c>
    </row>
    <row r="74" spans="2:18" ht="17" thickBot="1" x14ac:dyDescent="0.25">
      <c r="B74" s="367" t="s">
        <v>41</v>
      </c>
      <c r="C74" s="381">
        <f>C17+C26+C35+C44+C69</f>
        <v>18641.246846846883</v>
      </c>
      <c r="D74" s="381">
        <f t="shared" ref="D74:N74" si="40">D17+D26+D35+D44+D69</f>
        <v>18641.246846846883</v>
      </c>
      <c r="E74" s="381">
        <f t="shared" si="40"/>
        <v>21568.99400543404</v>
      </c>
      <c r="F74" s="381">
        <f t="shared" si="40"/>
        <v>19693.429309309344</v>
      </c>
      <c r="G74" s="381">
        <f t="shared" si="40"/>
        <v>19693.429309309344</v>
      </c>
      <c r="H74" s="381">
        <f t="shared" si="40"/>
        <v>20631.211657371692</v>
      </c>
      <c r="I74" s="381">
        <f t="shared" si="40"/>
        <v>20631.211657371692</v>
      </c>
      <c r="J74" s="381">
        <f t="shared" si="40"/>
        <v>20631.211657371692</v>
      </c>
      <c r="K74" s="381">
        <f t="shared" si="40"/>
        <v>20631.211657371692</v>
      </c>
      <c r="L74" s="381">
        <f t="shared" si="40"/>
        <v>19693.429309309344</v>
      </c>
      <c r="M74" s="381">
        <f t="shared" si="40"/>
        <v>19693.429309309344</v>
      </c>
      <c r="N74" s="381">
        <f t="shared" si="40"/>
        <v>22506.776353496392</v>
      </c>
      <c r="O74" s="371">
        <f t="shared" si="38"/>
        <v>242656.82791934835</v>
      </c>
      <c r="Q74" s="371">
        <f t="shared" ref="Q74" si="41">Q17+Q26+Q35+Q44+Q69</f>
        <v>22485.574787893285</v>
      </c>
    </row>
    <row r="75" spans="2:18" ht="17" thickBot="1" x14ac:dyDescent="0.2">
      <c r="B75" s="368" t="s">
        <v>573</v>
      </c>
      <c r="C75" s="319">
        <f t="shared" ref="C75:O75" si="42">SUM(C72:C74)</f>
        <v>382146.95845387405</v>
      </c>
      <c r="D75" s="319">
        <f t="shared" si="42"/>
        <v>382146.95845387405</v>
      </c>
      <c r="E75" s="319">
        <f t="shared" si="42"/>
        <v>442165.99478594778</v>
      </c>
      <c r="F75" s="319">
        <f t="shared" si="42"/>
        <v>403716.77784803923</v>
      </c>
      <c r="G75" s="319">
        <f t="shared" si="42"/>
        <v>403716.77784803923</v>
      </c>
      <c r="H75" s="319">
        <f t="shared" si="42"/>
        <v>422941.38631699351</v>
      </c>
      <c r="I75" s="319">
        <f t="shared" si="42"/>
        <v>422941.38631699351</v>
      </c>
      <c r="J75" s="319">
        <f t="shared" si="42"/>
        <v>422941.38631699351</v>
      </c>
      <c r="K75" s="319">
        <f t="shared" si="42"/>
        <v>422941.38631699351</v>
      </c>
      <c r="L75" s="319">
        <f t="shared" si="42"/>
        <v>403716.77784803923</v>
      </c>
      <c r="M75" s="319">
        <f t="shared" si="42"/>
        <v>403716.77784803923</v>
      </c>
      <c r="N75" s="319">
        <f t="shared" si="42"/>
        <v>507570.11721974384</v>
      </c>
      <c r="O75" s="372">
        <f t="shared" si="42"/>
        <v>5020662.6855735704</v>
      </c>
      <c r="Q75" s="372">
        <f>SUM(Q72:Q74)</f>
        <v>460955.96956992085</v>
      </c>
    </row>
    <row r="78" spans="2:18" x14ac:dyDescent="0.15">
      <c r="N78" s="338" t="s">
        <v>36</v>
      </c>
      <c r="O78" s="369">
        <f>O75-'Tab. 10'!K35-'Tab. 10'!L42/O6*SUM(E6:N6)</f>
        <v>46179.513964842321</v>
      </c>
    </row>
  </sheetData>
  <mergeCells count="1">
    <mergeCell ref="C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E1" zoomScale="180" zoomScaleNormal="180" workbookViewId="0">
      <selection activeCell="S9" sqref="S9"/>
    </sheetView>
  </sheetViews>
  <sheetFormatPr baseColWidth="10" defaultRowHeight="16" x14ac:dyDescent="0.15"/>
  <cols>
    <col min="1" max="1" width="1.83203125" style="73" customWidth="1"/>
    <col min="2" max="2" width="28.33203125" style="73" bestFit="1" customWidth="1"/>
    <col min="3" max="3" width="12.33203125" style="73" customWidth="1"/>
    <col min="4" max="4" width="14.83203125" style="73" customWidth="1"/>
    <col min="5" max="5" width="13.33203125" style="73" customWidth="1"/>
    <col min="6" max="6" width="13.5" style="73" customWidth="1"/>
    <col min="7" max="9" width="14.1640625" style="73" customWidth="1"/>
    <col min="10" max="10" width="14.33203125" style="73" customWidth="1"/>
    <col min="11" max="11" width="2" style="73" customWidth="1"/>
    <col min="12" max="14" width="7.6640625" style="73" hidden="1" customWidth="1"/>
    <col min="15" max="15" width="8.33203125" style="73" hidden="1" customWidth="1"/>
    <col min="16" max="16" width="2.83203125" style="73" hidden="1" customWidth="1"/>
    <col min="17" max="20" width="14.1640625" style="73" customWidth="1"/>
    <col min="21" max="16384" width="10.83203125" style="73"/>
  </cols>
  <sheetData>
    <row r="1" spans="2:20" x14ac:dyDescent="0.15">
      <c r="B1" s="73" t="s">
        <v>122</v>
      </c>
    </row>
    <row r="2" spans="2:20" ht="17" thickBot="1" x14ac:dyDescent="0.2"/>
    <row r="3" spans="2:20" x14ac:dyDescent="0.15">
      <c r="C3" s="404" t="s">
        <v>65</v>
      </c>
      <c r="D3" s="405"/>
      <c r="E3" s="405"/>
      <c r="F3" s="406"/>
      <c r="G3" s="399" t="s">
        <v>78</v>
      </c>
      <c r="H3" s="400"/>
      <c r="I3" s="400"/>
      <c r="J3" s="401"/>
      <c r="L3" s="399" t="s">
        <v>81</v>
      </c>
      <c r="M3" s="400"/>
      <c r="N3" s="400"/>
      <c r="O3" s="401"/>
      <c r="Q3" s="393" t="s">
        <v>134</v>
      </c>
      <c r="R3" s="394"/>
      <c r="S3" s="394"/>
      <c r="T3" s="395"/>
    </row>
    <row r="4" spans="2:20" x14ac:dyDescent="0.15">
      <c r="C4" s="396" t="s">
        <v>45</v>
      </c>
      <c r="D4" s="384"/>
      <c r="E4" s="385"/>
      <c r="F4" s="407" t="s">
        <v>3</v>
      </c>
      <c r="G4" s="396" t="s">
        <v>45</v>
      </c>
      <c r="H4" s="384"/>
      <c r="I4" s="385"/>
      <c r="J4" s="402" t="s">
        <v>3</v>
      </c>
      <c r="L4" s="396" t="s">
        <v>45</v>
      </c>
      <c r="M4" s="384"/>
      <c r="N4" s="385"/>
      <c r="O4" s="402" t="s">
        <v>3</v>
      </c>
      <c r="Q4" s="396" t="s">
        <v>45</v>
      </c>
      <c r="R4" s="384"/>
      <c r="S4" s="385"/>
      <c r="T4" s="397" t="s">
        <v>3</v>
      </c>
    </row>
    <row r="5" spans="2:20" x14ac:dyDescent="0.15">
      <c r="C5" s="123" t="s">
        <v>61</v>
      </c>
      <c r="D5" s="98" t="s">
        <v>62</v>
      </c>
      <c r="E5" s="96" t="s">
        <v>63</v>
      </c>
      <c r="F5" s="408"/>
      <c r="G5" s="123" t="s">
        <v>61</v>
      </c>
      <c r="H5" s="98" t="s">
        <v>62</v>
      </c>
      <c r="I5" s="96" t="s">
        <v>63</v>
      </c>
      <c r="J5" s="403"/>
      <c r="L5" s="123" t="s">
        <v>82</v>
      </c>
      <c r="M5" s="98" t="s">
        <v>83</v>
      </c>
      <c r="N5" s="96" t="s">
        <v>63</v>
      </c>
      <c r="O5" s="403"/>
      <c r="Q5" s="123" t="s">
        <v>61</v>
      </c>
      <c r="R5" s="98" t="s">
        <v>62</v>
      </c>
      <c r="S5" s="96" t="s">
        <v>63</v>
      </c>
      <c r="T5" s="398"/>
    </row>
    <row r="6" spans="2:20" ht="17" thickBot="1" x14ac:dyDescent="0.2">
      <c r="C6" s="124"/>
      <c r="D6" s="85"/>
      <c r="E6" s="85"/>
      <c r="F6" s="125"/>
      <c r="G6" s="124"/>
      <c r="H6" s="85"/>
      <c r="I6" s="85"/>
      <c r="J6" s="151"/>
      <c r="L6" s="124"/>
      <c r="M6" s="85"/>
      <c r="N6" s="85"/>
      <c r="O6" s="151"/>
      <c r="Q6" s="124"/>
      <c r="R6" s="85"/>
      <c r="S6" s="85"/>
      <c r="T6" s="257"/>
    </row>
    <row r="7" spans="2:20" x14ac:dyDescent="0.15">
      <c r="B7" s="143" t="s">
        <v>46</v>
      </c>
      <c r="C7" s="126">
        <f>+'Tab 0'!B20</f>
        <v>128140000</v>
      </c>
      <c r="D7" s="92">
        <f>+'Tab 0'!C20</f>
        <v>123000000</v>
      </c>
      <c r="E7" s="92">
        <f>+'Tab 0'!D20</f>
        <v>77900000</v>
      </c>
      <c r="F7" s="127">
        <f>SUM(C7:E7)</f>
        <v>329040000</v>
      </c>
      <c r="G7" s="126">
        <f>C7*(1+'Tab 0'!B$10)</f>
        <v>129421400</v>
      </c>
      <c r="H7" s="92">
        <f>D7*(1+'Tab 0'!C$10)</f>
        <v>120540000</v>
      </c>
      <c r="I7" s="92">
        <f>E7*(1+'Tab 0'!D$10)</f>
        <v>81795000</v>
      </c>
      <c r="J7" s="152">
        <f>SUM(G7:I7)</f>
        <v>331756400</v>
      </c>
      <c r="L7" s="176">
        <f t="shared" ref="L7:L16" si="0">IFERROR((G7-C7)/C7,0)</f>
        <v>0.01</v>
      </c>
      <c r="M7" s="174">
        <f t="shared" ref="M7:M16" si="1">IFERROR((H7-D7)/D7,0)</f>
        <v>-0.02</v>
      </c>
      <c r="N7" s="174">
        <f t="shared" ref="N7:N16" si="2">IFERROR((I7-E7)/E7,0)</f>
        <v>0.05</v>
      </c>
      <c r="O7" s="175">
        <f t="shared" ref="O7:O16" si="3">IFERROR((J7-F7)/F7,0)</f>
        <v>8.25553124240214E-3</v>
      </c>
      <c r="Q7" s="126">
        <f>G7*(1+'Tab 0'!B11)</f>
        <v>132009828</v>
      </c>
      <c r="R7" s="92">
        <f>H7*(1+'Tab 0'!C11)</f>
        <v>115718400</v>
      </c>
      <c r="S7" s="92">
        <f>I7*(1+'Tab 0'!D11)</f>
        <v>88338600</v>
      </c>
      <c r="T7" s="258">
        <f>SUM(Q7:S7)</f>
        <v>336066828</v>
      </c>
    </row>
    <row r="8" spans="2:20" x14ac:dyDescent="0.15">
      <c r="B8" s="144" t="s">
        <v>47</v>
      </c>
      <c r="C8" s="128">
        <f>+'Tab 0'!B22</f>
        <v>22111</v>
      </c>
      <c r="D8" s="110">
        <f>+'Tab 0'!C22</f>
        <v>683333.33333333337</v>
      </c>
      <c r="E8" s="110">
        <f>+'Tab 0'!D22</f>
        <v>3158</v>
      </c>
      <c r="F8" s="129">
        <f>SUM(C8:E8)</f>
        <v>708602.33333333337</v>
      </c>
      <c r="G8" s="161">
        <f>C8</f>
        <v>22111</v>
      </c>
      <c r="H8" s="110">
        <f>H7/180</f>
        <v>669666.66666666663</v>
      </c>
      <c r="I8" s="115">
        <f t="shared" ref="I8" si="4">E8</f>
        <v>3158</v>
      </c>
      <c r="J8" s="153">
        <f>SUM(G8:I8)</f>
        <v>694935.66666666663</v>
      </c>
      <c r="L8" s="176">
        <f t="shared" si="0"/>
        <v>0</v>
      </c>
      <c r="M8" s="174">
        <f t="shared" si="1"/>
        <v>-2.0000000000000111E-2</v>
      </c>
      <c r="N8" s="174">
        <f t="shared" si="2"/>
        <v>0</v>
      </c>
      <c r="O8" s="175">
        <f t="shared" si="3"/>
        <v>-1.928679320371051E-2</v>
      </c>
      <c r="Q8" s="128">
        <f>+G8</f>
        <v>22111</v>
      </c>
      <c r="R8" s="110">
        <f>R7/180</f>
        <v>642880</v>
      </c>
      <c r="S8" s="110">
        <f>I8</f>
        <v>3158</v>
      </c>
      <c r="T8" s="259">
        <f>SUM(Q8:S8)</f>
        <v>668149</v>
      </c>
    </row>
    <row r="9" spans="2:20" x14ac:dyDescent="0.15">
      <c r="B9" s="144" t="s">
        <v>51</v>
      </c>
      <c r="C9" s="130">
        <f>C7/C8</f>
        <v>5795.3055040477593</v>
      </c>
      <c r="D9" s="89">
        <f t="shared" ref="D9:F9" si="5">D7/D8</f>
        <v>180</v>
      </c>
      <c r="E9" s="89">
        <f t="shared" si="5"/>
        <v>24667.511082963902</v>
      </c>
      <c r="F9" s="131">
        <f t="shared" si="5"/>
        <v>464.35071481089295</v>
      </c>
      <c r="G9" s="130">
        <f>G7/G8</f>
        <v>5853.2585590882363</v>
      </c>
      <c r="H9" s="89">
        <f t="shared" ref="H9" si="6">H7/H8</f>
        <v>180</v>
      </c>
      <c r="I9" s="89">
        <f t="shared" ref="I9" si="7">I7/I8</f>
        <v>25900.886637112097</v>
      </c>
      <c r="J9" s="154">
        <f t="shared" ref="J9" si="8">J7/J8</f>
        <v>477.39152832852159</v>
      </c>
      <c r="L9" s="176">
        <f t="shared" si="0"/>
        <v>9.9999999999998996E-3</v>
      </c>
      <c r="M9" s="177">
        <f t="shared" si="1"/>
        <v>0</v>
      </c>
      <c r="N9" s="177">
        <f t="shared" si="2"/>
        <v>0.05</v>
      </c>
      <c r="O9" s="175">
        <f t="shared" si="3"/>
        <v>2.8083974249807093E-2</v>
      </c>
      <c r="Q9" s="263">
        <f>Q7/Q8</f>
        <v>5970.3237302700018</v>
      </c>
      <c r="R9" s="264">
        <f t="shared" ref="R9:T9" si="9">R7/R8</f>
        <v>180</v>
      </c>
      <c r="S9" s="264">
        <f t="shared" si="9"/>
        <v>27972.957568081063</v>
      </c>
      <c r="T9" s="260">
        <f t="shared" si="9"/>
        <v>502.98186183022051</v>
      </c>
    </row>
    <row r="10" spans="2:20" ht="17" thickBot="1" x14ac:dyDescent="0.2">
      <c r="B10" s="144"/>
      <c r="C10" s="130"/>
      <c r="D10" s="89"/>
      <c r="E10" s="89"/>
      <c r="F10" s="131"/>
      <c r="G10" s="130"/>
      <c r="H10" s="89"/>
      <c r="I10" s="89"/>
      <c r="J10" s="154"/>
      <c r="L10" s="130"/>
      <c r="M10" s="89"/>
      <c r="N10" s="89"/>
      <c r="O10" s="154"/>
      <c r="Q10" s="263"/>
      <c r="R10" s="264"/>
      <c r="S10" s="264"/>
      <c r="T10" s="260"/>
    </row>
    <row r="11" spans="2:20" ht="17" thickBot="1" x14ac:dyDescent="0.2">
      <c r="B11" s="147" t="s">
        <v>49</v>
      </c>
      <c r="C11" s="148">
        <f>'Tab 0'!B24</f>
        <v>38442000</v>
      </c>
      <c r="D11" s="149">
        <f>'Tab 0'!C24</f>
        <v>79446800</v>
      </c>
      <c r="E11" s="149">
        <f>'Tab 0'!D24</f>
        <v>10251200</v>
      </c>
      <c r="F11" s="150">
        <f>SUM(C11:E11)</f>
        <v>128140000</v>
      </c>
      <c r="G11" s="148">
        <f>+G14*G15</f>
        <v>52151533.258064516</v>
      </c>
      <c r="H11" s="149">
        <f>+H12*H7</f>
        <v>77857864</v>
      </c>
      <c r="I11" s="149">
        <f>+I14*I15</f>
        <v>13800000</v>
      </c>
      <c r="J11" s="155">
        <f>SUM(G11:I11)</f>
        <v>143809397.25806451</v>
      </c>
      <c r="L11" s="178">
        <f t="shared" si="0"/>
        <v>0.35662903225806453</v>
      </c>
      <c r="M11" s="179">
        <f t="shared" si="1"/>
        <v>-0.02</v>
      </c>
      <c r="N11" s="179">
        <f t="shared" si="2"/>
        <v>0.34618386140159202</v>
      </c>
      <c r="O11" s="180">
        <f t="shared" si="3"/>
        <v>0.12228341858954665</v>
      </c>
      <c r="Q11" s="148">
        <f>Q12*Q7</f>
        <v>53194563.923225805</v>
      </c>
      <c r="R11" s="149">
        <f t="shared" ref="R11:S11" si="10">R12*R7</f>
        <v>74743549.439999998</v>
      </c>
      <c r="S11" s="149">
        <f t="shared" si="10"/>
        <v>14904000</v>
      </c>
      <c r="T11" s="261">
        <f>SUM(Q11:S11)</f>
        <v>142842113.36322582</v>
      </c>
    </row>
    <row r="12" spans="2:20" s="106" customFormat="1" ht="17" thickBot="1" x14ac:dyDescent="0.2">
      <c r="B12" s="145" t="s">
        <v>48</v>
      </c>
      <c r="C12" s="163">
        <f>'Tab 0'!B26</f>
        <v>0.3</v>
      </c>
      <c r="D12" s="164">
        <f>'Tab 0'!C26</f>
        <v>0.64590894308943092</v>
      </c>
      <c r="E12" s="164">
        <f>'Tab 0'!D26</f>
        <v>0.13159435173299103</v>
      </c>
      <c r="F12" s="165">
        <f>'Tab 0'!E26</f>
        <v>0.31253658536585366</v>
      </c>
      <c r="G12" s="163">
        <f>+G11/G7</f>
        <v>0.40295911849249438</v>
      </c>
      <c r="H12" s="166">
        <f>+D12</f>
        <v>0.64590894308943092</v>
      </c>
      <c r="I12" s="164">
        <f>+I11/I7</f>
        <v>0.16871446909957821</v>
      </c>
      <c r="J12" s="167">
        <f>+J11/J7</f>
        <v>0.433478893724626</v>
      </c>
      <c r="L12" s="178">
        <f t="shared" si="0"/>
        <v>0.34319706164164798</v>
      </c>
      <c r="M12" s="179">
        <f t="shared" si="1"/>
        <v>0</v>
      </c>
      <c r="N12" s="179">
        <f t="shared" si="2"/>
        <v>0.28207986800151608</v>
      </c>
      <c r="O12" s="180">
        <f t="shared" si="3"/>
        <v>0.38697008293348417</v>
      </c>
      <c r="Q12" s="255">
        <f>G12</f>
        <v>0.40295911849249438</v>
      </c>
      <c r="R12" s="256">
        <f t="shared" ref="R12:S12" si="11">H12</f>
        <v>0.64590894308943092</v>
      </c>
      <c r="S12" s="256">
        <f t="shared" si="11"/>
        <v>0.16871446909957821</v>
      </c>
      <c r="T12" s="262">
        <f>+T11/T7</f>
        <v>0.42504079981147624</v>
      </c>
    </row>
    <row r="13" spans="2:20" x14ac:dyDescent="0.15">
      <c r="B13" s="144"/>
      <c r="C13" s="132"/>
      <c r="D13" s="111"/>
      <c r="E13" s="111"/>
      <c r="F13" s="133"/>
      <c r="G13" s="132"/>
      <c r="H13" s="111"/>
      <c r="I13" s="111"/>
      <c r="J13" s="156"/>
      <c r="L13" s="132"/>
      <c r="M13" s="111"/>
      <c r="N13" s="111"/>
      <c r="O13" s="156"/>
    </row>
    <row r="14" spans="2:20" x14ac:dyDescent="0.15">
      <c r="B14" s="144" t="s">
        <v>50</v>
      </c>
      <c r="C14" s="128">
        <f>'Tab 0'!B28</f>
        <v>6200</v>
      </c>
      <c r="D14" s="110">
        <f>'Tab 0'!C28</f>
        <v>441371.11111111112</v>
      </c>
      <c r="E14" s="110">
        <f>'Tab 0'!D28</f>
        <v>600</v>
      </c>
      <c r="F14" s="129">
        <f>SUM(C14:E14)</f>
        <v>448171.11111111112</v>
      </c>
      <c r="G14" s="128">
        <f>G8*G16</f>
        <v>8411.1</v>
      </c>
      <c r="H14" s="110">
        <f>H11/180</f>
        <v>432543.68888888886</v>
      </c>
      <c r="I14" s="115">
        <f>+E14</f>
        <v>600</v>
      </c>
      <c r="J14" s="153">
        <f>SUM(G14:I14)</f>
        <v>441554.78888888884</v>
      </c>
      <c r="L14" s="176">
        <f t="shared" si="0"/>
        <v>0.35662903225806458</v>
      </c>
      <c r="M14" s="177">
        <f t="shared" si="1"/>
        <v>-2.0000000000000084E-2</v>
      </c>
      <c r="N14" s="177">
        <f t="shared" si="2"/>
        <v>0</v>
      </c>
      <c r="O14" s="175">
        <f t="shared" si="3"/>
        <v>-1.4762937766825307E-2</v>
      </c>
    </row>
    <row r="15" spans="2:20" x14ac:dyDescent="0.15">
      <c r="B15" s="144" t="s">
        <v>51</v>
      </c>
      <c r="C15" s="134">
        <f>+C11/C14</f>
        <v>6200.322580645161</v>
      </c>
      <c r="D15" s="112">
        <f t="shared" ref="D15:F15" si="12">+D11/D14</f>
        <v>180</v>
      </c>
      <c r="E15" s="112">
        <f t="shared" si="12"/>
        <v>17085.333333333332</v>
      </c>
      <c r="F15" s="135">
        <f t="shared" si="12"/>
        <v>285.91758108262218</v>
      </c>
      <c r="G15" s="134">
        <f>+C15</f>
        <v>6200.322580645161</v>
      </c>
      <c r="H15" s="112">
        <f t="shared" ref="H15" si="13">+H11/H14</f>
        <v>180</v>
      </c>
      <c r="I15" s="122">
        <v>23000</v>
      </c>
      <c r="J15" s="157">
        <f t="shared" ref="J15" si="14">+J11/J14</f>
        <v>325.68868207712308</v>
      </c>
      <c r="L15" s="176">
        <f t="shared" si="0"/>
        <v>0</v>
      </c>
      <c r="M15" s="177">
        <f t="shared" si="1"/>
        <v>0</v>
      </c>
      <c r="N15" s="177">
        <f t="shared" si="2"/>
        <v>0.34618386140159213</v>
      </c>
      <c r="O15" s="175">
        <f t="shared" si="3"/>
        <v>0.13909987921661998</v>
      </c>
    </row>
    <row r="16" spans="2:20" s="106" customFormat="1" x14ac:dyDescent="0.15">
      <c r="B16" s="145" t="s">
        <v>52</v>
      </c>
      <c r="C16" s="168">
        <f>C14/C8</f>
        <v>0.28040341911265887</v>
      </c>
      <c r="D16" s="169">
        <f t="shared" ref="D16:F16" si="15">D14/D8</f>
        <v>0.64590894308943092</v>
      </c>
      <c r="E16" s="169">
        <f t="shared" si="15"/>
        <v>0.18999366687777075</v>
      </c>
      <c r="F16" s="170">
        <f t="shared" si="15"/>
        <v>0.63247196633247205</v>
      </c>
      <c r="G16" s="171">
        <f>+C16+10%</f>
        <v>0.38040341911265885</v>
      </c>
      <c r="H16" s="169">
        <f t="shared" ref="H16:J16" si="16">H14/H8</f>
        <v>0.64590894308943092</v>
      </c>
      <c r="I16" s="169">
        <f t="shared" si="16"/>
        <v>0.18999366687777075</v>
      </c>
      <c r="J16" s="172">
        <f t="shared" si="16"/>
        <v>0.63538944692082611</v>
      </c>
      <c r="L16" s="178">
        <f t="shared" si="0"/>
        <v>0.35662903225806442</v>
      </c>
      <c r="M16" s="179">
        <f t="shared" si="1"/>
        <v>0</v>
      </c>
      <c r="N16" s="179">
        <f t="shared" si="2"/>
        <v>0</v>
      </c>
      <c r="O16" s="180">
        <f t="shared" si="3"/>
        <v>4.6128219805088178E-3</v>
      </c>
    </row>
    <row r="17" spans="2:15" x14ac:dyDescent="0.15">
      <c r="B17" s="144"/>
      <c r="C17" s="132"/>
      <c r="D17" s="111"/>
      <c r="E17" s="111"/>
      <c r="F17" s="133"/>
      <c r="G17" s="132"/>
      <c r="H17" s="111"/>
      <c r="I17" s="111"/>
      <c r="J17" s="156"/>
      <c r="L17" s="132"/>
      <c r="M17" s="111"/>
      <c r="N17" s="111"/>
      <c r="O17" s="156"/>
    </row>
    <row r="18" spans="2:15" x14ac:dyDescent="0.15">
      <c r="B18" s="144" t="s">
        <v>70</v>
      </c>
      <c r="C18" s="136"/>
      <c r="D18" s="86"/>
      <c r="E18" s="86"/>
      <c r="F18" s="137"/>
      <c r="G18" s="136"/>
      <c r="H18" s="86"/>
      <c r="I18" s="86"/>
      <c r="J18" s="158"/>
      <c r="L18" s="136"/>
      <c r="M18" s="86"/>
      <c r="N18" s="86"/>
      <c r="O18" s="158"/>
    </row>
    <row r="19" spans="2:15" x14ac:dyDescent="0.15">
      <c r="B19" s="144" t="s">
        <v>71</v>
      </c>
      <c r="C19" s="136">
        <f>+'Tab 0'!B52</f>
        <v>50</v>
      </c>
      <c r="D19" s="86">
        <f>+'Tab 0'!C52</f>
        <v>0</v>
      </c>
      <c r="E19" s="86">
        <f>+'Tab 0'!D52</f>
        <v>7</v>
      </c>
      <c r="F19" s="137">
        <f t="shared" ref="F19:F22" si="17">SUM(C19:E19)</f>
        <v>57</v>
      </c>
      <c r="G19" s="173">
        <f>+C19+2</f>
        <v>52</v>
      </c>
      <c r="H19" s="86">
        <f>+D19</f>
        <v>0</v>
      </c>
      <c r="I19" s="86">
        <f>+E19</f>
        <v>7</v>
      </c>
      <c r="J19" s="158">
        <f t="shared" ref="J19:J22" si="18">SUM(G19:I19)</f>
        <v>59</v>
      </c>
      <c r="L19" s="176">
        <f>IFERROR((G19-C19)/C19,0)</f>
        <v>0.04</v>
      </c>
      <c r="M19" s="177">
        <f>IFERROR((H19-D19)/D19,0)</f>
        <v>0</v>
      </c>
      <c r="N19" s="177">
        <f t="shared" ref="N19:O22" si="19">IFERROR((I19-E19)/E19,0)</f>
        <v>0</v>
      </c>
      <c r="O19" s="175">
        <f t="shared" si="19"/>
        <v>3.5087719298245612E-2</v>
      </c>
    </row>
    <row r="20" spans="2:15" x14ac:dyDescent="0.15">
      <c r="B20" s="144" t="s">
        <v>72</v>
      </c>
      <c r="C20" s="136">
        <f>+'Tab 0'!B53</f>
        <v>40</v>
      </c>
      <c r="D20" s="86">
        <f>+'Tab 0'!C53</f>
        <v>0</v>
      </c>
      <c r="E20" s="86">
        <f>+'Tab 0'!D53</f>
        <v>2</v>
      </c>
      <c r="F20" s="137">
        <f t="shared" si="17"/>
        <v>42</v>
      </c>
      <c r="G20" s="173">
        <f>+C20+1</f>
        <v>41</v>
      </c>
      <c r="H20" s="86">
        <f t="shared" ref="H20:I21" si="20">+D20</f>
        <v>0</v>
      </c>
      <c r="I20" s="86">
        <f t="shared" si="20"/>
        <v>2</v>
      </c>
      <c r="J20" s="158">
        <f t="shared" si="18"/>
        <v>43</v>
      </c>
      <c r="L20" s="176">
        <f t="shared" ref="L20:M24" si="21">IFERROR((G20-C20)/C20,0)</f>
        <v>2.5000000000000001E-2</v>
      </c>
      <c r="M20" s="177">
        <f t="shared" si="21"/>
        <v>0</v>
      </c>
      <c r="N20" s="177">
        <f t="shared" si="19"/>
        <v>0</v>
      </c>
      <c r="O20" s="175">
        <f t="shared" si="19"/>
        <v>2.3809523809523808E-2</v>
      </c>
    </row>
    <row r="21" spans="2:15" x14ac:dyDescent="0.15">
      <c r="B21" s="144" t="s">
        <v>73</v>
      </c>
      <c r="C21" s="136">
        <f>+'Tab 0'!B54</f>
        <v>25</v>
      </c>
      <c r="D21" s="86">
        <f>+'Tab 0'!C54</f>
        <v>0</v>
      </c>
      <c r="E21" s="86">
        <f>+'Tab 0'!D54</f>
        <v>3</v>
      </c>
      <c r="F21" s="137">
        <f t="shared" si="17"/>
        <v>28</v>
      </c>
      <c r="G21" s="173">
        <f>+C21+4</f>
        <v>29</v>
      </c>
      <c r="H21" s="86">
        <f t="shared" si="20"/>
        <v>0</v>
      </c>
      <c r="I21" s="86">
        <f t="shared" si="20"/>
        <v>3</v>
      </c>
      <c r="J21" s="158">
        <f t="shared" si="18"/>
        <v>32</v>
      </c>
      <c r="L21" s="176">
        <f t="shared" si="21"/>
        <v>0.16</v>
      </c>
      <c r="M21" s="177">
        <f t="shared" si="21"/>
        <v>0</v>
      </c>
      <c r="N21" s="177">
        <f t="shared" si="19"/>
        <v>0</v>
      </c>
      <c r="O21" s="175">
        <f t="shared" si="19"/>
        <v>0.14285714285714285</v>
      </c>
    </row>
    <row r="22" spans="2:15" x14ac:dyDescent="0.15">
      <c r="B22" s="145" t="s">
        <v>74</v>
      </c>
      <c r="C22" s="138">
        <f>SUM(C19:C21)</f>
        <v>115</v>
      </c>
      <c r="D22" s="113">
        <f t="shared" ref="D22:E22" si="22">SUM(D19:D21)</f>
        <v>0</v>
      </c>
      <c r="E22" s="113">
        <f t="shared" si="22"/>
        <v>12</v>
      </c>
      <c r="F22" s="139">
        <f t="shared" si="17"/>
        <v>127</v>
      </c>
      <c r="G22" s="138">
        <f>SUM(G19:G21)</f>
        <v>122</v>
      </c>
      <c r="H22" s="113">
        <f t="shared" ref="H22" si="23">SUM(H19:H21)</f>
        <v>0</v>
      </c>
      <c r="I22" s="113">
        <f t="shared" ref="I22" si="24">SUM(I19:I21)</f>
        <v>12</v>
      </c>
      <c r="J22" s="159">
        <f t="shared" si="18"/>
        <v>134</v>
      </c>
      <c r="L22" s="178">
        <f t="shared" si="21"/>
        <v>6.0869565217391307E-2</v>
      </c>
      <c r="M22" s="179">
        <f t="shared" si="21"/>
        <v>0</v>
      </c>
      <c r="N22" s="179">
        <f t="shared" si="19"/>
        <v>0</v>
      </c>
      <c r="O22" s="180">
        <f t="shared" si="19"/>
        <v>5.5118110236220472E-2</v>
      </c>
    </row>
    <row r="23" spans="2:15" ht="5" customHeight="1" x14ac:dyDescent="0.15">
      <c r="B23" s="144"/>
      <c r="C23" s="136"/>
      <c r="D23" s="86"/>
      <c r="E23" s="86"/>
      <c r="F23" s="137"/>
      <c r="G23" s="136"/>
      <c r="H23" s="86"/>
      <c r="I23" s="86"/>
      <c r="J23" s="158"/>
      <c r="L23" s="136"/>
      <c r="M23" s="86"/>
      <c r="N23" s="86"/>
      <c r="O23" s="158"/>
    </row>
    <row r="24" spans="2:15" ht="17" thickBot="1" x14ac:dyDescent="0.2">
      <c r="B24" s="146" t="s">
        <v>53</v>
      </c>
      <c r="C24" s="140">
        <f t="shared" ref="C24:J24" si="25">IFERROR(C11/C22,0)</f>
        <v>334278.26086956525</v>
      </c>
      <c r="D24" s="141">
        <f t="shared" si="25"/>
        <v>0</v>
      </c>
      <c r="E24" s="141">
        <f t="shared" si="25"/>
        <v>854266.66666666663</v>
      </c>
      <c r="F24" s="142">
        <f t="shared" si="25"/>
        <v>1008976.3779527559</v>
      </c>
      <c r="G24" s="140">
        <f t="shared" si="25"/>
        <v>427471.584082496</v>
      </c>
      <c r="H24" s="141">
        <f t="shared" si="25"/>
        <v>0</v>
      </c>
      <c r="I24" s="141">
        <f t="shared" si="25"/>
        <v>1150000</v>
      </c>
      <c r="J24" s="160">
        <f t="shared" si="25"/>
        <v>1073204.4571497352</v>
      </c>
      <c r="L24" s="181">
        <f t="shared" si="21"/>
        <v>0.27878966155473273</v>
      </c>
      <c r="M24" s="182">
        <f t="shared" si="21"/>
        <v>0</v>
      </c>
      <c r="N24" s="182">
        <f t="shared" ref="N24" si="26">IFERROR((I24-E24)/E24,0)</f>
        <v>0.34618386140159207</v>
      </c>
      <c r="O24" s="183">
        <f t="shared" ref="O24" si="27">IFERROR((J24-F24)/F24,0)</f>
        <v>6.3656672842331591E-2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24"/>
  <sheetViews>
    <sheetView showGridLines="0" topLeftCell="B2" zoomScale="180" zoomScaleNormal="180" workbookViewId="0">
      <selection activeCell="S23" sqref="S23"/>
    </sheetView>
  </sheetViews>
  <sheetFormatPr baseColWidth="10" defaultRowHeight="16" x14ac:dyDescent="0.2"/>
  <cols>
    <col min="1" max="1" width="2" style="2" customWidth="1"/>
    <col min="2" max="2" width="10.83203125" style="2"/>
    <col min="3" max="3" width="8.1640625" style="2" customWidth="1"/>
    <col min="4" max="4" width="7.5" style="2" customWidth="1"/>
    <col min="5" max="5" width="13.5" style="2" customWidth="1"/>
    <col min="6" max="6" width="7.83203125" style="2" bestFit="1" customWidth="1"/>
    <col min="7" max="7" width="7.5" style="2" customWidth="1"/>
    <col min="8" max="8" width="13.6640625" style="2" customWidth="1"/>
    <col min="9" max="10" width="7.5" style="2" customWidth="1"/>
    <col min="11" max="11" width="13.83203125" style="2" customWidth="1"/>
    <col min="12" max="12" width="11.33203125" style="2" customWidth="1"/>
    <col min="13" max="13" width="7.5" style="2" customWidth="1"/>
    <col min="14" max="14" width="14.5" style="2" customWidth="1"/>
    <col min="15" max="15" width="5" style="2" customWidth="1"/>
    <col min="16" max="19" width="8.1640625" style="2" customWidth="1"/>
    <col min="20" max="16384" width="10.83203125" style="2"/>
  </cols>
  <sheetData>
    <row r="1" spans="2:19" x14ac:dyDescent="0.2">
      <c r="B1" s="73" t="s">
        <v>121</v>
      </c>
    </row>
    <row r="2" spans="2:19" ht="17" thickBot="1" x14ac:dyDescent="0.25"/>
    <row r="3" spans="2:19" x14ac:dyDescent="0.2">
      <c r="B3" s="409"/>
      <c r="C3" s="423" t="s">
        <v>65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2"/>
      <c r="P3" s="420" t="s">
        <v>90</v>
      </c>
      <c r="Q3" s="421"/>
      <c r="R3" s="421"/>
      <c r="S3" s="422"/>
    </row>
    <row r="4" spans="2:19" x14ac:dyDescent="0.2">
      <c r="B4" s="410"/>
      <c r="C4" s="416" t="s">
        <v>87</v>
      </c>
      <c r="D4" s="417"/>
      <c r="E4" s="418"/>
      <c r="F4" s="416" t="s">
        <v>88</v>
      </c>
      <c r="G4" s="417"/>
      <c r="H4" s="418"/>
      <c r="I4" s="416" t="s">
        <v>89</v>
      </c>
      <c r="J4" s="417"/>
      <c r="K4" s="418"/>
      <c r="L4" s="416" t="s">
        <v>3</v>
      </c>
      <c r="M4" s="417"/>
      <c r="N4" s="419"/>
      <c r="P4" s="80" t="s">
        <v>82</v>
      </c>
      <c r="Q4" s="81" t="s">
        <v>83</v>
      </c>
      <c r="R4" s="81" t="s">
        <v>63</v>
      </c>
      <c r="S4" s="199" t="s">
        <v>74</v>
      </c>
    </row>
    <row r="5" spans="2:19" x14ac:dyDescent="0.2">
      <c r="B5" s="411"/>
      <c r="C5" s="184" t="s">
        <v>86</v>
      </c>
      <c r="D5" s="185" t="s">
        <v>4</v>
      </c>
      <c r="E5" s="186" t="s">
        <v>32</v>
      </c>
      <c r="F5" s="184" t="s">
        <v>86</v>
      </c>
      <c r="G5" s="185" t="s">
        <v>4</v>
      </c>
      <c r="H5" s="186" t="s">
        <v>32</v>
      </c>
      <c r="I5" s="184" t="s">
        <v>86</v>
      </c>
      <c r="J5" s="185" t="s">
        <v>4</v>
      </c>
      <c r="K5" s="186" t="s">
        <v>32</v>
      </c>
      <c r="L5" s="184" t="s">
        <v>86</v>
      </c>
      <c r="M5" s="185" t="s">
        <v>4</v>
      </c>
      <c r="N5" s="190" t="s">
        <v>32</v>
      </c>
      <c r="P5" s="80" t="s">
        <v>32</v>
      </c>
      <c r="Q5" s="81" t="s">
        <v>32</v>
      </c>
      <c r="R5" s="81" t="s">
        <v>32</v>
      </c>
      <c r="S5" s="199" t="s">
        <v>32</v>
      </c>
    </row>
    <row r="6" spans="2:19" x14ac:dyDescent="0.2">
      <c r="B6" s="191" t="s">
        <v>84</v>
      </c>
      <c r="C6" s="187">
        <f>+E6/D6</f>
        <v>151632.33333333334</v>
      </c>
      <c r="D6" s="188">
        <f>+'Tab 0'!$B33</f>
        <v>180</v>
      </c>
      <c r="E6" s="189">
        <f>+E$8*P6</f>
        <v>27293820</v>
      </c>
      <c r="F6" s="187">
        <f>+H6/G6</f>
        <v>441371.11111111112</v>
      </c>
      <c r="G6" s="188">
        <f>+'Tab 0'!$B33</f>
        <v>180</v>
      </c>
      <c r="H6" s="189">
        <f>+H$8*Q6</f>
        <v>79446800</v>
      </c>
      <c r="I6" s="187">
        <f>+K6/J6</f>
        <v>5125.6000000000004</v>
      </c>
      <c r="J6" s="188">
        <f>+'Tab 0'!$B33</f>
        <v>180</v>
      </c>
      <c r="K6" s="189">
        <f>+K$8*R6</f>
        <v>922608</v>
      </c>
      <c r="L6" s="187">
        <f t="shared" ref="L6:N7" si="0">+C6+F6+I6</f>
        <v>598129.04444444447</v>
      </c>
      <c r="M6" s="188">
        <f>+N6/L6</f>
        <v>180</v>
      </c>
      <c r="N6" s="192">
        <f t="shared" si="0"/>
        <v>107663228</v>
      </c>
      <c r="P6" s="206">
        <f>+'Tab 0'!B37</f>
        <v>0.71</v>
      </c>
      <c r="Q6" s="203">
        <f>+'Tab 0'!C37</f>
        <v>1</v>
      </c>
      <c r="R6" s="203">
        <f>+'Tab 0'!D37</f>
        <v>0.09</v>
      </c>
      <c r="S6" s="200">
        <f>N6/N$8</f>
        <v>0.84019999999999995</v>
      </c>
    </row>
    <row r="7" spans="2:19" x14ac:dyDescent="0.2">
      <c r="B7" s="75" t="s">
        <v>85</v>
      </c>
      <c r="C7" s="33">
        <f>+E7/D7</f>
        <v>22296.360000000004</v>
      </c>
      <c r="D7" s="76">
        <f>+'Tab 0'!$B34</f>
        <v>500</v>
      </c>
      <c r="E7" s="60">
        <f>+E$8*P7</f>
        <v>11148180.000000002</v>
      </c>
      <c r="F7" s="33">
        <f>+H7/G7</f>
        <v>0</v>
      </c>
      <c r="G7" s="76">
        <f>+'Tab 0'!$B34</f>
        <v>500</v>
      </c>
      <c r="H7" s="60">
        <f>+H$8*Q7</f>
        <v>0</v>
      </c>
      <c r="I7" s="33">
        <f>+K7/J7</f>
        <v>18657.184000000001</v>
      </c>
      <c r="J7" s="76">
        <f>+'Tab 0'!$B34</f>
        <v>500</v>
      </c>
      <c r="K7" s="60">
        <f>+K$8*R7</f>
        <v>9328592</v>
      </c>
      <c r="L7" s="33">
        <f t="shared" si="0"/>
        <v>40953.544000000009</v>
      </c>
      <c r="M7" s="76">
        <f>+N7/L7</f>
        <v>499.99999999999989</v>
      </c>
      <c r="N7" s="193">
        <f t="shared" si="0"/>
        <v>20476772</v>
      </c>
      <c r="P7" s="206">
        <f>+'Tab 0'!B38</f>
        <v>0.29000000000000004</v>
      </c>
      <c r="Q7" s="203">
        <f>+'Tab 0'!C38</f>
        <v>0</v>
      </c>
      <c r="R7" s="203">
        <f>+'Tab 0'!D38</f>
        <v>0.91</v>
      </c>
      <c r="S7" s="200">
        <f>N7/N$8</f>
        <v>0.1598</v>
      </c>
    </row>
    <row r="8" spans="2:19" ht="17" thickBot="1" x14ac:dyDescent="0.25">
      <c r="B8" s="194" t="s">
        <v>3</v>
      </c>
      <c r="C8" s="195"/>
      <c r="D8" s="196"/>
      <c r="E8" s="197">
        <f>+'Tab 1'!C11</f>
        <v>38442000</v>
      </c>
      <c r="F8" s="195"/>
      <c r="G8" s="196"/>
      <c r="H8" s="197">
        <f>+'Tab 1'!D11</f>
        <v>79446800</v>
      </c>
      <c r="I8" s="195"/>
      <c r="J8" s="196"/>
      <c r="K8" s="197">
        <f>+'Tab 1'!E11</f>
        <v>10251200</v>
      </c>
      <c r="L8" s="195"/>
      <c r="M8" s="196"/>
      <c r="N8" s="198">
        <f>+E8+H8+K8</f>
        <v>128140000</v>
      </c>
      <c r="P8" s="205"/>
      <c r="Q8" s="201"/>
      <c r="R8" s="201"/>
      <c r="S8" s="202"/>
    </row>
    <row r="10" spans="2:19" ht="17" thickBot="1" x14ac:dyDescent="0.25"/>
    <row r="11" spans="2:19" x14ac:dyDescent="0.2">
      <c r="B11" s="409"/>
      <c r="C11" s="412" t="s">
        <v>91</v>
      </c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4"/>
      <c r="P11" s="415" t="s">
        <v>90</v>
      </c>
      <c r="Q11" s="413"/>
      <c r="R11" s="413"/>
      <c r="S11" s="414"/>
    </row>
    <row r="12" spans="2:19" x14ac:dyDescent="0.2">
      <c r="B12" s="410"/>
      <c r="C12" s="416" t="s">
        <v>87</v>
      </c>
      <c r="D12" s="417"/>
      <c r="E12" s="418"/>
      <c r="F12" s="416" t="s">
        <v>88</v>
      </c>
      <c r="G12" s="417"/>
      <c r="H12" s="418"/>
      <c r="I12" s="416" t="s">
        <v>89</v>
      </c>
      <c r="J12" s="417"/>
      <c r="K12" s="418"/>
      <c r="L12" s="416" t="s">
        <v>3</v>
      </c>
      <c r="M12" s="417"/>
      <c r="N12" s="419"/>
      <c r="P12" s="80" t="s">
        <v>82</v>
      </c>
      <c r="Q12" s="81" t="s">
        <v>83</v>
      </c>
      <c r="R12" s="81" t="s">
        <v>63</v>
      </c>
      <c r="S12" s="199" t="s">
        <v>74</v>
      </c>
    </row>
    <row r="13" spans="2:19" x14ac:dyDescent="0.2">
      <c r="B13" s="411"/>
      <c r="C13" s="184" t="s">
        <v>86</v>
      </c>
      <c r="D13" s="185" t="s">
        <v>4</v>
      </c>
      <c r="E13" s="186" t="s">
        <v>32</v>
      </c>
      <c r="F13" s="184" t="s">
        <v>86</v>
      </c>
      <c r="G13" s="185" t="s">
        <v>4</v>
      </c>
      <c r="H13" s="186" t="s">
        <v>32</v>
      </c>
      <c r="I13" s="184" t="s">
        <v>86</v>
      </c>
      <c r="J13" s="185" t="s">
        <v>4</v>
      </c>
      <c r="K13" s="186" t="s">
        <v>32</v>
      </c>
      <c r="L13" s="184" t="s">
        <v>86</v>
      </c>
      <c r="M13" s="185" t="s">
        <v>4</v>
      </c>
      <c r="N13" s="190" t="s">
        <v>32</v>
      </c>
      <c r="P13" s="80" t="s">
        <v>32</v>
      </c>
      <c r="Q13" s="81" t="s">
        <v>32</v>
      </c>
      <c r="R13" s="81" t="s">
        <v>32</v>
      </c>
      <c r="S13" s="199" t="s">
        <v>32</v>
      </c>
    </row>
    <row r="14" spans="2:19" x14ac:dyDescent="0.2">
      <c r="B14" s="191" t="s">
        <v>84</v>
      </c>
      <c r="C14" s="187">
        <f>+E14/D14</f>
        <v>246271.12927419352</v>
      </c>
      <c r="D14" s="188">
        <f>+D6</f>
        <v>180</v>
      </c>
      <c r="E14" s="189">
        <f>+E$16*P14</f>
        <v>44328803.269354835</v>
      </c>
      <c r="F14" s="187">
        <f>+H14/G14</f>
        <v>432543.68888888886</v>
      </c>
      <c r="G14" s="188">
        <f>+G6</f>
        <v>180</v>
      </c>
      <c r="H14" s="189">
        <f>+H$16*Q14</f>
        <v>77857864</v>
      </c>
      <c r="I14" s="187">
        <f>+K14/J14</f>
        <v>3833.3333333333367</v>
      </c>
      <c r="J14" s="188">
        <f>+J6</f>
        <v>180</v>
      </c>
      <c r="K14" s="189">
        <f>+K$16*R14</f>
        <v>690000.00000000058</v>
      </c>
      <c r="L14" s="187">
        <f t="shared" ref="L14:L15" si="1">+C14+F14+I14</f>
        <v>682648.15149641572</v>
      </c>
      <c r="M14" s="188">
        <f>+N14/L14</f>
        <v>180</v>
      </c>
      <c r="N14" s="192">
        <f t="shared" ref="N14:N15" si="2">+E14+H14+K14</f>
        <v>122876667.26935484</v>
      </c>
      <c r="P14" s="207">
        <v>0.85</v>
      </c>
      <c r="Q14" s="203">
        <f>+Q6</f>
        <v>1</v>
      </c>
      <c r="R14" s="203">
        <f>1-R15</f>
        <v>5.0000000000000044E-2</v>
      </c>
      <c r="S14" s="200">
        <f>N14/N$16</f>
        <v>0.85444115344461047</v>
      </c>
    </row>
    <row r="15" spans="2:19" x14ac:dyDescent="0.2">
      <c r="B15" s="75" t="s">
        <v>85</v>
      </c>
      <c r="C15" s="33">
        <f>+E15/D15</f>
        <v>15645.459977419358</v>
      </c>
      <c r="D15" s="76">
        <f>+D7</f>
        <v>500</v>
      </c>
      <c r="E15" s="60">
        <f>+E$16*P15</f>
        <v>7822729.9887096789</v>
      </c>
      <c r="F15" s="33">
        <f>+H15/G15</f>
        <v>0</v>
      </c>
      <c r="G15" s="76">
        <f>+G7</f>
        <v>500</v>
      </c>
      <c r="H15" s="60">
        <f>+H$16*Q15</f>
        <v>0</v>
      </c>
      <c r="I15" s="33">
        <f>+K15/J15</f>
        <v>26220</v>
      </c>
      <c r="J15" s="76">
        <f>+J7</f>
        <v>500</v>
      </c>
      <c r="K15" s="60">
        <f>+K$16*R15</f>
        <v>13110000</v>
      </c>
      <c r="L15" s="33">
        <f t="shared" si="1"/>
        <v>41865.459977419356</v>
      </c>
      <c r="M15" s="76">
        <f>+N15/L15</f>
        <v>500.00000000000006</v>
      </c>
      <c r="N15" s="193">
        <f t="shared" si="2"/>
        <v>20932729.988709681</v>
      </c>
      <c r="P15" s="206">
        <f>1-P14</f>
        <v>0.15000000000000002</v>
      </c>
      <c r="Q15" s="203">
        <f>+Q7</f>
        <v>0</v>
      </c>
      <c r="R15" s="204">
        <v>0.95</v>
      </c>
      <c r="S15" s="200">
        <f>N15/N$16</f>
        <v>0.14555884655538961</v>
      </c>
    </row>
    <row r="16" spans="2:19" ht="17" thickBot="1" x14ac:dyDescent="0.25">
      <c r="B16" s="194" t="s">
        <v>3</v>
      </c>
      <c r="C16" s="195"/>
      <c r="D16" s="196"/>
      <c r="E16" s="197">
        <f>+'Tab 1'!G11</f>
        <v>52151533.258064516</v>
      </c>
      <c r="F16" s="195"/>
      <c r="G16" s="196"/>
      <c r="H16" s="197">
        <f>+'Tab 1'!H11</f>
        <v>77857864</v>
      </c>
      <c r="I16" s="195"/>
      <c r="J16" s="196"/>
      <c r="K16" s="197">
        <f>+'Tab 1'!I11</f>
        <v>13800000</v>
      </c>
      <c r="L16" s="195"/>
      <c r="M16" s="196"/>
      <c r="N16" s="198">
        <f>+E16+H16+K16</f>
        <v>143809397.25806451</v>
      </c>
      <c r="P16" s="205"/>
      <c r="Q16" s="201"/>
      <c r="R16" s="201"/>
      <c r="S16" s="202"/>
    </row>
    <row r="18" spans="2:19" ht="17" thickBot="1" x14ac:dyDescent="0.25"/>
    <row r="19" spans="2:19" x14ac:dyDescent="0.2">
      <c r="B19" s="409"/>
      <c r="C19" s="412" t="s">
        <v>135</v>
      </c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4"/>
      <c r="P19" s="415" t="s">
        <v>90</v>
      </c>
      <c r="Q19" s="413"/>
      <c r="R19" s="413"/>
      <c r="S19" s="414"/>
    </row>
    <row r="20" spans="2:19" x14ac:dyDescent="0.2">
      <c r="B20" s="410"/>
      <c r="C20" s="416" t="s">
        <v>87</v>
      </c>
      <c r="D20" s="417"/>
      <c r="E20" s="418"/>
      <c r="F20" s="416" t="s">
        <v>88</v>
      </c>
      <c r="G20" s="417"/>
      <c r="H20" s="418"/>
      <c r="I20" s="416" t="s">
        <v>89</v>
      </c>
      <c r="J20" s="417"/>
      <c r="K20" s="418"/>
      <c r="L20" s="416" t="s">
        <v>3</v>
      </c>
      <c r="M20" s="417"/>
      <c r="N20" s="419"/>
      <c r="P20" s="80" t="s">
        <v>82</v>
      </c>
      <c r="Q20" s="81" t="s">
        <v>83</v>
      </c>
      <c r="R20" s="81" t="s">
        <v>63</v>
      </c>
      <c r="S20" s="199" t="s">
        <v>74</v>
      </c>
    </row>
    <row r="21" spans="2:19" x14ac:dyDescent="0.2">
      <c r="B21" s="411"/>
      <c r="C21" s="184" t="s">
        <v>86</v>
      </c>
      <c r="D21" s="185" t="s">
        <v>4</v>
      </c>
      <c r="E21" s="186" t="s">
        <v>32</v>
      </c>
      <c r="F21" s="184" t="s">
        <v>86</v>
      </c>
      <c r="G21" s="185" t="s">
        <v>4</v>
      </c>
      <c r="H21" s="186" t="s">
        <v>32</v>
      </c>
      <c r="I21" s="184" t="s">
        <v>86</v>
      </c>
      <c r="J21" s="185" t="s">
        <v>4</v>
      </c>
      <c r="K21" s="186" t="s">
        <v>32</v>
      </c>
      <c r="L21" s="184" t="s">
        <v>86</v>
      </c>
      <c r="M21" s="185" t="s">
        <v>4</v>
      </c>
      <c r="N21" s="190" t="s">
        <v>32</v>
      </c>
      <c r="P21" s="80" t="s">
        <v>32</v>
      </c>
      <c r="Q21" s="81" t="s">
        <v>32</v>
      </c>
      <c r="R21" s="81" t="s">
        <v>32</v>
      </c>
      <c r="S21" s="199" t="s">
        <v>32</v>
      </c>
    </row>
    <row r="22" spans="2:19" x14ac:dyDescent="0.2">
      <c r="B22" s="191" t="s">
        <v>84</v>
      </c>
      <c r="C22" s="187">
        <f>+E22/D22</f>
        <v>251196.55185967742</v>
      </c>
      <c r="D22" s="188">
        <f>+D14</f>
        <v>180</v>
      </c>
      <c r="E22" s="189">
        <f>+E$24*P22</f>
        <v>45215379.334741935</v>
      </c>
      <c r="F22" s="187">
        <f>+H22/G22</f>
        <v>415241.94133333332</v>
      </c>
      <c r="G22" s="188">
        <f>+G14</f>
        <v>180</v>
      </c>
      <c r="H22" s="189">
        <f>+H$24*Q22</f>
        <v>74743549.439999998</v>
      </c>
      <c r="I22" s="187">
        <f>+K22/J22</f>
        <v>4140.0000000000036</v>
      </c>
      <c r="J22" s="188">
        <f>+J14</f>
        <v>180</v>
      </c>
      <c r="K22" s="189">
        <f>+K$24*R22</f>
        <v>745200.0000000007</v>
      </c>
      <c r="L22" s="187">
        <f t="shared" ref="L22:L23" si="3">+C22+F22+I22</f>
        <v>670578.4931930108</v>
      </c>
      <c r="M22" s="188">
        <f>+N22/L22</f>
        <v>179.99999999999997</v>
      </c>
      <c r="N22" s="192">
        <f t="shared" ref="N22:N23" si="4">+E22+H22+K22</f>
        <v>120704128.77474193</v>
      </c>
      <c r="P22" s="206">
        <f t="shared" ref="P22:R23" si="5">+P14</f>
        <v>0.85</v>
      </c>
      <c r="Q22" s="203">
        <f t="shared" si="5"/>
        <v>1</v>
      </c>
      <c r="R22" s="203">
        <f t="shared" si="5"/>
        <v>5.0000000000000044E-2</v>
      </c>
      <c r="S22" s="200">
        <f>N22/N$24</f>
        <v>0.84501780275267735</v>
      </c>
    </row>
    <row r="23" spans="2:19" x14ac:dyDescent="0.2">
      <c r="B23" s="75" t="s">
        <v>85</v>
      </c>
      <c r="C23" s="33">
        <f>+E23/D23</f>
        <v>15958.369176967744</v>
      </c>
      <c r="D23" s="76">
        <f>+D15</f>
        <v>500</v>
      </c>
      <c r="E23" s="60">
        <f>+E$24*P23</f>
        <v>7979184.5884838719</v>
      </c>
      <c r="F23" s="33">
        <f>+H23/G23</f>
        <v>0</v>
      </c>
      <c r="G23" s="76">
        <f>+G15</f>
        <v>500</v>
      </c>
      <c r="H23" s="60">
        <f>+H$24*Q23</f>
        <v>0</v>
      </c>
      <c r="I23" s="33">
        <f>+K23/J23</f>
        <v>28317.599999999999</v>
      </c>
      <c r="J23" s="76">
        <f>+J15</f>
        <v>500</v>
      </c>
      <c r="K23" s="60">
        <f>+K$24*R23</f>
        <v>14158800</v>
      </c>
      <c r="L23" s="33">
        <f t="shared" si="3"/>
        <v>44275.969176967745</v>
      </c>
      <c r="M23" s="76">
        <f>+N23/L23</f>
        <v>499.99999999999994</v>
      </c>
      <c r="N23" s="193">
        <f t="shared" si="4"/>
        <v>22137984.58848387</v>
      </c>
      <c r="P23" s="206">
        <f t="shared" si="5"/>
        <v>0.15000000000000002</v>
      </c>
      <c r="Q23" s="203">
        <f t="shared" si="5"/>
        <v>0</v>
      </c>
      <c r="R23" s="203">
        <f t="shared" si="5"/>
        <v>0.95</v>
      </c>
      <c r="S23" s="200">
        <f>N23/N$24</f>
        <v>0.15498219724732254</v>
      </c>
    </row>
    <row r="24" spans="2:19" ht="17" thickBot="1" x14ac:dyDescent="0.25">
      <c r="B24" s="194" t="s">
        <v>3</v>
      </c>
      <c r="C24" s="195"/>
      <c r="D24" s="196"/>
      <c r="E24" s="197">
        <f>+'Tab 1'!Q11</f>
        <v>53194563.923225805</v>
      </c>
      <c r="F24" s="195"/>
      <c r="G24" s="196"/>
      <c r="H24" s="197">
        <f>+'Tab 1'!R11</f>
        <v>74743549.439999998</v>
      </c>
      <c r="I24" s="195"/>
      <c r="J24" s="196"/>
      <c r="K24" s="197">
        <f>+'Tab 1'!S11</f>
        <v>14904000</v>
      </c>
      <c r="L24" s="195"/>
      <c r="M24" s="196"/>
      <c r="N24" s="198">
        <f>+E24+H24+K24</f>
        <v>142842113.36322582</v>
      </c>
      <c r="P24" s="205"/>
      <c r="Q24" s="201"/>
      <c r="R24" s="201"/>
      <c r="S24" s="202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19:B21"/>
    <mergeCell ref="C19:N19"/>
    <mergeCell ref="P19:S19"/>
    <mergeCell ref="C20:E20"/>
    <mergeCell ref="F20:H20"/>
    <mergeCell ref="I20:K20"/>
    <mergeCell ref="L20:N2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2" customWidth="1"/>
    <col min="2" max="2" width="20" style="2" customWidth="1"/>
    <col min="3" max="3" width="11.33203125" style="2" bestFit="1" customWidth="1"/>
    <col min="4" max="4" width="9.1640625" style="2"/>
    <col min="5" max="5" width="14" style="2" bestFit="1" customWidth="1"/>
    <col min="6" max="6" width="11.33203125" style="2" bestFit="1" customWidth="1"/>
    <col min="7" max="7" width="9.1640625" style="2"/>
    <col min="8" max="8" width="14" style="2" bestFit="1" customWidth="1"/>
    <col min="9" max="9" width="11.33203125" style="2" bestFit="1" customWidth="1"/>
    <col min="10" max="10" width="9.1640625" style="2"/>
    <col min="11" max="11" width="14" style="2" bestFit="1" customWidth="1"/>
    <col min="12" max="12" width="11.33203125" style="2" bestFit="1" customWidth="1"/>
    <col min="13" max="13" width="9.1640625" style="2"/>
    <col min="14" max="14" width="14" style="2" bestFit="1" customWidth="1"/>
    <col min="15" max="15" width="11.33203125" style="2" bestFit="1" customWidth="1"/>
    <col min="16" max="16" width="9.1640625" style="2"/>
    <col min="17" max="17" width="14" style="2" bestFit="1" customWidth="1"/>
    <col min="18" max="18" width="11.33203125" style="2" bestFit="1" customWidth="1"/>
    <col min="19" max="19" width="9.1640625" style="2"/>
    <col min="20" max="20" width="14" style="2" bestFit="1" customWidth="1"/>
    <col min="21" max="21" width="12.33203125" style="2" bestFit="1" customWidth="1"/>
    <col min="22" max="22" width="9.1640625" style="2"/>
    <col min="23" max="23" width="14" style="2" bestFit="1" customWidth="1"/>
    <col min="24" max="24" width="2.33203125" style="2" customWidth="1"/>
    <col min="25" max="25" width="15" style="2" bestFit="1" customWidth="1"/>
    <col min="26" max="26" width="8.6640625" style="2" bestFit="1" customWidth="1"/>
    <col min="27" max="27" width="16.5" style="2" bestFit="1" customWidth="1"/>
    <col min="28" max="28" width="8.6640625" style="2" bestFit="1" customWidth="1"/>
    <col min="29" max="29" width="10.33203125" style="2" bestFit="1" customWidth="1"/>
    <col min="30" max="30" width="8.6640625" style="2" bestFit="1" customWidth="1"/>
    <col min="31" max="31" width="10.33203125" style="2" bestFit="1" customWidth="1"/>
    <col min="32" max="33" width="8.6640625" style="2" bestFit="1" customWidth="1"/>
    <col min="34" max="34" width="12.83203125" style="2" bestFit="1" customWidth="1"/>
    <col min="35" max="35" width="9.1640625" style="2"/>
    <col min="36" max="36" width="14" style="2" bestFit="1" customWidth="1"/>
    <col min="37" max="16384" width="9.1640625" style="2"/>
  </cols>
  <sheetData>
    <row r="2" spans="2:24" x14ac:dyDescent="0.2">
      <c r="B2" s="73" t="s">
        <v>120</v>
      </c>
    </row>
    <row r="3" spans="2:24" x14ac:dyDescent="0.2">
      <c r="B3" s="11"/>
      <c r="E3" s="35"/>
    </row>
    <row r="4" spans="2:24" ht="17" thickBot="1" x14ac:dyDescent="0.25"/>
    <row r="5" spans="2:24" x14ac:dyDescent="0.2">
      <c r="B5" s="12"/>
      <c r="C5" s="436" t="s">
        <v>91</v>
      </c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8"/>
      <c r="X5" s="13"/>
    </row>
    <row r="6" spans="2:24" x14ac:dyDescent="0.2">
      <c r="B6" s="14"/>
      <c r="C6" s="440" t="s">
        <v>24</v>
      </c>
      <c r="D6" s="441"/>
      <c r="E6" s="441"/>
      <c r="F6" s="441" t="s">
        <v>25</v>
      </c>
      <c r="G6" s="441"/>
      <c r="H6" s="441"/>
      <c r="I6" s="441" t="s">
        <v>26</v>
      </c>
      <c r="J6" s="441"/>
      <c r="K6" s="441"/>
      <c r="L6" s="441" t="s">
        <v>27</v>
      </c>
      <c r="M6" s="441"/>
      <c r="N6" s="441"/>
      <c r="O6" s="441" t="s">
        <v>28</v>
      </c>
      <c r="P6" s="441"/>
      <c r="Q6" s="441"/>
      <c r="R6" s="441" t="s">
        <v>29</v>
      </c>
      <c r="S6" s="441"/>
      <c r="T6" s="416"/>
      <c r="U6" s="427" t="s">
        <v>2</v>
      </c>
      <c r="V6" s="428"/>
      <c r="W6" s="429"/>
      <c r="X6" s="15"/>
    </row>
    <row r="7" spans="2:24" x14ac:dyDescent="0.2">
      <c r="B7" s="16"/>
      <c r="C7" s="17" t="s">
        <v>0</v>
      </c>
      <c r="D7" s="15" t="s">
        <v>4</v>
      </c>
      <c r="E7" s="18" t="s">
        <v>1</v>
      </c>
      <c r="F7" s="19" t="s">
        <v>0</v>
      </c>
      <c r="G7" s="19" t="s">
        <v>4</v>
      </c>
      <c r="H7" s="20" t="s">
        <v>1</v>
      </c>
      <c r="I7" s="21" t="s">
        <v>0</v>
      </c>
      <c r="J7" s="19" t="s">
        <v>4</v>
      </c>
      <c r="K7" s="20" t="s">
        <v>1</v>
      </c>
      <c r="L7" s="21" t="s">
        <v>0</v>
      </c>
      <c r="M7" s="19" t="s">
        <v>4</v>
      </c>
      <c r="N7" s="20" t="s">
        <v>1</v>
      </c>
      <c r="O7" s="21" t="s">
        <v>0</v>
      </c>
      <c r="P7" s="19" t="s">
        <v>4</v>
      </c>
      <c r="Q7" s="20" t="s">
        <v>1</v>
      </c>
      <c r="R7" s="21" t="s">
        <v>0</v>
      </c>
      <c r="S7" s="19" t="s">
        <v>4</v>
      </c>
      <c r="T7" s="22" t="s">
        <v>1</v>
      </c>
      <c r="U7" s="23" t="s">
        <v>0</v>
      </c>
      <c r="V7" s="23" t="s">
        <v>4</v>
      </c>
      <c r="W7" s="24" t="s">
        <v>1</v>
      </c>
      <c r="X7" s="15"/>
    </row>
    <row r="8" spans="2:24" x14ac:dyDescent="0.2">
      <c r="B8" s="25"/>
      <c r="C8" s="16"/>
      <c r="E8" s="26"/>
      <c r="H8" s="26"/>
      <c r="I8" s="27"/>
      <c r="K8" s="26"/>
      <c r="L8" s="27"/>
      <c r="N8" s="26"/>
      <c r="O8" s="27"/>
      <c r="Q8" s="26"/>
      <c r="U8" s="28"/>
      <c r="V8" s="29"/>
      <c r="W8" s="30"/>
    </row>
    <row r="9" spans="2:24" x14ac:dyDescent="0.2">
      <c r="B9" s="16" t="s">
        <v>94</v>
      </c>
      <c r="C9" s="31">
        <f>QUANTITÀ!B8</f>
        <v>18863.320540150991</v>
      </c>
      <c r="D9" s="57">
        <f>PREZZI!B5</f>
        <v>180</v>
      </c>
      <c r="E9" s="60">
        <f>C9*D9</f>
        <v>3395397.6972271786</v>
      </c>
      <c r="F9" s="32">
        <f>QUANTITÀ!C8</f>
        <v>20959.245044612213</v>
      </c>
      <c r="G9" s="57">
        <f>PREZZI!C5</f>
        <v>180</v>
      </c>
      <c r="H9" s="60">
        <f>F9*G9</f>
        <v>3772664.1080301981</v>
      </c>
      <c r="I9" s="33">
        <f>QUANTITÀ!D8</f>
        <v>24103.131801304044</v>
      </c>
      <c r="J9" s="57">
        <f>PREZZI!D5</f>
        <v>180</v>
      </c>
      <c r="K9" s="60">
        <f>I9*J9</f>
        <v>4338563.7242347281</v>
      </c>
      <c r="L9" s="33">
        <f>QUANTITÀ!E8</f>
        <v>22007.207296842822</v>
      </c>
      <c r="M9" s="57">
        <f>PREZZI!E5</f>
        <v>180</v>
      </c>
      <c r="N9" s="60">
        <f>L9*M9</f>
        <v>3961297.3134317081</v>
      </c>
      <c r="O9" s="33">
        <f>QUANTITÀ!F8</f>
        <v>22007.207296842822</v>
      </c>
      <c r="P9" s="57">
        <f>PREZZI!F5</f>
        <v>180</v>
      </c>
      <c r="Q9" s="60">
        <f>O9*P9</f>
        <v>3961297.3134317081</v>
      </c>
      <c r="R9" s="32">
        <f>QUANTITÀ!G8</f>
        <v>23055.169549073435</v>
      </c>
      <c r="S9" s="57">
        <f>PREZZI!G5</f>
        <v>180</v>
      </c>
      <c r="T9" s="60">
        <f>R9*S9</f>
        <v>4149930.5188332181</v>
      </c>
      <c r="U9" s="34">
        <f>C9+F9+I9+L9+O9+R9</f>
        <v>130995.28152882634</v>
      </c>
      <c r="V9" s="62">
        <f>IFERROR(W9/U9,0)</f>
        <v>180.00000000000003</v>
      </c>
      <c r="W9" s="65">
        <f>E9+H9+K9+N9+Q9+T9</f>
        <v>23579150.675188743</v>
      </c>
      <c r="X9" s="35"/>
    </row>
    <row r="10" spans="2:24" x14ac:dyDescent="0.2">
      <c r="B10" s="16" t="s">
        <v>95</v>
      </c>
      <c r="C10" s="31">
        <f>QUANTITÀ!B9</f>
        <v>33131.005957446803</v>
      </c>
      <c r="D10" s="57">
        <f>PREZZI!B6</f>
        <v>180</v>
      </c>
      <c r="E10" s="60">
        <f>C10*D10</f>
        <v>5963581.0723404242</v>
      </c>
      <c r="F10" s="32">
        <f>QUANTITÀ!C9</f>
        <v>36812.228841607561</v>
      </c>
      <c r="G10" s="57">
        <f>PREZZI!C6</f>
        <v>180</v>
      </c>
      <c r="H10" s="60">
        <f>F10*G10</f>
        <v>6626201.1914893612</v>
      </c>
      <c r="I10" s="33">
        <f>QUANTITÀ!D9</f>
        <v>42334.063167848697</v>
      </c>
      <c r="J10" s="57">
        <f>PREZZI!D6</f>
        <v>180</v>
      </c>
      <c r="K10" s="60">
        <f>I10*J10</f>
        <v>7620131.3702127654</v>
      </c>
      <c r="L10" s="33">
        <f>QUANTITÀ!E9</f>
        <v>38652.84028368794</v>
      </c>
      <c r="M10" s="57">
        <f>PREZZI!E6</f>
        <v>180</v>
      </c>
      <c r="N10" s="60">
        <f>L10*M10</f>
        <v>6957511.2510638293</v>
      </c>
      <c r="O10" s="33">
        <f>QUANTITÀ!F9</f>
        <v>38652.84028368794</v>
      </c>
      <c r="P10" s="57">
        <f>PREZZI!F6</f>
        <v>180</v>
      </c>
      <c r="Q10" s="60">
        <f>O10*P10</f>
        <v>6957511.2510638293</v>
      </c>
      <c r="R10" s="32">
        <f>QUANTITÀ!G9</f>
        <v>40493.451725768318</v>
      </c>
      <c r="S10" s="57">
        <f>PREZZI!G6</f>
        <v>180</v>
      </c>
      <c r="T10" s="60">
        <f>R10*S10</f>
        <v>7288821.3106382973</v>
      </c>
      <c r="U10" s="34">
        <f>C10+F10+I10+L10+O10+R10</f>
        <v>230076.43026004726</v>
      </c>
      <c r="V10" s="62">
        <f t="shared" ref="V10:V12" si="0">IFERROR(W10/U10,0)</f>
        <v>180.00000000000006</v>
      </c>
      <c r="W10" s="65">
        <f>E10+H10+K10+N10+Q10+T10</f>
        <v>41413757.446808517</v>
      </c>
      <c r="X10" s="35"/>
    </row>
    <row r="11" spans="2:24" x14ac:dyDescent="0.2">
      <c r="B11" s="16" t="s">
        <v>96</v>
      </c>
      <c r="C11" s="31">
        <f>QUANTITÀ!B10</f>
        <v>293.61702127659601</v>
      </c>
      <c r="D11" s="57">
        <f>PREZZI!B7</f>
        <v>180</v>
      </c>
      <c r="E11" s="60">
        <f>C11*D11</f>
        <v>52851.063829787279</v>
      </c>
      <c r="F11" s="32">
        <f>QUANTITÀ!C10</f>
        <v>326.2411347517733</v>
      </c>
      <c r="G11" s="57">
        <f>PREZZI!C7</f>
        <v>180</v>
      </c>
      <c r="H11" s="60">
        <f>F11*G11</f>
        <v>58723.404255319198</v>
      </c>
      <c r="I11" s="33">
        <f>QUANTITÀ!D10</f>
        <v>375.1773049645393</v>
      </c>
      <c r="J11" s="57">
        <f>PREZZI!D7</f>
        <v>180</v>
      </c>
      <c r="K11" s="60">
        <f>I11*J11</f>
        <v>67531.914893617068</v>
      </c>
      <c r="L11" s="33">
        <f>QUANTITÀ!E10</f>
        <v>342.55319148936201</v>
      </c>
      <c r="M11" s="57">
        <f>PREZZI!E7</f>
        <v>180</v>
      </c>
      <c r="N11" s="60">
        <f>L11*M11</f>
        <v>61659.574468085164</v>
      </c>
      <c r="O11" s="33">
        <f>QUANTITÀ!F10</f>
        <v>342.55319148936201</v>
      </c>
      <c r="P11" s="57">
        <f>PREZZI!F7</f>
        <v>180</v>
      </c>
      <c r="Q11" s="60">
        <f>O11*P11</f>
        <v>61659.574468085164</v>
      </c>
      <c r="R11" s="32">
        <f>QUANTITÀ!G10</f>
        <v>358.86524822695065</v>
      </c>
      <c r="S11" s="57">
        <f>PREZZI!G7</f>
        <v>180</v>
      </c>
      <c r="T11" s="60">
        <f>R11*S11</f>
        <v>64595.744680851116</v>
      </c>
      <c r="U11" s="34">
        <f>C11+F11+I11+L11+O11+R11</f>
        <v>2039.0070921985832</v>
      </c>
      <c r="V11" s="62">
        <f t="shared" si="0"/>
        <v>180</v>
      </c>
      <c r="W11" s="65">
        <f>E11+H11+K11+N11+Q11+T11</f>
        <v>367021.276595745</v>
      </c>
      <c r="X11" s="35"/>
    </row>
    <row r="12" spans="2:24" s="11" customFormat="1" ht="17" thickBot="1" x14ac:dyDescent="0.25">
      <c r="B12" s="36" t="s">
        <v>84</v>
      </c>
      <c r="C12" s="37">
        <f>SUM(C9:C11)</f>
        <v>52287.943518874388</v>
      </c>
      <c r="D12" s="58">
        <f>E12/C12</f>
        <v>180</v>
      </c>
      <c r="E12" s="61">
        <f>SUM(E9:E11)</f>
        <v>9411829.8333973903</v>
      </c>
      <c r="F12" s="38">
        <f>SUM(F9:F11)</f>
        <v>58097.71502097154</v>
      </c>
      <c r="G12" s="58">
        <f>H12/F12</f>
        <v>180.00000000000003</v>
      </c>
      <c r="H12" s="61">
        <f>SUM(H9:H11)</f>
        <v>10457588.703774879</v>
      </c>
      <c r="I12" s="39">
        <f>SUM(I9:I11)</f>
        <v>66812.372274117282</v>
      </c>
      <c r="J12" s="58">
        <f>K12/I12</f>
        <v>180</v>
      </c>
      <c r="K12" s="61">
        <f>SUM(K9:K11)</f>
        <v>12026227.009341111</v>
      </c>
      <c r="L12" s="39">
        <f>SUM(L9:L11)</f>
        <v>61002.600772020131</v>
      </c>
      <c r="M12" s="58">
        <f>N12/L12</f>
        <v>180</v>
      </c>
      <c r="N12" s="61">
        <f>SUM(N9:N11)</f>
        <v>10980468.138963623</v>
      </c>
      <c r="O12" s="39">
        <f>SUM(O9:O11)</f>
        <v>61002.600772020131</v>
      </c>
      <c r="P12" s="58">
        <f>Q12/O12</f>
        <v>180</v>
      </c>
      <c r="Q12" s="61">
        <f>SUM(Q9:Q11)</f>
        <v>10980468.138963623</v>
      </c>
      <c r="R12" s="38">
        <f>SUM(R9:R11)</f>
        <v>63907.486523068706</v>
      </c>
      <c r="S12" s="58">
        <f>T12/R12</f>
        <v>180</v>
      </c>
      <c r="T12" s="61">
        <f>SUM(T9:T11)</f>
        <v>11503347.574152367</v>
      </c>
      <c r="U12" s="37">
        <f>SUM(U9:U11)</f>
        <v>363110.71888107219</v>
      </c>
      <c r="V12" s="63">
        <f t="shared" si="0"/>
        <v>180.00000000000003</v>
      </c>
      <c r="W12" s="66">
        <f>SUM(W9:W11)</f>
        <v>65359929.398593001</v>
      </c>
      <c r="X12" s="40"/>
    </row>
    <row r="13" spans="2:24" x14ac:dyDescent="0.2">
      <c r="B13" s="16"/>
      <c r="C13" s="16"/>
      <c r="D13" s="57"/>
      <c r="E13" s="60"/>
      <c r="G13" s="57"/>
      <c r="H13" s="60"/>
      <c r="I13" s="27"/>
      <c r="J13" s="57"/>
      <c r="K13" s="60"/>
      <c r="L13" s="27"/>
      <c r="M13" s="57"/>
      <c r="N13" s="60"/>
      <c r="O13" s="27"/>
      <c r="P13" s="57"/>
      <c r="Q13" s="60"/>
      <c r="S13" s="57"/>
      <c r="T13" s="60"/>
      <c r="U13" s="28"/>
      <c r="V13" s="64"/>
      <c r="W13" s="65"/>
    </row>
    <row r="14" spans="2:24" x14ac:dyDescent="0.2">
      <c r="B14" s="25"/>
      <c r="C14" s="16"/>
      <c r="D14" s="57"/>
      <c r="E14" s="60"/>
      <c r="G14" s="57"/>
      <c r="H14" s="60"/>
      <c r="I14" s="27"/>
      <c r="J14" s="57"/>
      <c r="K14" s="60"/>
      <c r="L14" s="27"/>
      <c r="M14" s="57"/>
      <c r="N14" s="60"/>
      <c r="O14" s="27"/>
      <c r="P14" s="57"/>
      <c r="Q14" s="60"/>
      <c r="S14" s="57"/>
      <c r="T14" s="60"/>
      <c r="U14" s="28"/>
      <c r="V14" s="64"/>
      <c r="W14" s="65"/>
    </row>
    <row r="15" spans="2:24" x14ac:dyDescent="0.2">
      <c r="B15" s="16" t="s">
        <v>94</v>
      </c>
      <c r="C15" s="31">
        <f>QUANTITÀ!B15</f>
        <v>1198.375657844887</v>
      </c>
      <c r="D15" s="57">
        <f>PREZZI!B12</f>
        <v>500</v>
      </c>
      <c r="E15" s="60">
        <f>C15*D15</f>
        <v>599187.82892244344</v>
      </c>
      <c r="F15" s="32">
        <f>QUANTITÀ!C15</f>
        <v>1331.528508716541</v>
      </c>
      <c r="G15" s="57">
        <f>PREZZI!C12</f>
        <v>500</v>
      </c>
      <c r="H15" s="60">
        <f>F15*G15</f>
        <v>665764.25435827044</v>
      </c>
      <c r="I15" s="33">
        <f>QUANTITÀ!D15</f>
        <v>1531.257785024022</v>
      </c>
      <c r="J15" s="57">
        <f>PREZZI!D12</f>
        <v>500</v>
      </c>
      <c r="K15" s="60">
        <f>I15*J15</f>
        <v>765628.89251201099</v>
      </c>
      <c r="L15" s="33">
        <f>QUANTITÀ!E15</f>
        <v>1398.1049341523681</v>
      </c>
      <c r="M15" s="57">
        <f>PREZZI!E12</f>
        <v>500</v>
      </c>
      <c r="N15" s="60">
        <f>L15*M15</f>
        <v>699052.467076184</v>
      </c>
      <c r="O15" s="33">
        <f>QUANTITÀ!F15</f>
        <v>1398.1049341523681</v>
      </c>
      <c r="P15" s="57">
        <f>PREZZI!F12</f>
        <v>500</v>
      </c>
      <c r="Q15" s="60">
        <f>O15*P15</f>
        <v>699052.467076184</v>
      </c>
      <c r="R15" s="32">
        <f>QUANTITÀ!G15</f>
        <v>1464.6813595881949</v>
      </c>
      <c r="S15" s="57">
        <f>PREZZI!G12</f>
        <v>500</v>
      </c>
      <c r="T15" s="60">
        <f>R15*S15</f>
        <v>732340.67979409744</v>
      </c>
      <c r="U15" s="34">
        <f>C15+F15+I15+L15+O15+R15</f>
        <v>8322.0531794783819</v>
      </c>
      <c r="V15" s="62">
        <f>IFERROR(W15/U15,0)</f>
        <v>499.99999999999994</v>
      </c>
      <c r="W15" s="65">
        <f>E15+H15+K15+N15+Q15+T15</f>
        <v>4161026.5897391904</v>
      </c>
      <c r="X15" s="35"/>
    </row>
    <row r="16" spans="2:24" x14ac:dyDescent="0.2">
      <c r="B16" s="16" t="s">
        <v>95</v>
      </c>
      <c r="C16" s="31">
        <f>QUANTITÀ!B16</f>
        <v>0</v>
      </c>
      <c r="D16" s="57">
        <f>PREZZI!B13</f>
        <v>500</v>
      </c>
      <c r="E16" s="60">
        <f>C16*D16</f>
        <v>0</v>
      </c>
      <c r="F16" s="32">
        <f>QUANTITÀ!C16</f>
        <v>0</v>
      </c>
      <c r="G16" s="57">
        <f>PREZZI!C13</f>
        <v>500</v>
      </c>
      <c r="H16" s="60">
        <f>F16*G16</f>
        <v>0</v>
      </c>
      <c r="I16" s="33">
        <f>QUANTITÀ!D16</f>
        <v>0</v>
      </c>
      <c r="J16" s="57">
        <f>PREZZI!D13</f>
        <v>500</v>
      </c>
      <c r="K16" s="60">
        <f>I16*J16</f>
        <v>0</v>
      </c>
      <c r="L16" s="33">
        <f>QUANTITÀ!E16</f>
        <v>0</v>
      </c>
      <c r="M16" s="57">
        <f>PREZZI!E13</f>
        <v>500</v>
      </c>
      <c r="N16" s="60">
        <f>L16*M16</f>
        <v>0</v>
      </c>
      <c r="O16" s="33">
        <f>QUANTITÀ!F16</f>
        <v>0</v>
      </c>
      <c r="P16" s="57">
        <f>PREZZI!F13</f>
        <v>500</v>
      </c>
      <c r="Q16" s="60">
        <f>O16*P16</f>
        <v>0</v>
      </c>
      <c r="R16" s="32">
        <f>QUANTITÀ!G16</f>
        <v>0</v>
      </c>
      <c r="S16" s="57">
        <f>PREZZI!G13</f>
        <v>500</v>
      </c>
      <c r="T16" s="60">
        <f>R16*S16</f>
        <v>0</v>
      </c>
      <c r="U16" s="34">
        <f>C16+F16+I16+L16+O16+R16</f>
        <v>0</v>
      </c>
      <c r="V16" s="62">
        <f t="shared" ref="V16:V18" si="1">IFERROR(W16/U16,0)</f>
        <v>0</v>
      </c>
      <c r="W16" s="65">
        <f>E16+H16+K16+N16+Q16+T16</f>
        <v>0</v>
      </c>
      <c r="X16" s="35"/>
    </row>
    <row r="17" spans="2:111" x14ac:dyDescent="0.2">
      <c r="B17" s="16" t="s">
        <v>96</v>
      </c>
      <c r="C17" s="31">
        <f>QUANTITÀ!B17</f>
        <v>2008.3404255319151</v>
      </c>
      <c r="D17" s="57">
        <f>PREZZI!B14</f>
        <v>500</v>
      </c>
      <c r="E17" s="60">
        <f>C17*D17</f>
        <v>1004170.2127659576</v>
      </c>
      <c r="F17" s="32">
        <f>QUANTITÀ!C17</f>
        <v>2231.489361702128</v>
      </c>
      <c r="G17" s="57">
        <f>PREZZI!C14</f>
        <v>500</v>
      </c>
      <c r="H17" s="60">
        <f>F17*G17</f>
        <v>1115744.6808510639</v>
      </c>
      <c r="I17" s="33">
        <f>QUANTITÀ!D17</f>
        <v>2566.2127659574471</v>
      </c>
      <c r="J17" s="57">
        <f>PREZZI!D14</f>
        <v>500</v>
      </c>
      <c r="K17" s="60">
        <f>I17*J17</f>
        <v>1283106.3829787236</v>
      </c>
      <c r="L17" s="33">
        <f>QUANTITÀ!E17</f>
        <v>2343.0638297872342</v>
      </c>
      <c r="M17" s="57">
        <f>PREZZI!E14</f>
        <v>500</v>
      </c>
      <c r="N17" s="60">
        <f>L17*M17</f>
        <v>1171531.9148936172</v>
      </c>
      <c r="O17" s="33">
        <f>QUANTITÀ!F17</f>
        <v>2343.0638297872342</v>
      </c>
      <c r="P17" s="57">
        <f>PREZZI!F14</f>
        <v>500</v>
      </c>
      <c r="Q17" s="60">
        <f>O17*P17</f>
        <v>1171531.9148936172</v>
      </c>
      <c r="R17" s="32">
        <f>QUANTITÀ!G17</f>
        <v>2454.6382978723404</v>
      </c>
      <c r="S17" s="57">
        <f>PREZZI!G14</f>
        <v>500</v>
      </c>
      <c r="T17" s="60">
        <f>R17*S17</f>
        <v>1227319.1489361702</v>
      </c>
      <c r="U17" s="34">
        <f>C17+F17+I17+L17+O17+R17</f>
        <v>13946.808510638297</v>
      </c>
      <c r="V17" s="62">
        <f t="shared" si="1"/>
        <v>500.00000000000006</v>
      </c>
      <c r="W17" s="65">
        <f>E17+H17+K17+N17+Q17+T17</f>
        <v>6973404.2553191492</v>
      </c>
      <c r="X17" s="35"/>
    </row>
    <row r="18" spans="2:111" ht="17" thickBot="1" x14ac:dyDescent="0.25">
      <c r="B18" s="36" t="s">
        <v>85</v>
      </c>
      <c r="C18" s="37">
        <f>SUM(C15:C17)</f>
        <v>3206.7160833768021</v>
      </c>
      <c r="D18" s="58">
        <f>E18/C18</f>
        <v>500</v>
      </c>
      <c r="E18" s="61">
        <f>SUM(E15:E17)</f>
        <v>1603358.041688401</v>
      </c>
      <c r="F18" s="38">
        <f>SUM(F15:F17)</f>
        <v>3563.0178704186692</v>
      </c>
      <c r="G18" s="58">
        <f>H18/F18</f>
        <v>499.99999999999994</v>
      </c>
      <c r="H18" s="61">
        <f>SUM(H15:H17)</f>
        <v>1781508.9352093344</v>
      </c>
      <c r="I18" s="39">
        <f>SUM(I15:I17)</f>
        <v>4097.4705509814694</v>
      </c>
      <c r="J18" s="58">
        <f>K18/I18</f>
        <v>500</v>
      </c>
      <c r="K18" s="61">
        <f>SUM(K15:K17)</f>
        <v>2048735.2754907347</v>
      </c>
      <c r="L18" s="39">
        <f>SUM(L15:L17)</f>
        <v>3741.1687639396023</v>
      </c>
      <c r="M18" s="58">
        <f>N18/L18</f>
        <v>500</v>
      </c>
      <c r="N18" s="61">
        <f>SUM(N15:N17)</f>
        <v>1870584.3819698012</v>
      </c>
      <c r="O18" s="39">
        <f>SUM(O15:O17)</f>
        <v>3741.1687639396023</v>
      </c>
      <c r="P18" s="58">
        <f>Q18/O18</f>
        <v>500</v>
      </c>
      <c r="Q18" s="61">
        <f>SUM(Q15:Q17)</f>
        <v>1870584.3819698012</v>
      </c>
      <c r="R18" s="38">
        <f>SUM(R15:R17)</f>
        <v>3919.3196574605354</v>
      </c>
      <c r="S18" s="58">
        <f>T18/R18</f>
        <v>499.99999999999994</v>
      </c>
      <c r="T18" s="61">
        <f>SUM(T15:T17)</f>
        <v>1959659.8287302675</v>
      </c>
      <c r="U18" s="37">
        <f>SUM(U15:U17)</f>
        <v>22268.861690116679</v>
      </c>
      <c r="V18" s="63">
        <f t="shared" si="1"/>
        <v>500.00000000000006</v>
      </c>
      <c r="W18" s="66">
        <f>SUM(W15:W17)</f>
        <v>11134430.845058341</v>
      </c>
      <c r="X18" s="4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</row>
    <row r="19" spans="2:111" x14ac:dyDescent="0.2">
      <c r="B19" s="16"/>
      <c r="C19" s="16"/>
      <c r="D19" s="57"/>
      <c r="E19" s="60"/>
      <c r="G19" s="57"/>
      <c r="H19" s="60"/>
      <c r="I19" s="27"/>
      <c r="J19" s="57"/>
      <c r="K19" s="60"/>
      <c r="L19" s="27"/>
      <c r="M19" s="57"/>
      <c r="N19" s="60"/>
      <c r="O19" s="27"/>
      <c r="P19" s="57"/>
      <c r="Q19" s="60"/>
      <c r="S19" s="57"/>
      <c r="T19" s="60"/>
      <c r="U19" s="28"/>
      <c r="V19" s="64"/>
      <c r="W19" s="65"/>
      <c r="X19" s="40"/>
      <c r="Y19" s="35"/>
      <c r="Z19" s="43"/>
      <c r="AA19" s="43"/>
    </row>
    <row r="20" spans="2:111" x14ac:dyDescent="0.2">
      <c r="B20" s="25"/>
      <c r="C20" s="16"/>
      <c r="D20" s="57"/>
      <c r="E20" s="60"/>
      <c r="G20" s="57"/>
      <c r="H20" s="60"/>
      <c r="I20" s="27"/>
      <c r="J20" s="57"/>
      <c r="K20" s="60"/>
      <c r="L20" s="27"/>
      <c r="M20" s="57"/>
      <c r="N20" s="60"/>
      <c r="O20" s="27"/>
      <c r="P20" s="57"/>
      <c r="Q20" s="60"/>
      <c r="S20" s="57"/>
      <c r="T20" s="60"/>
      <c r="U20" s="28"/>
      <c r="V20" s="64"/>
      <c r="W20" s="65"/>
      <c r="X20" s="40"/>
      <c r="Y20" s="35"/>
      <c r="Z20" s="43"/>
      <c r="AA20" s="43"/>
    </row>
    <row r="21" spans="2:111" x14ac:dyDescent="0.2">
      <c r="B21" s="16" t="s">
        <v>94</v>
      </c>
      <c r="C21" s="41">
        <f>C9+C15</f>
        <v>20061.69619799588</v>
      </c>
      <c r="D21" s="59">
        <f>E21/C21</f>
        <v>199.11504424778761</v>
      </c>
      <c r="E21" s="60">
        <f>E9+E15</f>
        <v>3994585.5261496222</v>
      </c>
      <c r="F21" s="41">
        <f>F9+F15</f>
        <v>22290.773553328752</v>
      </c>
      <c r="G21" s="59">
        <f>H21/F21</f>
        <v>199.11504424778761</v>
      </c>
      <c r="H21" s="60">
        <f>H9+H15</f>
        <v>4438428.3623884683</v>
      </c>
      <c r="I21" s="41">
        <f>I9+I15</f>
        <v>25634.389586328067</v>
      </c>
      <c r="J21" s="59">
        <f>K21/I21</f>
        <v>199.11504424778764</v>
      </c>
      <c r="K21" s="60">
        <f>K9+K15</f>
        <v>5104192.6167467395</v>
      </c>
      <c r="L21" s="41">
        <f>L9+L15</f>
        <v>23405.31223099519</v>
      </c>
      <c r="M21" s="59">
        <f>N21/L21</f>
        <v>199.11504424778764</v>
      </c>
      <c r="N21" s="60">
        <f>N9+N15</f>
        <v>4660349.7805078924</v>
      </c>
      <c r="O21" s="41">
        <f>O9+O15</f>
        <v>23405.31223099519</v>
      </c>
      <c r="P21" s="59">
        <f>Q21/O21</f>
        <v>199.11504424778764</v>
      </c>
      <c r="Q21" s="60">
        <f>Q9+Q15</f>
        <v>4660349.7805078924</v>
      </c>
      <c r="R21" s="41">
        <f>R9+R15</f>
        <v>24519.850908661629</v>
      </c>
      <c r="S21" s="59">
        <f>T21/R21</f>
        <v>199.11504424778761</v>
      </c>
      <c r="T21" s="60">
        <f>T9+T15</f>
        <v>4882271.1986273155</v>
      </c>
      <c r="U21" s="34">
        <f>C21+F21+I21+L21+O21+R21</f>
        <v>139317.3347083047</v>
      </c>
      <c r="V21" s="62">
        <f>IFERROR(W21/U21,0)</f>
        <v>199.11504424778764</v>
      </c>
      <c r="W21" s="65">
        <f>E21+H21+K21+N21+Q21+T21</f>
        <v>27740177.264927931</v>
      </c>
      <c r="X21" s="40"/>
      <c r="Y21" s="35"/>
      <c r="Z21" s="43"/>
      <c r="AA21" s="43"/>
    </row>
    <row r="22" spans="2:111" x14ac:dyDescent="0.2">
      <c r="B22" s="16" t="s">
        <v>95</v>
      </c>
      <c r="C22" s="41">
        <f t="shared" ref="C22:C23" si="2">C10+C16</f>
        <v>33131.005957446803</v>
      </c>
      <c r="D22" s="59">
        <f>E22/C22</f>
        <v>180</v>
      </c>
      <c r="E22" s="60">
        <f t="shared" ref="E22:F23" si="3">E10+E16</f>
        <v>5963581.0723404242</v>
      </c>
      <c r="F22" s="41">
        <f t="shared" si="3"/>
        <v>36812.228841607561</v>
      </c>
      <c r="G22" s="59">
        <f>H22/F22</f>
        <v>180</v>
      </c>
      <c r="H22" s="60">
        <f t="shared" ref="H22:I23" si="4">H10+H16</f>
        <v>6626201.1914893612</v>
      </c>
      <c r="I22" s="41">
        <f t="shared" si="4"/>
        <v>42334.063167848697</v>
      </c>
      <c r="J22" s="59">
        <f>K22/I22</f>
        <v>180</v>
      </c>
      <c r="K22" s="60">
        <f t="shared" ref="K22:L23" si="5">K10+K16</f>
        <v>7620131.3702127654</v>
      </c>
      <c r="L22" s="41">
        <f t="shared" si="5"/>
        <v>38652.84028368794</v>
      </c>
      <c r="M22" s="59">
        <f>N22/L22</f>
        <v>180</v>
      </c>
      <c r="N22" s="60">
        <f t="shared" ref="N22:O23" si="6">N10+N16</f>
        <v>6957511.2510638293</v>
      </c>
      <c r="O22" s="41">
        <f t="shared" si="6"/>
        <v>38652.84028368794</v>
      </c>
      <c r="P22" s="59">
        <f>Q22/O22</f>
        <v>180</v>
      </c>
      <c r="Q22" s="60">
        <f t="shared" ref="Q22:R23" si="7">Q10+Q16</f>
        <v>6957511.2510638293</v>
      </c>
      <c r="R22" s="41">
        <f t="shared" si="7"/>
        <v>40493.451725768318</v>
      </c>
      <c r="S22" s="59">
        <f>T22/R22</f>
        <v>180</v>
      </c>
      <c r="T22" s="60">
        <f t="shared" ref="T22" si="8">T10+T16</f>
        <v>7288821.3106382973</v>
      </c>
      <c r="U22" s="34">
        <f>C22+F22+I22+L22+O22+R22</f>
        <v>230076.43026004726</v>
      </c>
      <c r="V22" s="62">
        <f t="shared" ref="V22:V24" si="9">IFERROR(W22/U22,0)</f>
        <v>180.00000000000006</v>
      </c>
      <c r="W22" s="65">
        <f>E22+H22+K22+N22+Q22+T22</f>
        <v>41413757.446808517</v>
      </c>
      <c r="X22" s="40"/>
      <c r="Y22" s="35"/>
      <c r="Z22" s="43"/>
      <c r="AA22" s="43"/>
    </row>
    <row r="23" spans="2:111" x14ac:dyDescent="0.2">
      <c r="B23" s="16" t="s">
        <v>96</v>
      </c>
      <c r="C23" s="41">
        <f t="shared" si="2"/>
        <v>2301.9574468085111</v>
      </c>
      <c r="D23" s="59">
        <f>E23/C23</f>
        <v>459.18367346938771</v>
      </c>
      <c r="E23" s="60">
        <f t="shared" si="3"/>
        <v>1057021.2765957448</v>
      </c>
      <c r="F23" s="41">
        <f t="shared" si="3"/>
        <v>2557.7304964539012</v>
      </c>
      <c r="G23" s="59">
        <f>H23/F23</f>
        <v>459.18367346938771</v>
      </c>
      <c r="H23" s="60">
        <f t="shared" ref="H23" si="10">H11+H17</f>
        <v>1174468.0851063831</v>
      </c>
      <c r="I23" s="41">
        <f t="shared" si="4"/>
        <v>2941.3900709219865</v>
      </c>
      <c r="J23" s="59">
        <f>K23/I23</f>
        <v>459.18367346938777</v>
      </c>
      <c r="K23" s="60">
        <f t="shared" ref="K23" si="11">K11+K17</f>
        <v>1350638.2978723408</v>
      </c>
      <c r="L23" s="41">
        <f t="shared" si="5"/>
        <v>2685.6170212765965</v>
      </c>
      <c r="M23" s="59">
        <f>N23/L23</f>
        <v>459.18367346938766</v>
      </c>
      <c r="N23" s="60">
        <f t="shared" ref="N23" si="12">N11+N17</f>
        <v>1233191.4893617022</v>
      </c>
      <c r="O23" s="41">
        <f t="shared" si="6"/>
        <v>2685.6170212765965</v>
      </c>
      <c r="P23" s="59">
        <f>Q23/O23</f>
        <v>459.18367346938766</v>
      </c>
      <c r="Q23" s="60">
        <f t="shared" ref="Q23" si="13">Q11+Q17</f>
        <v>1233191.4893617022</v>
      </c>
      <c r="R23" s="41">
        <f t="shared" si="7"/>
        <v>2813.5035460992913</v>
      </c>
      <c r="S23" s="59">
        <f>T23/R23</f>
        <v>459.18367346938771</v>
      </c>
      <c r="T23" s="60">
        <f t="shared" ref="T23" si="14">T11+T17</f>
        <v>1291914.8936170214</v>
      </c>
      <c r="U23" s="34">
        <f>C23+F23+I23+L23+O23+R23</f>
        <v>15985.815602836883</v>
      </c>
      <c r="V23" s="62">
        <f t="shared" si="9"/>
        <v>459.18367346938777</v>
      </c>
      <c r="W23" s="65">
        <f>E23+H23+K23+N23+Q23+T23</f>
        <v>7340425.5319148954</v>
      </c>
      <c r="X23" s="40"/>
      <c r="Y23" s="35"/>
      <c r="Z23" s="43"/>
      <c r="AA23" s="43"/>
    </row>
    <row r="24" spans="2:111" ht="17" thickBot="1" x14ac:dyDescent="0.25">
      <c r="B24" s="36" t="s">
        <v>3</v>
      </c>
      <c r="C24" s="37">
        <f>SUM(C21:C23)</f>
        <v>55494.659602251195</v>
      </c>
      <c r="D24" s="58">
        <f>E24/C24</f>
        <v>198.49095307612177</v>
      </c>
      <c r="E24" s="61">
        <f>SUM(E21:E23)</f>
        <v>11015187.875085792</v>
      </c>
      <c r="F24" s="37">
        <f>SUM(F21:F23)</f>
        <v>61660.732891390209</v>
      </c>
      <c r="G24" s="58">
        <f>H24/F24</f>
        <v>198.4909530761218</v>
      </c>
      <c r="H24" s="61">
        <f>SUM(H21:H23)</f>
        <v>12239097.638984215</v>
      </c>
      <c r="I24" s="37">
        <f>SUM(I21:I23)</f>
        <v>70909.842825098749</v>
      </c>
      <c r="J24" s="58">
        <f>K24/I24</f>
        <v>198.49095307612177</v>
      </c>
      <c r="K24" s="61">
        <f>SUM(K21:K23)</f>
        <v>14074962.284831846</v>
      </c>
      <c r="L24" s="37">
        <f>SUM(L21:L23)</f>
        <v>64743.76953595972</v>
      </c>
      <c r="M24" s="58">
        <f>N24/L24</f>
        <v>198.49095307612177</v>
      </c>
      <c r="N24" s="61">
        <f>SUM(N21:N23)</f>
        <v>12851052.520933423</v>
      </c>
      <c r="O24" s="37">
        <f>SUM(O21:O23)</f>
        <v>64743.76953595972</v>
      </c>
      <c r="P24" s="58">
        <f>Q24/O24</f>
        <v>198.49095307612177</v>
      </c>
      <c r="Q24" s="61">
        <f>SUM(Q21:Q23)</f>
        <v>12851052.520933423</v>
      </c>
      <c r="R24" s="37">
        <f>SUM(R21:R23)</f>
        <v>67826.806180529238</v>
      </c>
      <c r="S24" s="58">
        <f>T24/R24</f>
        <v>198.49095307612174</v>
      </c>
      <c r="T24" s="61">
        <f>SUM(T21:T23)</f>
        <v>13463007.402882634</v>
      </c>
      <c r="U24" s="37">
        <f>SUM(U21:U23)</f>
        <v>385379.58057118882</v>
      </c>
      <c r="V24" s="63">
        <f t="shared" si="9"/>
        <v>198.49095307612177</v>
      </c>
      <c r="W24" s="66">
        <f>SUM(W21:W23)</f>
        <v>76494360.24365133</v>
      </c>
      <c r="X24" s="40"/>
      <c r="Y24" s="35"/>
      <c r="Z24" s="43"/>
      <c r="AA24" s="43"/>
    </row>
    <row r="25" spans="2:111" x14ac:dyDescent="0.2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0"/>
      <c r="Y25" s="35"/>
      <c r="Z25" s="43"/>
      <c r="AA25" s="43"/>
    </row>
    <row r="26" spans="2:111" x14ac:dyDescent="0.2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0"/>
      <c r="Y26" s="35"/>
      <c r="Z26" s="43"/>
      <c r="AA26" s="43"/>
    </row>
    <row r="27" spans="2:111" x14ac:dyDescent="0.2">
      <c r="W27" s="35"/>
    </row>
    <row r="28" spans="2:111" ht="17" thickBot="1" x14ac:dyDescent="0.25"/>
    <row r="29" spans="2:111" x14ac:dyDescent="0.2">
      <c r="B29" s="12"/>
      <c r="C29" s="436" t="s">
        <v>91</v>
      </c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8"/>
      <c r="X29" s="13"/>
      <c r="Y29" s="430" t="s">
        <v>3</v>
      </c>
      <c r="Z29" s="431"/>
      <c r="AA29" s="432"/>
    </row>
    <row r="30" spans="2:111" x14ac:dyDescent="0.2">
      <c r="B30" s="14"/>
      <c r="C30" s="439" t="s">
        <v>18</v>
      </c>
      <c r="D30" s="417"/>
      <c r="E30" s="418"/>
      <c r="F30" s="424" t="s">
        <v>19</v>
      </c>
      <c r="G30" s="425"/>
      <c r="H30" s="426"/>
      <c r="I30" s="424" t="s">
        <v>20</v>
      </c>
      <c r="J30" s="425"/>
      <c r="K30" s="426"/>
      <c r="L30" s="424" t="s">
        <v>21</v>
      </c>
      <c r="M30" s="425"/>
      <c r="N30" s="426"/>
      <c r="O30" s="424" t="s">
        <v>22</v>
      </c>
      <c r="P30" s="425"/>
      <c r="Q30" s="426"/>
      <c r="R30" s="424" t="s">
        <v>23</v>
      </c>
      <c r="S30" s="425"/>
      <c r="T30" s="426"/>
      <c r="U30" s="427" t="s">
        <v>170</v>
      </c>
      <c r="V30" s="428"/>
      <c r="W30" s="429"/>
      <c r="X30" s="15"/>
      <c r="Y30" s="433"/>
      <c r="Z30" s="434"/>
      <c r="AA30" s="435"/>
    </row>
    <row r="31" spans="2:111" x14ac:dyDescent="0.2">
      <c r="B31" s="16"/>
      <c r="C31" s="17" t="s">
        <v>0</v>
      </c>
      <c r="D31" s="15" t="s">
        <v>4</v>
      </c>
      <c r="E31" s="18" t="s">
        <v>1</v>
      </c>
      <c r="F31" s="19" t="s">
        <v>0</v>
      </c>
      <c r="G31" s="19" t="s">
        <v>4</v>
      </c>
      <c r="H31" s="20" t="s">
        <v>1</v>
      </c>
      <c r="I31" s="21" t="s">
        <v>0</v>
      </c>
      <c r="J31" s="19" t="s">
        <v>4</v>
      </c>
      <c r="K31" s="20" t="s">
        <v>1</v>
      </c>
      <c r="L31" s="21" t="s">
        <v>0</v>
      </c>
      <c r="M31" s="19" t="s">
        <v>4</v>
      </c>
      <c r="N31" s="20" t="s">
        <v>1</v>
      </c>
      <c r="O31" s="21" t="s">
        <v>0</v>
      </c>
      <c r="P31" s="19" t="s">
        <v>4</v>
      </c>
      <c r="Q31" s="20" t="s">
        <v>1</v>
      </c>
      <c r="R31" s="21" t="s">
        <v>0</v>
      </c>
      <c r="S31" s="19" t="s">
        <v>4</v>
      </c>
      <c r="T31" s="22" t="s">
        <v>1</v>
      </c>
      <c r="U31" s="23" t="s">
        <v>0</v>
      </c>
      <c r="V31" s="23" t="s">
        <v>4</v>
      </c>
      <c r="W31" s="24" t="s">
        <v>1</v>
      </c>
      <c r="X31" s="15"/>
      <c r="Y31" s="46" t="s">
        <v>0</v>
      </c>
      <c r="Z31" s="23" t="s">
        <v>4</v>
      </c>
      <c r="AA31" s="24" t="s">
        <v>1</v>
      </c>
    </row>
    <row r="32" spans="2:111" x14ac:dyDescent="0.2">
      <c r="B32" s="25"/>
      <c r="C32" s="16"/>
      <c r="E32" s="26"/>
      <c r="H32" s="26"/>
      <c r="I32" s="27"/>
      <c r="K32" s="26"/>
      <c r="L32" s="27"/>
      <c r="N32" s="26"/>
      <c r="O32" s="27"/>
      <c r="Q32" s="26"/>
      <c r="U32" s="28"/>
      <c r="V32" s="29"/>
      <c r="W32" s="30"/>
      <c r="Y32" s="28"/>
      <c r="Z32" s="29"/>
      <c r="AA32" s="30"/>
    </row>
    <row r="33" spans="2:32" x14ac:dyDescent="0.2">
      <c r="B33" s="16" t="s">
        <v>94</v>
      </c>
      <c r="C33" s="31">
        <f>QUANTITÀ!H8</f>
        <v>23055.169549073435</v>
      </c>
      <c r="D33" s="57">
        <f>PREZZI!H5</f>
        <v>180</v>
      </c>
      <c r="E33" s="60">
        <f>C33*D33</f>
        <v>4149930.5188332181</v>
      </c>
      <c r="F33" s="32">
        <f>QUANTITÀ!I8</f>
        <v>12575.547026767326</v>
      </c>
      <c r="G33" s="57">
        <f>PREZZI!I5</f>
        <v>180</v>
      </c>
      <c r="H33" s="60">
        <f>F33*G33</f>
        <v>2263598.4648181186</v>
      </c>
      <c r="I33" s="33">
        <f>QUANTITÀ!J8</f>
        <v>23055.169549073435</v>
      </c>
      <c r="J33" s="57">
        <f>PREZZI!J5</f>
        <v>180</v>
      </c>
      <c r="K33" s="60">
        <f>I33*J33</f>
        <v>4149930.5188332181</v>
      </c>
      <c r="L33" s="33">
        <f>QUANTITÀ!K8</f>
        <v>22007.207296842822</v>
      </c>
      <c r="M33" s="57">
        <f>PREZZI!K5</f>
        <v>180</v>
      </c>
      <c r="N33" s="60">
        <f>L33*M33</f>
        <v>3961297.3134317081</v>
      </c>
      <c r="O33" s="33">
        <f>QUANTITÀ!L8</f>
        <v>22007.207296842822</v>
      </c>
      <c r="P33" s="57">
        <f>PREZZI!L5</f>
        <v>180</v>
      </c>
      <c r="Q33" s="60">
        <f>O33*P33</f>
        <v>3961297.3134317081</v>
      </c>
      <c r="R33" s="32">
        <f>QUANTITÀ!M8</f>
        <v>12575.547026767326</v>
      </c>
      <c r="S33" s="57">
        <f>PREZZI!M5</f>
        <v>180</v>
      </c>
      <c r="T33" s="60">
        <f>R33*S33</f>
        <v>2263598.4648181186</v>
      </c>
      <c r="U33" s="34">
        <f>C33+F33+I33+L33+O33+R33</f>
        <v>115275.84774536717</v>
      </c>
      <c r="V33" s="62">
        <f>IFERROR(W33/U33,0)</f>
        <v>180.00000000000003</v>
      </c>
      <c r="W33" s="65">
        <f>E33+H33+K33+N33+Q33+T33</f>
        <v>20749652.594166093</v>
      </c>
      <c r="X33" s="35"/>
      <c r="Y33" s="34">
        <f>U9+U33</f>
        <v>246271.12927419349</v>
      </c>
      <c r="Z33" s="62">
        <f>IFERROR(AA33/Y33,0)</f>
        <v>180.00000000000003</v>
      </c>
      <c r="AA33" s="65">
        <f>W9+W33</f>
        <v>44328803.269354835</v>
      </c>
    </row>
    <row r="34" spans="2:32" x14ac:dyDescent="0.2">
      <c r="B34" s="16" t="s">
        <v>95</v>
      </c>
      <c r="C34" s="31">
        <f>QUANTITÀ!H9</f>
        <v>40493.451725768318</v>
      </c>
      <c r="D34" s="57">
        <f>PREZZI!H6</f>
        <v>180</v>
      </c>
      <c r="E34" s="60">
        <f>C34*D34</f>
        <v>7288821.3106382973</v>
      </c>
      <c r="F34" s="32">
        <f>QUANTITÀ!I9</f>
        <v>22087.337304964538</v>
      </c>
      <c r="G34" s="57">
        <f>PREZZI!I6</f>
        <v>180</v>
      </c>
      <c r="H34" s="60">
        <f>F34*G34</f>
        <v>3975720.7148936167</v>
      </c>
      <c r="I34" s="33">
        <f>QUANTITÀ!J9</f>
        <v>40493.451725768318</v>
      </c>
      <c r="J34" s="57">
        <f>PREZZI!J6</f>
        <v>180</v>
      </c>
      <c r="K34" s="60">
        <f>I34*J34</f>
        <v>7288821.3106382973</v>
      </c>
      <c r="L34" s="33">
        <f>QUANTITÀ!K9</f>
        <v>38652.84028368794</v>
      </c>
      <c r="M34" s="57">
        <f>PREZZI!K6</f>
        <v>180</v>
      </c>
      <c r="N34" s="60">
        <f>L34*M34</f>
        <v>6957511.2510638293</v>
      </c>
      <c r="O34" s="33">
        <f>QUANTITÀ!L9</f>
        <v>38652.84028368794</v>
      </c>
      <c r="P34" s="57">
        <f>PREZZI!L6</f>
        <v>180</v>
      </c>
      <c r="Q34" s="60">
        <f>O34*P34</f>
        <v>6957511.2510638293</v>
      </c>
      <c r="R34" s="32">
        <f>QUANTITÀ!M9</f>
        <v>22087.337304964538</v>
      </c>
      <c r="S34" s="57">
        <f>PREZZI!M6</f>
        <v>180</v>
      </c>
      <c r="T34" s="60">
        <f>R34*S34</f>
        <v>3975720.7148936167</v>
      </c>
      <c r="U34" s="34">
        <f>C34+F34+I34+L34+O34+R34</f>
        <v>202467.25862884161</v>
      </c>
      <c r="V34" s="62">
        <f t="shared" ref="V34:V36" si="15">IFERROR(W34/U34,0)</f>
        <v>180</v>
      </c>
      <c r="W34" s="65">
        <f>E34+H34+K34+N34+Q34+T34</f>
        <v>36444106.55319149</v>
      </c>
      <c r="X34" s="35"/>
      <c r="Y34" s="34">
        <f>U10+U34</f>
        <v>432543.68888888886</v>
      </c>
      <c r="Z34" s="62">
        <f t="shared" ref="Z34:Z36" si="16">IFERROR(AA34/Y34,0)</f>
        <v>180</v>
      </c>
      <c r="AA34" s="65">
        <f>W10+W34</f>
        <v>77857864</v>
      </c>
    </row>
    <row r="35" spans="2:32" x14ac:dyDescent="0.2">
      <c r="B35" s="16" t="s">
        <v>96</v>
      </c>
      <c r="C35" s="31">
        <f>QUANTITÀ!H10</f>
        <v>358.86524822695065</v>
      </c>
      <c r="D35" s="57">
        <f>PREZZI!H7</f>
        <v>180</v>
      </c>
      <c r="E35" s="60">
        <f>C35*D35</f>
        <v>64595.744680851116</v>
      </c>
      <c r="F35" s="32">
        <f>QUANTITÀ!I10</f>
        <v>195.744680851064</v>
      </c>
      <c r="G35" s="57">
        <f>PREZZI!I7</f>
        <v>180</v>
      </c>
      <c r="H35" s="60">
        <f>F35*G35</f>
        <v>35234.042553191524</v>
      </c>
      <c r="I35" s="33">
        <f>QUANTITÀ!J10</f>
        <v>358.86524822695065</v>
      </c>
      <c r="J35" s="57">
        <f>PREZZI!J7</f>
        <v>180</v>
      </c>
      <c r="K35" s="60">
        <f>I35*J35</f>
        <v>64595.744680851116</v>
      </c>
      <c r="L35" s="33">
        <f>QUANTITÀ!K10</f>
        <v>342.55319148936201</v>
      </c>
      <c r="M35" s="57">
        <f>PREZZI!K7</f>
        <v>180</v>
      </c>
      <c r="N35" s="60">
        <f>L35*M35</f>
        <v>61659.574468085164</v>
      </c>
      <c r="O35" s="33">
        <f>QUANTITÀ!L10</f>
        <v>342.55319148936201</v>
      </c>
      <c r="P35" s="57">
        <f>PREZZI!L7</f>
        <v>180</v>
      </c>
      <c r="Q35" s="60">
        <f>O35*P35</f>
        <v>61659.574468085164</v>
      </c>
      <c r="R35" s="32">
        <f>QUANTITÀ!M10</f>
        <v>195.744680851064</v>
      </c>
      <c r="S35" s="57">
        <f>PREZZI!M7</f>
        <v>180</v>
      </c>
      <c r="T35" s="60">
        <f>R35*S35</f>
        <v>35234.042553191524</v>
      </c>
      <c r="U35" s="34">
        <f>C35+F35+I35+L35+O35+R35</f>
        <v>1794.3262411347532</v>
      </c>
      <c r="V35" s="62">
        <f t="shared" si="15"/>
        <v>180.00000000000003</v>
      </c>
      <c r="W35" s="65">
        <f>E35+H35+K35+N35+Q35+T35</f>
        <v>322978.72340425564</v>
      </c>
      <c r="X35" s="35"/>
      <c r="Y35" s="34">
        <f>U11+U35</f>
        <v>3833.3333333333367</v>
      </c>
      <c r="Z35" s="62">
        <f t="shared" si="16"/>
        <v>180.00000000000003</v>
      </c>
      <c r="AA35" s="65">
        <f>W11+W35</f>
        <v>690000.0000000007</v>
      </c>
    </row>
    <row r="36" spans="2:32" ht="17" thickBot="1" x14ac:dyDescent="0.25">
      <c r="B36" s="36" t="s">
        <v>84</v>
      </c>
      <c r="C36" s="37">
        <f>SUM(C33:C35)</f>
        <v>63907.486523068706</v>
      </c>
      <c r="D36" s="58">
        <f>E36/C36</f>
        <v>180</v>
      </c>
      <c r="E36" s="61">
        <f>SUM(E33:E35)</f>
        <v>11503347.574152367</v>
      </c>
      <c r="F36" s="38">
        <f>SUM(F33:F35)</f>
        <v>34858.629012582933</v>
      </c>
      <c r="G36" s="58">
        <f>H36/F36</f>
        <v>179.99999999999994</v>
      </c>
      <c r="H36" s="61">
        <f>SUM(H33:H35)</f>
        <v>6274553.2222649259</v>
      </c>
      <c r="I36" s="39">
        <f>SUM(I33:I35)</f>
        <v>63907.486523068706</v>
      </c>
      <c r="J36" s="58">
        <f>K36/I36</f>
        <v>180</v>
      </c>
      <c r="K36" s="61">
        <f>SUM(K33:K35)</f>
        <v>11503347.574152367</v>
      </c>
      <c r="L36" s="39">
        <f>SUM(L33:L35)</f>
        <v>61002.600772020131</v>
      </c>
      <c r="M36" s="58">
        <f>N36/L36</f>
        <v>180</v>
      </c>
      <c r="N36" s="61">
        <f>SUM(N33:N35)</f>
        <v>10980468.138963623</v>
      </c>
      <c r="O36" s="39">
        <f>SUM(O33:O35)</f>
        <v>61002.600772020131</v>
      </c>
      <c r="P36" s="58">
        <f>Q36/O36</f>
        <v>180</v>
      </c>
      <c r="Q36" s="61">
        <f>SUM(Q33:Q35)</f>
        <v>10980468.138963623</v>
      </c>
      <c r="R36" s="38">
        <f>SUM(R33:R35)</f>
        <v>34858.629012582933</v>
      </c>
      <c r="S36" s="58">
        <f>T36/R36</f>
        <v>179.99999999999994</v>
      </c>
      <c r="T36" s="61">
        <f>SUM(T33:T35)</f>
        <v>6274553.2222649259</v>
      </c>
      <c r="U36" s="37">
        <f>SUM(U33:U35)</f>
        <v>319537.43261534348</v>
      </c>
      <c r="V36" s="63">
        <f t="shared" si="15"/>
        <v>180.00000000000006</v>
      </c>
      <c r="W36" s="66">
        <f>SUM(W33:W35)</f>
        <v>57516737.870761842</v>
      </c>
      <c r="X36" s="40"/>
      <c r="Y36" s="37">
        <f>SUM(Y33:Y35)</f>
        <v>682648.15149641572</v>
      </c>
      <c r="Z36" s="63">
        <f t="shared" si="16"/>
        <v>180</v>
      </c>
      <c r="AA36" s="66">
        <f>SUM(AA33:AA35)</f>
        <v>122876667.26935484</v>
      </c>
      <c r="AC36" s="47"/>
      <c r="AD36" s="47"/>
      <c r="AE36" s="47"/>
      <c r="AF36" s="42"/>
    </row>
    <row r="37" spans="2:32" x14ac:dyDescent="0.2">
      <c r="B37" s="16"/>
      <c r="C37" s="16"/>
      <c r="D37" s="57"/>
      <c r="E37" s="60"/>
      <c r="G37" s="57"/>
      <c r="H37" s="60"/>
      <c r="I37" s="27"/>
      <c r="J37" s="57"/>
      <c r="K37" s="60"/>
      <c r="L37" s="27"/>
      <c r="M37" s="57"/>
      <c r="N37" s="60"/>
      <c r="O37" s="27"/>
      <c r="P37" s="57"/>
      <c r="Q37" s="60"/>
      <c r="S37" s="57"/>
      <c r="T37" s="60"/>
      <c r="U37" s="28"/>
      <c r="V37" s="64"/>
      <c r="W37" s="65"/>
      <c r="Y37" s="28"/>
      <c r="Z37" s="64"/>
      <c r="AA37" s="65"/>
      <c r="AC37" s="47"/>
      <c r="AD37" s="47"/>
      <c r="AE37" s="47"/>
    </row>
    <row r="38" spans="2:32" x14ac:dyDescent="0.2">
      <c r="B38" s="25"/>
      <c r="C38" s="16"/>
      <c r="D38" s="57"/>
      <c r="E38" s="60"/>
      <c r="G38" s="57"/>
      <c r="H38" s="60"/>
      <c r="I38" s="27"/>
      <c r="J38" s="57"/>
      <c r="K38" s="60"/>
      <c r="L38" s="27"/>
      <c r="M38" s="57"/>
      <c r="N38" s="60"/>
      <c r="O38" s="27"/>
      <c r="P38" s="57"/>
      <c r="Q38" s="60"/>
      <c r="S38" s="57"/>
      <c r="T38" s="60"/>
      <c r="U38" s="28"/>
      <c r="V38" s="64"/>
      <c r="W38" s="65"/>
      <c r="Y38" s="28"/>
      <c r="Z38" s="64"/>
      <c r="AA38" s="65"/>
      <c r="AC38" s="47"/>
      <c r="AD38" s="47"/>
      <c r="AE38" s="47"/>
    </row>
    <row r="39" spans="2:32" x14ac:dyDescent="0.2">
      <c r="B39" s="16" t="s">
        <v>94</v>
      </c>
      <c r="C39" s="31">
        <f>QUANTITÀ!H15</f>
        <v>1464.6813595881949</v>
      </c>
      <c r="D39" s="57">
        <f>PREZZI!H12</f>
        <v>500</v>
      </c>
      <c r="E39" s="60">
        <f>C39*D39</f>
        <v>732340.67979409744</v>
      </c>
      <c r="F39" s="32">
        <f>QUANTITÀ!I15</f>
        <v>798.91710522992457</v>
      </c>
      <c r="G39" s="57">
        <f>PREZZI!I12</f>
        <v>500</v>
      </c>
      <c r="H39" s="60">
        <f>F39*G39</f>
        <v>399458.55261496227</v>
      </c>
      <c r="I39" s="33">
        <f>QUANTITÀ!J15</f>
        <v>1464.6813595881949</v>
      </c>
      <c r="J39" s="57">
        <f>PREZZI!J12</f>
        <v>500</v>
      </c>
      <c r="K39" s="60">
        <f>I39*J39</f>
        <v>732340.67979409744</v>
      </c>
      <c r="L39" s="33">
        <f>QUANTITÀ!K15</f>
        <v>1398.1049341523681</v>
      </c>
      <c r="M39" s="57">
        <f>PREZZI!K12</f>
        <v>500</v>
      </c>
      <c r="N39" s="60">
        <f>L39*M39</f>
        <v>699052.467076184</v>
      </c>
      <c r="O39" s="33">
        <f>QUANTITÀ!L15</f>
        <v>1398.1049341523681</v>
      </c>
      <c r="P39" s="57">
        <f>PREZZI!L12</f>
        <v>500</v>
      </c>
      <c r="Q39" s="60">
        <f>O39*P39</f>
        <v>699052.467076184</v>
      </c>
      <c r="R39" s="32">
        <f>QUANTITÀ!M15</f>
        <v>798.91710522992457</v>
      </c>
      <c r="S39" s="57">
        <f>PREZZI!M12</f>
        <v>500</v>
      </c>
      <c r="T39" s="60">
        <f>R39*S39</f>
        <v>399458.55261496227</v>
      </c>
      <c r="U39" s="34">
        <f>C39+F39+I39+L39+O39+R39</f>
        <v>7323.4067979409756</v>
      </c>
      <c r="V39" s="62">
        <f>IFERROR(W39/U39,0)</f>
        <v>500</v>
      </c>
      <c r="W39" s="65">
        <f>E39+H39+K39+N39+Q39+T39</f>
        <v>3661703.398970488</v>
      </c>
      <c r="X39" s="35"/>
      <c r="Y39" s="34">
        <f>U15+U39</f>
        <v>15645.459977419358</v>
      </c>
      <c r="Z39" s="62">
        <f>IFERROR(AA39/Y39,0)</f>
        <v>500</v>
      </c>
      <c r="AA39" s="65">
        <f>W15+W39</f>
        <v>7822729.9887096789</v>
      </c>
      <c r="AC39" s="47"/>
      <c r="AD39" s="47"/>
      <c r="AE39" s="47"/>
    </row>
    <row r="40" spans="2:32" x14ac:dyDescent="0.2">
      <c r="B40" s="16" t="s">
        <v>95</v>
      </c>
      <c r="C40" s="31">
        <f>QUANTITÀ!H16</f>
        <v>0</v>
      </c>
      <c r="D40" s="57">
        <f>PREZZI!H13</f>
        <v>500</v>
      </c>
      <c r="E40" s="60">
        <f>C40*D40</f>
        <v>0</v>
      </c>
      <c r="F40" s="32">
        <f>QUANTITÀ!I16</f>
        <v>0</v>
      </c>
      <c r="G40" s="57">
        <f>PREZZI!I13</f>
        <v>500</v>
      </c>
      <c r="H40" s="60">
        <f>F40*G40</f>
        <v>0</v>
      </c>
      <c r="I40" s="33">
        <f>QUANTITÀ!J16</f>
        <v>0</v>
      </c>
      <c r="J40" s="57">
        <f>PREZZI!J13</f>
        <v>500</v>
      </c>
      <c r="K40" s="60">
        <f>I40*J40</f>
        <v>0</v>
      </c>
      <c r="L40" s="33">
        <f>QUANTITÀ!K16</f>
        <v>0</v>
      </c>
      <c r="M40" s="57">
        <f>PREZZI!K13</f>
        <v>500</v>
      </c>
      <c r="N40" s="60">
        <f>L40*M40</f>
        <v>0</v>
      </c>
      <c r="O40" s="33">
        <f>QUANTITÀ!L16</f>
        <v>0</v>
      </c>
      <c r="P40" s="57">
        <f>PREZZI!L13</f>
        <v>500</v>
      </c>
      <c r="Q40" s="60">
        <f>O40*P40</f>
        <v>0</v>
      </c>
      <c r="R40" s="32">
        <f>QUANTITÀ!M16</f>
        <v>0</v>
      </c>
      <c r="S40" s="57">
        <f>PREZZI!M13</f>
        <v>500</v>
      </c>
      <c r="T40" s="60">
        <f>R40*S40</f>
        <v>0</v>
      </c>
      <c r="U40" s="34">
        <f>C40+F40+I40+L40+O40+R40</f>
        <v>0</v>
      </c>
      <c r="V40" s="62">
        <f t="shared" ref="V40:V42" si="17">IFERROR(W40/U40,0)</f>
        <v>0</v>
      </c>
      <c r="W40" s="65">
        <f>E40+H40+K40+N40+Q40+T40</f>
        <v>0</v>
      </c>
      <c r="X40" s="35"/>
      <c r="Y40" s="34">
        <f>U16+U40</f>
        <v>0</v>
      </c>
      <c r="Z40" s="62">
        <f t="shared" ref="Z40:Z42" si="18">IFERROR(AA40/Y40,0)</f>
        <v>0</v>
      </c>
      <c r="AA40" s="65">
        <f>W16+W40</f>
        <v>0</v>
      </c>
      <c r="AC40" s="47"/>
      <c r="AD40" s="47"/>
      <c r="AE40" s="47"/>
    </row>
    <row r="41" spans="2:32" x14ac:dyDescent="0.2">
      <c r="B41" s="16" t="s">
        <v>96</v>
      </c>
      <c r="C41" s="31">
        <f>QUANTITÀ!H17</f>
        <v>2454.6382978723404</v>
      </c>
      <c r="D41" s="57">
        <f>PREZZI!H14</f>
        <v>500</v>
      </c>
      <c r="E41" s="60">
        <f>C41*D41</f>
        <v>1227319.1489361702</v>
      </c>
      <c r="F41" s="32">
        <f>QUANTITÀ!I17</f>
        <v>1338.8936170212767</v>
      </c>
      <c r="G41" s="57">
        <f>PREZZI!I14</f>
        <v>500</v>
      </c>
      <c r="H41" s="60">
        <f>F41*G41</f>
        <v>669446.80851063831</v>
      </c>
      <c r="I41" s="33">
        <f>QUANTITÀ!J17</f>
        <v>2454.6382978723404</v>
      </c>
      <c r="J41" s="57">
        <f>PREZZI!J14</f>
        <v>500</v>
      </c>
      <c r="K41" s="60">
        <f>I41*J41</f>
        <v>1227319.1489361702</v>
      </c>
      <c r="L41" s="33">
        <f>QUANTITÀ!K17</f>
        <v>2343.0638297872342</v>
      </c>
      <c r="M41" s="57">
        <f>PREZZI!K14</f>
        <v>500</v>
      </c>
      <c r="N41" s="60">
        <f>L41*M41</f>
        <v>1171531.9148936172</v>
      </c>
      <c r="O41" s="33">
        <f>QUANTITÀ!L17</f>
        <v>2343.0638297872342</v>
      </c>
      <c r="P41" s="57">
        <f>PREZZI!L14</f>
        <v>500</v>
      </c>
      <c r="Q41" s="60">
        <f>O41*P41</f>
        <v>1171531.9148936172</v>
      </c>
      <c r="R41" s="32">
        <f>QUANTITÀ!M17</f>
        <v>1338.8936170212767</v>
      </c>
      <c r="S41" s="57">
        <f>PREZZI!M14</f>
        <v>500</v>
      </c>
      <c r="T41" s="60">
        <f>R41*S41</f>
        <v>669446.80851063831</v>
      </c>
      <c r="U41" s="34">
        <f>C41+F41+I41+L41+O41+R41</f>
        <v>12273.191489361701</v>
      </c>
      <c r="V41" s="62">
        <f t="shared" si="17"/>
        <v>500.00000000000006</v>
      </c>
      <c r="W41" s="65">
        <f>E41+H41+K41+N41+Q41+T41</f>
        <v>6136595.7446808517</v>
      </c>
      <c r="X41" s="35"/>
      <c r="Y41" s="34">
        <f>U17+U41</f>
        <v>26220</v>
      </c>
      <c r="Z41" s="62">
        <f t="shared" si="18"/>
        <v>500</v>
      </c>
      <c r="AA41" s="65">
        <f>W17+W41</f>
        <v>13110000</v>
      </c>
      <c r="AC41" s="47"/>
      <c r="AD41" s="47"/>
      <c r="AE41" s="47"/>
    </row>
    <row r="42" spans="2:32" ht="17" thickBot="1" x14ac:dyDescent="0.25">
      <c r="B42" s="36" t="s">
        <v>85</v>
      </c>
      <c r="C42" s="37">
        <f>SUM(C39:C41)</f>
        <v>3919.3196574605354</v>
      </c>
      <c r="D42" s="58">
        <f>E42/C42</f>
        <v>499.99999999999994</v>
      </c>
      <c r="E42" s="61">
        <f>SUM(E39:E41)</f>
        <v>1959659.8287302675</v>
      </c>
      <c r="F42" s="38">
        <f>SUM(F39:F41)</f>
        <v>2137.8107222512012</v>
      </c>
      <c r="G42" s="58">
        <f>H42/F42</f>
        <v>499.99999999999994</v>
      </c>
      <c r="H42" s="61">
        <f>SUM(H39:H41)</f>
        <v>1068905.3611256005</v>
      </c>
      <c r="I42" s="39">
        <f>SUM(I39:I41)</f>
        <v>3919.3196574605354</v>
      </c>
      <c r="J42" s="58">
        <f>K42/I42</f>
        <v>499.99999999999994</v>
      </c>
      <c r="K42" s="61">
        <f>SUM(K39:K41)</f>
        <v>1959659.8287302675</v>
      </c>
      <c r="L42" s="39">
        <f>SUM(L39:L41)</f>
        <v>3741.1687639396023</v>
      </c>
      <c r="M42" s="58">
        <f>N42/L42</f>
        <v>500</v>
      </c>
      <c r="N42" s="61">
        <f>SUM(N39:N41)</f>
        <v>1870584.3819698012</v>
      </c>
      <c r="O42" s="39">
        <f>SUM(O39:O41)</f>
        <v>3741.1687639396023</v>
      </c>
      <c r="P42" s="58">
        <f>Q42/O42</f>
        <v>500</v>
      </c>
      <c r="Q42" s="61">
        <f>SUM(Q39:Q41)</f>
        <v>1870584.3819698012</v>
      </c>
      <c r="R42" s="38">
        <f>SUM(R39:R41)</f>
        <v>2137.8107222512012</v>
      </c>
      <c r="S42" s="58">
        <f>T42/R42</f>
        <v>499.99999999999994</v>
      </c>
      <c r="T42" s="61">
        <f>SUM(T39:T41)</f>
        <v>1068905.3611256005</v>
      </c>
      <c r="U42" s="37">
        <f>SUM(U39:U41)</f>
        <v>19596.598287302677</v>
      </c>
      <c r="V42" s="63">
        <f t="shared" si="17"/>
        <v>500.00000000000011</v>
      </c>
      <c r="W42" s="66">
        <f>SUM(W39:W41)</f>
        <v>9798299.1436513402</v>
      </c>
      <c r="X42" s="40"/>
      <c r="Y42" s="37">
        <f>SUM(Y39:Y41)</f>
        <v>41865.459977419356</v>
      </c>
      <c r="Z42" s="63">
        <f t="shared" si="18"/>
        <v>500.00000000000006</v>
      </c>
      <c r="AA42" s="66">
        <f>SUM(AA39:AA41)</f>
        <v>20932729.988709681</v>
      </c>
      <c r="AC42" s="47"/>
      <c r="AD42" s="47"/>
      <c r="AE42" s="47"/>
      <c r="AF42" s="42"/>
    </row>
    <row r="43" spans="2:32" x14ac:dyDescent="0.2">
      <c r="B43" s="16"/>
      <c r="C43" s="16"/>
      <c r="D43" s="57"/>
      <c r="E43" s="60"/>
      <c r="G43" s="57"/>
      <c r="H43" s="60"/>
      <c r="I43" s="27"/>
      <c r="J43" s="57"/>
      <c r="K43" s="60"/>
      <c r="L43" s="27"/>
      <c r="M43" s="57"/>
      <c r="N43" s="60"/>
      <c r="O43" s="27"/>
      <c r="P43" s="57"/>
      <c r="Q43" s="60"/>
      <c r="S43" s="57"/>
      <c r="T43" s="60"/>
      <c r="U43" s="28"/>
      <c r="V43" s="64"/>
      <c r="W43" s="65"/>
      <c r="Y43" s="28"/>
      <c r="Z43" s="64"/>
      <c r="AA43" s="65"/>
    </row>
    <row r="44" spans="2:32" x14ac:dyDescent="0.2">
      <c r="B44" s="25"/>
      <c r="C44" s="16"/>
      <c r="D44" s="57"/>
      <c r="E44" s="60"/>
      <c r="G44" s="57"/>
      <c r="H44" s="60"/>
      <c r="I44" s="27"/>
      <c r="J44" s="57"/>
      <c r="K44" s="60"/>
      <c r="L44" s="27"/>
      <c r="M44" s="57"/>
      <c r="N44" s="60"/>
      <c r="O44" s="27"/>
      <c r="P44" s="57"/>
      <c r="Q44" s="60"/>
      <c r="S44" s="57"/>
      <c r="T44" s="60"/>
      <c r="U44" s="28"/>
      <c r="V44" s="64"/>
      <c r="W44" s="65"/>
      <c r="Y44" s="28"/>
      <c r="Z44" s="64"/>
      <c r="AA44" s="65"/>
    </row>
    <row r="45" spans="2:32" x14ac:dyDescent="0.2">
      <c r="B45" s="16" t="s">
        <v>94</v>
      </c>
      <c r="C45" s="41">
        <f>C33+C39</f>
        <v>24519.850908661629</v>
      </c>
      <c r="D45" s="59">
        <f>E45/C45</f>
        <v>199.11504424778761</v>
      </c>
      <c r="E45" s="60">
        <f>E33+E39</f>
        <v>4882271.1986273155</v>
      </c>
      <c r="F45" s="41">
        <f>F33+F39</f>
        <v>13374.464131997251</v>
      </c>
      <c r="G45" s="59">
        <f>H45/F45</f>
        <v>199.11504424778761</v>
      </c>
      <c r="H45" s="60">
        <f>H33+H39</f>
        <v>2663057.0174330808</v>
      </c>
      <c r="I45" s="41">
        <f>I33+I39</f>
        <v>24519.850908661629</v>
      </c>
      <c r="J45" s="59">
        <f>K45/I45</f>
        <v>199.11504424778761</v>
      </c>
      <c r="K45" s="60">
        <f>K33+K39</f>
        <v>4882271.1986273155</v>
      </c>
      <c r="L45" s="41">
        <f>L33+L39</f>
        <v>23405.31223099519</v>
      </c>
      <c r="M45" s="59">
        <f>N45/L45</f>
        <v>199.11504424778764</v>
      </c>
      <c r="N45" s="60">
        <f>N33+N39</f>
        <v>4660349.7805078924</v>
      </c>
      <c r="O45" s="41">
        <f>O33+O39</f>
        <v>23405.31223099519</v>
      </c>
      <c r="P45" s="59">
        <f>Q45/O45</f>
        <v>199.11504424778764</v>
      </c>
      <c r="Q45" s="60">
        <f>Q33+Q39</f>
        <v>4660349.7805078924</v>
      </c>
      <c r="R45" s="41">
        <f>R33+R39</f>
        <v>13374.464131997251</v>
      </c>
      <c r="S45" s="59">
        <f>T45/R45</f>
        <v>199.11504424778761</v>
      </c>
      <c r="T45" s="60">
        <f>T33+T39</f>
        <v>2663057.0174330808</v>
      </c>
      <c r="U45" s="34">
        <f>C45+F45+I45+L45+O45+R45</f>
        <v>122599.25454330814</v>
      </c>
      <c r="V45" s="62">
        <f>IFERROR(W45/U45,0)</f>
        <v>199.11504424778761</v>
      </c>
      <c r="W45" s="65">
        <f>E45+H45+K45+N45+Q45+T45</f>
        <v>24411355.993136577</v>
      </c>
      <c r="Y45" s="34">
        <f>U21+U45</f>
        <v>261916.58925161284</v>
      </c>
      <c r="Z45" s="62">
        <f>IFERROR(AA45/Y45,0)</f>
        <v>199.11504424778764</v>
      </c>
      <c r="AA45" s="65">
        <f>W21+W45</f>
        <v>52151533.258064508</v>
      </c>
    </row>
    <row r="46" spans="2:32" x14ac:dyDescent="0.2">
      <c r="B46" s="16" t="s">
        <v>95</v>
      </c>
      <c r="C46" s="41">
        <f t="shared" ref="C46:C47" si="19">C34+C40</f>
        <v>40493.451725768318</v>
      </c>
      <c r="D46" s="59">
        <f>E46/C46</f>
        <v>180</v>
      </c>
      <c r="E46" s="60">
        <f t="shared" ref="E46:F47" si="20">E34+E40</f>
        <v>7288821.3106382973</v>
      </c>
      <c r="F46" s="41">
        <f t="shared" si="20"/>
        <v>22087.337304964538</v>
      </c>
      <c r="G46" s="59">
        <f>H46/F46</f>
        <v>180</v>
      </c>
      <c r="H46" s="60">
        <f t="shared" ref="H46:I47" si="21">H34+H40</f>
        <v>3975720.7148936167</v>
      </c>
      <c r="I46" s="41">
        <f t="shared" si="21"/>
        <v>40493.451725768318</v>
      </c>
      <c r="J46" s="59">
        <f>K46/I46</f>
        <v>180</v>
      </c>
      <c r="K46" s="60">
        <f t="shared" ref="K46:L47" si="22">K34+K40</f>
        <v>7288821.3106382973</v>
      </c>
      <c r="L46" s="41">
        <f t="shared" si="22"/>
        <v>38652.84028368794</v>
      </c>
      <c r="M46" s="59">
        <f>N46/L46</f>
        <v>180</v>
      </c>
      <c r="N46" s="60">
        <f t="shared" ref="N46:O47" si="23">N34+N40</f>
        <v>6957511.2510638293</v>
      </c>
      <c r="O46" s="41">
        <f t="shared" si="23"/>
        <v>38652.84028368794</v>
      </c>
      <c r="P46" s="59">
        <f>Q46/O46</f>
        <v>180</v>
      </c>
      <c r="Q46" s="60">
        <f t="shared" ref="Q46:R47" si="24">Q34+Q40</f>
        <v>6957511.2510638293</v>
      </c>
      <c r="R46" s="41">
        <f t="shared" si="24"/>
        <v>22087.337304964538</v>
      </c>
      <c r="S46" s="59">
        <f>T46/R46</f>
        <v>180</v>
      </c>
      <c r="T46" s="60">
        <f t="shared" ref="T46" si="25">T34+T40</f>
        <v>3975720.7148936167</v>
      </c>
      <c r="U46" s="34">
        <f>C46+F46+I46+L46+O46+R46</f>
        <v>202467.25862884161</v>
      </c>
      <c r="V46" s="62">
        <f t="shared" ref="V46:V48" si="26">IFERROR(W46/U46,0)</f>
        <v>180</v>
      </c>
      <c r="W46" s="65">
        <f>E46+H46+K46+N46+Q46+T46</f>
        <v>36444106.55319149</v>
      </c>
      <c r="Y46" s="34">
        <f>U22+U46</f>
        <v>432543.68888888886</v>
      </c>
      <c r="Z46" s="62">
        <f t="shared" ref="Z46:Z48" si="27">IFERROR(AA46/Y46,0)</f>
        <v>180</v>
      </c>
      <c r="AA46" s="65">
        <f>W22+W46</f>
        <v>77857864</v>
      </c>
    </row>
    <row r="47" spans="2:32" x14ac:dyDescent="0.2">
      <c r="B47" s="16" t="s">
        <v>96</v>
      </c>
      <c r="C47" s="41">
        <f t="shared" si="19"/>
        <v>2813.5035460992913</v>
      </c>
      <c r="D47" s="59">
        <f>E47/C47</f>
        <v>459.18367346938771</v>
      </c>
      <c r="E47" s="60">
        <f t="shared" ref="E47" si="28">E35+E41</f>
        <v>1291914.8936170214</v>
      </c>
      <c r="F47" s="41">
        <f t="shared" si="20"/>
        <v>1534.6382978723407</v>
      </c>
      <c r="G47" s="59">
        <f>H47/F47</f>
        <v>459.18367346938771</v>
      </c>
      <c r="H47" s="60">
        <f t="shared" ref="H47" si="29">H35+H41</f>
        <v>704680.85106382985</v>
      </c>
      <c r="I47" s="41">
        <f t="shared" si="21"/>
        <v>2813.5035460992913</v>
      </c>
      <c r="J47" s="59">
        <f>K47/I47</f>
        <v>459.18367346938771</v>
      </c>
      <c r="K47" s="60">
        <f t="shared" ref="K47" si="30">K35+K41</f>
        <v>1291914.8936170214</v>
      </c>
      <c r="L47" s="41">
        <f t="shared" si="22"/>
        <v>2685.6170212765965</v>
      </c>
      <c r="M47" s="59">
        <f>N47/L47</f>
        <v>459.18367346938766</v>
      </c>
      <c r="N47" s="60">
        <f t="shared" ref="N47" si="31">N35+N41</f>
        <v>1233191.4893617022</v>
      </c>
      <c r="O47" s="41">
        <f t="shared" si="23"/>
        <v>2685.6170212765965</v>
      </c>
      <c r="P47" s="59">
        <f>Q47/O47</f>
        <v>459.18367346938766</v>
      </c>
      <c r="Q47" s="60">
        <f t="shared" ref="Q47" si="32">Q35+Q41</f>
        <v>1233191.4893617022</v>
      </c>
      <c r="R47" s="41">
        <f t="shared" si="24"/>
        <v>1534.6382978723407</v>
      </c>
      <c r="S47" s="59">
        <f>T47/R47</f>
        <v>459.18367346938771</v>
      </c>
      <c r="T47" s="60">
        <f t="shared" ref="T47" si="33">T35+T41</f>
        <v>704680.85106382985</v>
      </c>
      <c r="U47" s="34">
        <f>C47+F47+I47+L47+O47+R47</f>
        <v>14067.517730496456</v>
      </c>
      <c r="V47" s="62">
        <f t="shared" si="26"/>
        <v>459.18367346938777</v>
      </c>
      <c r="W47" s="65">
        <f>E47+H47+K47+N47+Q47+T47</f>
        <v>6459574.4680851074</v>
      </c>
      <c r="Y47" s="34">
        <f>U23+U47</f>
        <v>30053.333333333339</v>
      </c>
      <c r="Z47" s="62">
        <f t="shared" si="27"/>
        <v>459.18367346938777</v>
      </c>
      <c r="AA47" s="65">
        <f>W23+W47</f>
        <v>13800000.000000004</v>
      </c>
    </row>
    <row r="48" spans="2:32" ht="17" thickBot="1" x14ac:dyDescent="0.25">
      <c r="B48" s="36" t="s">
        <v>3</v>
      </c>
      <c r="C48" s="37">
        <f>SUM(C45:C47)</f>
        <v>67826.806180529238</v>
      </c>
      <c r="D48" s="58">
        <f>E48/C48</f>
        <v>198.49095307612174</v>
      </c>
      <c r="E48" s="61">
        <f>SUM(E45:E47)</f>
        <v>13463007.402882634</v>
      </c>
      <c r="F48" s="37">
        <f>SUM(F45:F47)</f>
        <v>36996.43973483413</v>
      </c>
      <c r="G48" s="58">
        <f>H48/F48</f>
        <v>198.49095307612174</v>
      </c>
      <c r="H48" s="61">
        <f>SUM(H45:H47)</f>
        <v>7343458.5833905274</v>
      </c>
      <c r="I48" s="37">
        <f>SUM(I45:I47)</f>
        <v>67826.806180529238</v>
      </c>
      <c r="J48" s="58">
        <f>K48/I48</f>
        <v>198.49095307612174</v>
      </c>
      <c r="K48" s="61">
        <f>SUM(K45:K47)</f>
        <v>13463007.402882634</v>
      </c>
      <c r="L48" s="37">
        <f>SUM(L45:L47)</f>
        <v>64743.76953595972</v>
      </c>
      <c r="M48" s="58">
        <f>N48/L48</f>
        <v>198.49095307612177</v>
      </c>
      <c r="N48" s="61">
        <f>SUM(N45:N47)</f>
        <v>12851052.520933423</v>
      </c>
      <c r="O48" s="37">
        <f>SUM(O45:O47)</f>
        <v>64743.76953595972</v>
      </c>
      <c r="P48" s="58">
        <f>Q48/O48</f>
        <v>198.49095307612177</v>
      </c>
      <c r="Q48" s="61">
        <f>SUM(Q45:Q47)</f>
        <v>12851052.520933423</v>
      </c>
      <c r="R48" s="37">
        <f>SUM(R45:R47)</f>
        <v>36996.43973483413</v>
      </c>
      <c r="S48" s="58">
        <f>T48/R48</f>
        <v>198.49095307612174</v>
      </c>
      <c r="T48" s="61">
        <f>SUM(T45:T47)</f>
        <v>7343458.5833905274</v>
      </c>
      <c r="U48" s="37">
        <f>SUM(U45:U47)</f>
        <v>339134.03090264625</v>
      </c>
      <c r="V48" s="63">
        <f t="shared" si="26"/>
        <v>198.49095307612174</v>
      </c>
      <c r="W48" s="66">
        <f>SUM(W45:W47)</f>
        <v>67315037.014413178</v>
      </c>
      <c r="Y48" s="37">
        <f>SUM(Y45:Y47)</f>
        <v>724513.61147383507</v>
      </c>
      <c r="Z48" s="63">
        <f t="shared" si="27"/>
        <v>198.49095307612177</v>
      </c>
      <c r="AA48" s="66">
        <f>SUM(AA45:AA47)</f>
        <v>143809397.25806451</v>
      </c>
    </row>
    <row r="50" spans="27:27" x14ac:dyDescent="0.2">
      <c r="AA50" s="78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S18"/>
  <sheetViews>
    <sheetView zoomScale="120" zoomScaleNormal="120" workbookViewId="0">
      <selection activeCell="T17" sqref="T17"/>
    </sheetView>
  </sheetViews>
  <sheetFormatPr baseColWidth="10" defaultColWidth="9.1640625" defaultRowHeight="16" x14ac:dyDescent="0.2"/>
  <cols>
    <col min="1" max="1" width="18.5" style="2" customWidth="1"/>
    <col min="2" max="13" width="8.6640625" style="2" customWidth="1"/>
    <col min="14" max="14" width="10" style="2" customWidth="1"/>
    <col min="15" max="15" width="3.33203125" style="2" customWidth="1"/>
    <col min="16" max="16" width="13.6640625" style="2" bestFit="1" customWidth="1"/>
    <col min="17" max="16384" width="9.1640625" style="2"/>
  </cols>
  <sheetData>
    <row r="2" spans="1:19" x14ac:dyDescent="0.2">
      <c r="A2" s="73" t="s">
        <v>92</v>
      </c>
    </row>
    <row r="3" spans="1:19" ht="17" thickBot="1" x14ac:dyDescent="0.25"/>
    <row r="4" spans="1:19" x14ac:dyDescent="0.2"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</row>
    <row r="5" spans="1:19" x14ac:dyDescent="0.2">
      <c r="B5" s="208">
        <v>18</v>
      </c>
      <c r="C5" s="208">
        <v>20</v>
      </c>
      <c r="D5" s="208">
        <v>23</v>
      </c>
      <c r="E5" s="208">
        <v>21</v>
      </c>
      <c r="F5" s="208">
        <v>21</v>
      </c>
      <c r="G5" s="208">
        <v>22</v>
      </c>
      <c r="H5" s="208">
        <v>22</v>
      </c>
      <c r="I5" s="208">
        <v>12</v>
      </c>
      <c r="J5" s="208">
        <v>22</v>
      </c>
      <c r="K5" s="208">
        <v>21</v>
      </c>
      <c r="L5" s="208">
        <v>21</v>
      </c>
      <c r="M5" s="208">
        <v>12</v>
      </c>
      <c r="N5" s="2">
        <f>SUM(B5:M5)</f>
        <v>235</v>
      </c>
      <c r="P5" s="208">
        <v>18</v>
      </c>
      <c r="Q5" s="208">
        <v>20</v>
      </c>
      <c r="R5" s="208">
        <v>23</v>
      </c>
      <c r="S5" s="208">
        <v>21</v>
      </c>
    </row>
    <row r="6" spans="1:19" ht="17" thickBot="1" x14ac:dyDescent="0.25"/>
    <row r="7" spans="1:19" x14ac:dyDescent="0.2">
      <c r="A7" s="3" t="s">
        <v>84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15</v>
      </c>
      <c r="L7" s="4" t="s">
        <v>16</v>
      </c>
      <c r="M7" s="4" t="s">
        <v>17</v>
      </c>
      <c r="N7" s="4" t="s">
        <v>5</v>
      </c>
      <c r="P7" s="4" t="s">
        <v>6</v>
      </c>
      <c r="Q7" s="4" t="s">
        <v>7</v>
      </c>
      <c r="R7" s="4" t="s">
        <v>8</v>
      </c>
      <c r="S7" s="4" t="s">
        <v>9</v>
      </c>
    </row>
    <row r="8" spans="1:19" x14ac:dyDescent="0.2">
      <c r="A8" s="5" t="s">
        <v>61</v>
      </c>
      <c r="B8" s="209">
        <f>IFERROR('Tab 2'!$C$14/$N$5*B$5,0)</f>
        <v>18863.320540150991</v>
      </c>
      <c r="C8" s="209">
        <f>IFERROR('Tab 2'!$C$14/$N$5*C$5,0)</f>
        <v>20959.245044612213</v>
      </c>
      <c r="D8" s="209">
        <f>IFERROR('Tab 2'!$C$14/$N$5*D$5,0)</f>
        <v>24103.131801304044</v>
      </c>
      <c r="E8" s="209">
        <f>IFERROR('Tab 2'!$C$14/$N$5*E$5,0)</f>
        <v>22007.207296842822</v>
      </c>
      <c r="F8" s="209">
        <f>IFERROR('Tab 2'!$C$14/$N$5*F$5,0)</f>
        <v>22007.207296842822</v>
      </c>
      <c r="G8" s="209">
        <f>IFERROR('Tab 2'!$C$14/$N$5*G$5,0)</f>
        <v>23055.169549073435</v>
      </c>
      <c r="H8" s="209">
        <f>IFERROR('Tab 2'!$C$14/$N$5*H$5,0)</f>
        <v>23055.169549073435</v>
      </c>
      <c r="I8" s="209">
        <f>IFERROR('Tab 2'!$C$14/$N$5*I$5,0)</f>
        <v>12575.547026767326</v>
      </c>
      <c r="J8" s="209">
        <f>IFERROR('Tab 2'!$C$14/$N$5*J$5,0)</f>
        <v>23055.169549073435</v>
      </c>
      <c r="K8" s="209">
        <f>IFERROR('Tab 2'!$C$14/$N$5*K$5,0)</f>
        <v>22007.207296842822</v>
      </c>
      <c r="L8" s="209">
        <f>IFERROR('Tab 2'!$C$14/$N$5*L$5,0)</f>
        <v>22007.207296842822</v>
      </c>
      <c r="M8" s="209">
        <f>IFERROR('Tab 2'!$C$14/$N$5*M$5,0)</f>
        <v>12575.547026767326</v>
      </c>
      <c r="N8" s="6">
        <f>SUM(B8:M8)</f>
        <v>246271.12927419355</v>
      </c>
      <c r="P8" s="209">
        <f>IFERROR('Tab 2'!$C$22/$N$5*P$5,0)</f>
        <v>19240.586950954017</v>
      </c>
      <c r="Q8" s="209">
        <f>IFERROR('Tab 2'!$C$22/$N$5*Q$5,0)</f>
        <v>21378.429945504464</v>
      </c>
      <c r="R8" s="209">
        <f>IFERROR('Tab 2'!$C$22/$N$5*R$5,0)</f>
        <v>24585.194437330134</v>
      </c>
      <c r="S8" s="209">
        <f>IFERROR('Tab 2'!$C$22/$N$5*S$5,0)</f>
        <v>22447.351442779687</v>
      </c>
    </row>
    <row r="9" spans="1:19" x14ac:dyDescent="0.2">
      <c r="A9" s="5" t="s">
        <v>93</v>
      </c>
      <c r="B9" s="209">
        <f>IFERROR('Tab 2'!$F$14/$N$5*B$5,0)</f>
        <v>33131.005957446803</v>
      </c>
      <c r="C9" s="209">
        <f>IFERROR('Tab 2'!$F$14/$N$5*C$5,0)</f>
        <v>36812.228841607561</v>
      </c>
      <c r="D9" s="209">
        <f>IFERROR('Tab 2'!$F$14/$N$5*D$5,0)</f>
        <v>42334.063167848697</v>
      </c>
      <c r="E9" s="209">
        <f>IFERROR('Tab 2'!$F$14/$N$5*E$5,0)</f>
        <v>38652.84028368794</v>
      </c>
      <c r="F9" s="209">
        <f>IFERROR('Tab 2'!$F$14/$N$5*F$5,0)</f>
        <v>38652.84028368794</v>
      </c>
      <c r="G9" s="209">
        <f>IFERROR('Tab 2'!$F$14/$N$5*G$5,0)</f>
        <v>40493.451725768318</v>
      </c>
      <c r="H9" s="209">
        <f>IFERROR('Tab 2'!$F$14/$N$5*H$5,0)</f>
        <v>40493.451725768318</v>
      </c>
      <c r="I9" s="209">
        <f>IFERROR('Tab 2'!$F$14/$N$5*I$5,0)</f>
        <v>22087.337304964538</v>
      </c>
      <c r="J9" s="209">
        <f>IFERROR('Tab 2'!$F$14/$N$5*J$5,0)</f>
        <v>40493.451725768318</v>
      </c>
      <c r="K9" s="209">
        <f>IFERROR('Tab 2'!$F$14/$N$5*K$5,0)</f>
        <v>38652.84028368794</v>
      </c>
      <c r="L9" s="209">
        <f>IFERROR('Tab 2'!$F$14/$N$5*L$5,0)</f>
        <v>38652.84028368794</v>
      </c>
      <c r="M9" s="209">
        <f>IFERROR('Tab 2'!$F$14/$N$5*M$5,0)</f>
        <v>22087.337304964538</v>
      </c>
      <c r="N9" s="6">
        <f>SUM(B9:M9)</f>
        <v>432543.68888888886</v>
      </c>
      <c r="P9" s="209">
        <f>IFERROR('Tab 2'!$F$22/$N$5*P$5,0)</f>
        <v>31805.765719148934</v>
      </c>
      <c r="Q9" s="209">
        <f>IFERROR('Tab 2'!$F$22/$N$5*Q$5,0)</f>
        <v>35339.739687943264</v>
      </c>
      <c r="R9" s="209">
        <f>IFERROR('Tab 2'!$F$22/$N$5*R$5,0)</f>
        <v>40640.700641134747</v>
      </c>
      <c r="S9" s="209">
        <f>IFERROR('Tab 2'!$F$22/$N$5*S$5,0)</f>
        <v>37106.726672340425</v>
      </c>
    </row>
    <row r="10" spans="1:19" x14ac:dyDescent="0.2">
      <c r="A10" s="5" t="s">
        <v>63</v>
      </c>
      <c r="B10" s="209">
        <f>IFERROR('Tab 2'!$I$14/$N$5*B$5,0)</f>
        <v>293.61702127659601</v>
      </c>
      <c r="C10" s="209">
        <f>IFERROR('Tab 2'!$I$14/$N$5*C$5,0)</f>
        <v>326.2411347517733</v>
      </c>
      <c r="D10" s="209">
        <f>IFERROR('Tab 2'!$I$14/$N$5*D$5,0)</f>
        <v>375.1773049645393</v>
      </c>
      <c r="E10" s="209">
        <f>IFERROR('Tab 2'!$I$14/$N$5*E$5,0)</f>
        <v>342.55319148936201</v>
      </c>
      <c r="F10" s="209">
        <f>IFERROR('Tab 2'!$I$14/$N$5*F$5,0)</f>
        <v>342.55319148936201</v>
      </c>
      <c r="G10" s="209">
        <f>IFERROR('Tab 2'!$I$14/$N$5*G$5,0)</f>
        <v>358.86524822695065</v>
      </c>
      <c r="H10" s="209">
        <f>IFERROR('Tab 2'!$I$14/$N$5*H$5,0)</f>
        <v>358.86524822695065</v>
      </c>
      <c r="I10" s="209">
        <f>IFERROR('Tab 2'!$I$14/$N$5*I$5,0)</f>
        <v>195.744680851064</v>
      </c>
      <c r="J10" s="209">
        <f>IFERROR('Tab 2'!$I$14/$N$5*J$5,0)</f>
        <v>358.86524822695065</v>
      </c>
      <c r="K10" s="209">
        <f>IFERROR('Tab 2'!$I$14/$N$5*K$5,0)</f>
        <v>342.55319148936201</v>
      </c>
      <c r="L10" s="209">
        <f>IFERROR('Tab 2'!$I$14/$N$5*L$5,0)</f>
        <v>342.55319148936201</v>
      </c>
      <c r="M10" s="209">
        <f>IFERROR('Tab 2'!$I$14/$N$5*M$5,0)</f>
        <v>195.744680851064</v>
      </c>
      <c r="N10" s="6">
        <f>SUM(B10:M10)</f>
        <v>3833.3333333333367</v>
      </c>
      <c r="P10" s="209">
        <f>IFERROR('Tab 2'!$I$22/$N$5*P$5,0)</f>
        <v>317.10638297872367</v>
      </c>
      <c r="Q10" s="209">
        <f>IFERROR('Tab 2'!$I$22/$N$5*Q$5,0)</f>
        <v>352.34042553191523</v>
      </c>
      <c r="R10" s="209">
        <f>IFERROR('Tab 2'!$I$22/$N$5*R$5,0)</f>
        <v>405.19148936170251</v>
      </c>
      <c r="S10" s="209">
        <f>IFERROR('Tab 2'!$I$22/$N$5*S$5,0)</f>
        <v>369.95744680851095</v>
      </c>
    </row>
    <row r="11" spans="1:19" ht="17" thickBot="1" x14ac:dyDescent="0.25">
      <c r="A11" s="7" t="s">
        <v>3</v>
      </c>
      <c r="B11" s="8">
        <f>SUM(B8:B10)</f>
        <v>52287.943518874388</v>
      </c>
      <c r="C11" s="8">
        <f t="shared" ref="C11:P11" si="0">SUM(C8:C10)</f>
        <v>58097.71502097154</v>
      </c>
      <c r="D11" s="8">
        <f t="shared" si="0"/>
        <v>66812.372274117282</v>
      </c>
      <c r="E11" s="8">
        <f t="shared" si="0"/>
        <v>61002.600772020131</v>
      </c>
      <c r="F11" s="8">
        <f t="shared" si="0"/>
        <v>61002.600772020131</v>
      </c>
      <c r="G11" s="8">
        <f t="shared" si="0"/>
        <v>63907.486523068706</v>
      </c>
      <c r="H11" s="8">
        <f t="shared" si="0"/>
        <v>63907.486523068706</v>
      </c>
      <c r="I11" s="8">
        <f t="shared" si="0"/>
        <v>34858.629012582933</v>
      </c>
      <c r="J11" s="8">
        <f t="shared" si="0"/>
        <v>63907.486523068706</v>
      </c>
      <c r="K11" s="8">
        <f t="shared" si="0"/>
        <v>61002.600772020131</v>
      </c>
      <c r="L11" s="8">
        <f t="shared" si="0"/>
        <v>61002.600772020131</v>
      </c>
      <c r="M11" s="8">
        <f t="shared" si="0"/>
        <v>34858.629012582933</v>
      </c>
      <c r="N11" s="8">
        <f t="shared" si="0"/>
        <v>682648.15149641584</v>
      </c>
      <c r="P11" s="8">
        <f t="shared" si="0"/>
        <v>51363.459053081671</v>
      </c>
      <c r="Q11" s="8">
        <f t="shared" ref="Q11:R11" si="1">SUM(Q8:Q10)</f>
        <v>57070.510058979649</v>
      </c>
      <c r="R11" s="8">
        <f t="shared" si="1"/>
        <v>65631.086567826584</v>
      </c>
      <c r="S11" s="8">
        <f t="shared" ref="S11" si="2">SUM(S8:S10)</f>
        <v>59924.03556192862</v>
      </c>
    </row>
    <row r="13" spans="1:19" ht="17" thickBot="1" x14ac:dyDescent="0.25"/>
    <row r="14" spans="1:19" x14ac:dyDescent="0.2">
      <c r="A14" s="3" t="s">
        <v>85</v>
      </c>
      <c r="B14" s="4" t="s">
        <v>6</v>
      </c>
      <c r="C14" s="4" t="s">
        <v>7</v>
      </c>
      <c r="D14" s="4" t="s">
        <v>8</v>
      </c>
      <c r="E14" s="4" t="s">
        <v>9</v>
      </c>
      <c r="F14" s="4" t="s">
        <v>10</v>
      </c>
      <c r="G14" s="4" t="s">
        <v>11</v>
      </c>
      <c r="H14" s="4" t="s">
        <v>12</v>
      </c>
      <c r="I14" s="4" t="s">
        <v>13</v>
      </c>
      <c r="J14" s="4" t="s">
        <v>14</v>
      </c>
      <c r="K14" s="4" t="s">
        <v>15</v>
      </c>
      <c r="L14" s="4" t="s">
        <v>16</v>
      </c>
      <c r="M14" s="4" t="s">
        <v>17</v>
      </c>
      <c r="N14" s="4" t="s">
        <v>5</v>
      </c>
      <c r="P14" s="4" t="s">
        <v>6</v>
      </c>
      <c r="Q14" s="4" t="s">
        <v>7</v>
      </c>
      <c r="R14" s="4" t="s">
        <v>8</v>
      </c>
      <c r="S14" s="4" t="s">
        <v>9</v>
      </c>
    </row>
    <row r="15" spans="1:19" x14ac:dyDescent="0.2">
      <c r="A15" s="5" t="s">
        <v>61</v>
      </c>
      <c r="B15" s="209">
        <f>'Tab 2'!$C$15/$N$5*B$5</f>
        <v>1198.375657844887</v>
      </c>
      <c r="C15" s="209">
        <f>'Tab 2'!$C$15/$N$5*C$5</f>
        <v>1331.528508716541</v>
      </c>
      <c r="D15" s="209">
        <f>'Tab 2'!$C$15/$N$5*D$5</f>
        <v>1531.257785024022</v>
      </c>
      <c r="E15" s="209">
        <f>'Tab 2'!$C$15/$N$5*E$5</f>
        <v>1398.1049341523681</v>
      </c>
      <c r="F15" s="209">
        <f>'Tab 2'!$C$15/$N$5*F$5</f>
        <v>1398.1049341523681</v>
      </c>
      <c r="G15" s="209">
        <f>'Tab 2'!$C$15/$N$5*G$5</f>
        <v>1464.6813595881949</v>
      </c>
      <c r="H15" s="209">
        <f>'Tab 2'!$C$15/$N$5*H$5</f>
        <v>1464.6813595881949</v>
      </c>
      <c r="I15" s="209">
        <f>'Tab 2'!$C$15/$N$5*I$5</f>
        <v>798.91710522992457</v>
      </c>
      <c r="J15" s="209">
        <f>'Tab 2'!$C$15/$N$5*J$5</f>
        <v>1464.6813595881949</v>
      </c>
      <c r="K15" s="209">
        <f>'Tab 2'!$C$15/$N$5*K$5</f>
        <v>1398.1049341523681</v>
      </c>
      <c r="L15" s="209">
        <f>'Tab 2'!$C$15/$N$5*L$5</f>
        <v>1398.1049341523681</v>
      </c>
      <c r="M15" s="209">
        <f>'Tab 2'!$C$15/$N$5*M$5</f>
        <v>798.91710522992457</v>
      </c>
      <c r="N15" s="6">
        <f>SUM(B15:M15)</f>
        <v>15645.459977419356</v>
      </c>
      <c r="P15" s="209">
        <f>'Tab 2'!$C$23/$N$5*P$5</f>
        <v>1222.3431710017846</v>
      </c>
      <c r="Q15" s="209">
        <f>'Tab 2'!$C$23/$N$5*Q$5</f>
        <v>1358.1590788908718</v>
      </c>
      <c r="R15" s="209">
        <f>'Tab 2'!$C$23/$N$5*R$5</f>
        <v>1561.8829407245025</v>
      </c>
      <c r="S15" s="209">
        <f>'Tab 2'!$C$23/$N$5*S$5</f>
        <v>1426.0670328354154</v>
      </c>
    </row>
    <row r="16" spans="1:19" x14ac:dyDescent="0.2">
      <c r="A16" s="5" t="s">
        <v>93</v>
      </c>
      <c r="B16" s="209">
        <f>'Tab 2'!$F$15/$N$5*B$5</f>
        <v>0</v>
      </c>
      <c r="C16" s="209">
        <f>'Tab 2'!$F$15/$N$5*C$5</f>
        <v>0</v>
      </c>
      <c r="D16" s="209">
        <f>'Tab 2'!$F$15/$N$5*D$5</f>
        <v>0</v>
      </c>
      <c r="E16" s="209">
        <f>'Tab 2'!$F$15/$N$5*E$5</f>
        <v>0</v>
      </c>
      <c r="F16" s="209">
        <f>'Tab 2'!$F$15/$N$5*F$5</f>
        <v>0</v>
      </c>
      <c r="G16" s="209">
        <f>'Tab 2'!$F$15/$N$5*G$5</f>
        <v>0</v>
      </c>
      <c r="H16" s="209">
        <f>'Tab 2'!$F$15/$N$5*H$5</f>
        <v>0</v>
      </c>
      <c r="I16" s="209">
        <f>'Tab 2'!$F$15/$N$5*I$5</f>
        <v>0</v>
      </c>
      <c r="J16" s="209">
        <f>'Tab 2'!$F$15/$N$5*J$5</f>
        <v>0</v>
      </c>
      <c r="K16" s="209">
        <f>'Tab 2'!$F$15/$N$5*K$5</f>
        <v>0</v>
      </c>
      <c r="L16" s="209">
        <f>'Tab 2'!$F$15/$N$5*L$5</f>
        <v>0</v>
      </c>
      <c r="M16" s="209">
        <f>'Tab 2'!$F$15/$N$5*M$5</f>
        <v>0</v>
      </c>
      <c r="N16" s="6">
        <f>SUM(B16:M16)</f>
        <v>0</v>
      </c>
      <c r="P16" s="209">
        <f>'Tab 2'!$F$23/$N$5*P$5</f>
        <v>0</v>
      </c>
      <c r="Q16" s="209">
        <f>'Tab 2'!$F$23/$N$5*Q$5</f>
        <v>0</v>
      </c>
      <c r="R16" s="209">
        <f>'Tab 2'!$F$23/$N$5*R$5</f>
        <v>0</v>
      </c>
      <c r="S16" s="209">
        <f>'Tab 2'!$F$23/$N$5*S$5</f>
        <v>0</v>
      </c>
    </row>
    <row r="17" spans="1:19" x14ac:dyDescent="0.2">
      <c r="A17" s="5" t="s">
        <v>63</v>
      </c>
      <c r="B17" s="209">
        <f>'Tab 2'!$I$15/$N$5*B$5</f>
        <v>2008.3404255319151</v>
      </c>
      <c r="C17" s="209">
        <f>'Tab 2'!$I$15/$N$5*C$5</f>
        <v>2231.489361702128</v>
      </c>
      <c r="D17" s="209">
        <f>'Tab 2'!$I$15/$N$5*D$5</f>
        <v>2566.2127659574471</v>
      </c>
      <c r="E17" s="209">
        <f>'Tab 2'!$I$15/$N$5*E$5</f>
        <v>2343.0638297872342</v>
      </c>
      <c r="F17" s="209">
        <f>'Tab 2'!$I$15/$N$5*F$5</f>
        <v>2343.0638297872342</v>
      </c>
      <c r="G17" s="209">
        <f>'Tab 2'!$I$15/$N$5*G$5</f>
        <v>2454.6382978723404</v>
      </c>
      <c r="H17" s="209">
        <f>'Tab 2'!$I$15/$N$5*H$5</f>
        <v>2454.6382978723404</v>
      </c>
      <c r="I17" s="209">
        <f>'Tab 2'!$I$15/$N$5*I$5</f>
        <v>1338.8936170212767</v>
      </c>
      <c r="J17" s="209">
        <f>'Tab 2'!$I$15/$N$5*J$5</f>
        <v>2454.6382978723404</v>
      </c>
      <c r="K17" s="209">
        <f>'Tab 2'!$I$15/$N$5*K$5</f>
        <v>2343.0638297872342</v>
      </c>
      <c r="L17" s="209">
        <f>'Tab 2'!$I$15/$N$5*L$5</f>
        <v>2343.0638297872342</v>
      </c>
      <c r="M17" s="209">
        <f>'Tab 2'!$I$15/$N$5*M$5</f>
        <v>1338.8936170212767</v>
      </c>
      <c r="N17" s="6">
        <f>SUM(B17:M17)</f>
        <v>26220.000000000004</v>
      </c>
      <c r="P17" s="209">
        <f>'Tab 2'!$I$23/$N$5*P$5</f>
        <v>2169.0076595744681</v>
      </c>
      <c r="Q17" s="209">
        <f>'Tab 2'!$I$23/$N$5*Q$5</f>
        <v>2410.0085106382976</v>
      </c>
      <c r="R17" s="209">
        <f>'Tab 2'!$I$23/$N$5*R$5</f>
        <v>2771.5097872340425</v>
      </c>
      <c r="S17" s="209">
        <f>'Tab 2'!$I$23/$N$5*S$5</f>
        <v>2530.5089361702126</v>
      </c>
    </row>
    <row r="18" spans="1:19" ht="17" thickBot="1" x14ac:dyDescent="0.25">
      <c r="A18" s="7" t="s">
        <v>3</v>
      </c>
      <c r="B18" s="8">
        <f t="shared" ref="B18:R18" si="3">SUM(B15:B17)</f>
        <v>3206.7160833768021</v>
      </c>
      <c r="C18" s="8">
        <f t="shared" si="3"/>
        <v>3563.0178704186692</v>
      </c>
      <c r="D18" s="8">
        <f t="shared" si="3"/>
        <v>4097.4705509814694</v>
      </c>
      <c r="E18" s="8">
        <f t="shared" si="3"/>
        <v>3741.1687639396023</v>
      </c>
      <c r="F18" s="8">
        <f t="shared" si="3"/>
        <v>3741.1687639396023</v>
      </c>
      <c r="G18" s="8">
        <f t="shared" si="3"/>
        <v>3919.3196574605354</v>
      </c>
      <c r="H18" s="8">
        <f t="shared" si="3"/>
        <v>3919.3196574605354</v>
      </c>
      <c r="I18" s="8">
        <f t="shared" si="3"/>
        <v>2137.8107222512012</v>
      </c>
      <c r="J18" s="8">
        <f t="shared" si="3"/>
        <v>3919.3196574605354</v>
      </c>
      <c r="K18" s="8">
        <f t="shared" si="3"/>
        <v>3741.1687639396023</v>
      </c>
      <c r="L18" s="8">
        <f t="shared" si="3"/>
        <v>3741.1687639396023</v>
      </c>
      <c r="M18" s="8">
        <f t="shared" si="3"/>
        <v>2137.8107222512012</v>
      </c>
      <c r="N18" s="8">
        <f t="shared" si="3"/>
        <v>41865.459977419363</v>
      </c>
      <c r="P18" s="8">
        <f t="shared" si="3"/>
        <v>3391.3508305762525</v>
      </c>
      <c r="Q18" s="8">
        <f t="shared" si="3"/>
        <v>3768.1675895291692</v>
      </c>
      <c r="R18" s="8">
        <f t="shared" si="3"/>
        <v>4333.392727958545</v>
      </c>
      <c r="S18" s="8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topLeftCell="A5" zoomScale="12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4" t="s">
        <v>35</v>
      </c>
    </row>
    <row r="3" spans="1:13" ht="14" thickBot="1" x14ac:dyDescent="0.2"/>
    <row r="4" spans="1:13" ht="16" x14ac:dyDescent="0.2">
      <c r="A4" s="210" t="s">
        <v>84</v>
      </c>
      <c r="B4" s="211" t="s">
        <v>6</v>
      </c>
      <c r="C4" s="211" t="s">
        <v>7</v>
      </c>
      <c r="D4" s="211" t="s">
        <v>8</v>
      </c>
      <c r="E4" s="211" t="s">
        <v>9</v>
      </c>
      <c r="F4" s="211" t="s">
        <v>10</v>
      </c>
      <c r="G4" s="211" t="s">
        <v>11</v>
      </c>
      <c r="H4" s="211" t="s">
        <v>12</v>
      </c>
      <c r="I4" s="211" t="s">
        <v>13</v>
      </c>
      <c r="J4" s="211" t="s">
        <v>14</v>
      </c>
      <c r="K4" s="211" t="s">
        <v>15</v>
      </c>
      <c r="L4" s="211" t="s">
        <v>16</v>
      </c>
      <c r="M4" s="212" t="s">
        <v>17</v>
      </c>
    </row>
    <row r="5" spans="1:13" ht="16" x14ac:dyDescent="0.2">
      <c r="A5" s="213" t="s">
        <v>61</v>
      </c>
      <c r="B5" s="55">
        <f>+'Tab 2'!$D$14</f>
        <v>180</v>
      </c>
      <c r="C5" s="55">
        <f>+'Tab 2'!$D$14</f>
        <v>180</v>
      </c>
      <c r="D5" s="55">
        <f>+'Tab 2'!$D$14</f>
        <v>180</v>
      </c>
      <c r="E5" s="55">
        <f>+'Tab 2'!$D$14</f>
        <v>180</v>
      </c>
      <c r="F5" s="55">
        <f>+'Tab 2'!$D$14</f>
        <v>180</v>
      </c>
      <c r="G5" s="55">
        <f>+'Tab 2'!$D$14</f>
        <v>180</v>
      </c>
      <c r="H5" s="55">
        <f>+'Tab 2'!$D$14</f>
        <v>180</v>
      </c>
      <c r="I5" s="55">
        <f>+'Tab 2'!$D$14</f>
        <v>180</v>
      </c>
      <c r="J5" s="55">
        <f>+'Tab 2'!$D$14</f>
        <v>180</v>
      </c>
      <c r="K5" s="55">
        <f>+'Tab 2'!$D$14</f>
        <v>180</v>
      </c>
      <c r="L5" s="55">
        <f>+'Tab 2'!$D$14</f>
        <v>180</v>
      </c>
      <c r="M5" s="215">
        <f>+'Tab 2'!$D$14</f>
        <v>180</v>
      </c>
    </row>
    <row r="6" spans="1:13" ht="16" x14ac:dyDescent="0.2">
      <c r="A6" s="213" t="s">
        <v>93</v>
      </c>
      <c r="B6" s="55">
        <f>'Tab 2'!$G$14</f>
        <v>180</v>
      </c>
      <c r="C6" s="55">
        <f>'Tab 2'!$G$14</f>
        <v>180</v>
      </c>
      <c r="D6" s="55">
        <f>'Tab 2'!$G$14</f>
        <v>180</v>
      </c>
      <c r="E6" s="55">
        <f>'Tab 2'!$G$14</f>
        <v>180</v>
      </c>
      <c r="F6" s="55">
        <f>'Tab 2'!$G$14</f>
        <v>180</v>
      </c>
      <c r="G6" s="55">
        <f>'Tab 2'!$G$14</f>
        <v>180</v>
      </c>
      <c r="H6" s="55">
        <f>'Tab 2'!$G$14</f>
        <v>180</v>
      </c>
      <c r="I6" s="55">
        <f>'Tab 2'!$G$14</f>
        <v>180</v>
      </c>
      <c r="J6" s="55">
        <f>'Tab 2'!$G$14</f>
        <v>180</v>
      </c>
      <c r="K6" s="55">
        <f>'Tab 2'!$G$14</f>
        <v>180</v>
      </c>
      <c r="L6" s="55">
        <f>'Tab 2'!$G$14</f>
        <v>180</v>
      </c>
      <c r="M6" s="215">
        <f>'Tab 2'!$G$14</f>
        <v>180</v>
      </c>
    </row>
    <row r="7" spans="1:13" ht="17" thickBot="1" x14ac:dyDescent="0.25">
      <c r="A7" s="214" t="s">
        <v>63</v>
      </c>
      <c r="B7" s="56">
        <f>'Tab 2'!$J$14</f>
        <v>180</v>
      </c>
      <c r="C7" s="56">
        <f>'Tab 2'!$J$14</f>
        <v>180</v>
      </c>
      <c r="D7" s="56">
        <f>'Tab 2'!$J$14</f>
        <v>180</v>
      </c>
      <c r="E7" s="56">
        <f>'Tab 2'!$J$14</f>
        <v>180</v>
      </c>
      <c r="F7" s="56">
        <f>'Tab 2'!$J$14</f>
        <v>180</v>
      </c>
      <c r="G7" s="56">
        <f>'Tab 2'!$J$14</f>
        <v>180</v>
      </c>
      <c r="H7" s="56">
        <f>'Tab 2'!$J$14</f>
        <v>180</v>
      </c>
      <c r="I7" s="56">
        <f>'Tab 2'!$J$14</f>
        <v>180</v>
      </c>
      <c r="J7" s="56">
        <f>'Tab 2'!$J$14</f>
        <v>180</v>
      </c>
      <c r="K7" s="56">
        <f>'Tab 2'!$J$14</f>
        <v>180</v>
      </c>
      <c r="L7" s="56">
        <f>'Tab 2'!$J$14</f>
        <v>180</v>
      </c>
      <c r="M7" s="216">
        <f>'Tab 2'!$J$14</f>
        <v>180</v>
      </c>
    </row>
    <row r="8" spans="1:13" ht="16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7" thickBo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6" x14ac:dyDescent="0.2">
      <c r="A11" s="210" t="s">
        <v>85</v>
      </c>
      <c r="B11" s="211" t="s">
        <v>6</v>
      </c>
      <c r="C11" s="211" t="s">
        <v>7</v>
      </c>
      <c r="D11" s="211" t="s">
        <v>8</v>
      </c>
      <c r="E11" s="211" t="s">
        <v>9</v>
      </c>
      <c r="F11" s="211" t="s">
        <v>10</v>
      </c>
      <c r="G11" s="211" t="s">
        <v>11</v>
      </c>
      <c r="H11" s="211" t="s">
        <v>12</v>
      </c>
      <c r="I11" s="211" t="s">
        <v>13</v>
      </c>
      <c r="J11" s="211" t="s">
        <v>14</v>
      </c>
      <c r="K11" s="211" t="s">
        <v>15</v>
      </c>
      <c r="L11" s="211" t="s">
        <v>16</v>
      </c>
      <c r="M11" s="212" t="s">
        <v>17</v>
      </c>
    </row>
    <row r="12" spans="1:13" ht="16" x14ac:dyDescent="0.2">
      <c r="A12" s="213" t="s">
        <v>61</v>
      </c>
      <c r="B12" s="55">
        <f>'Tab 2'!$D$15</f>
        <v>500</v>
      </c>
      <c r="C12" s="55">
        <f>'Tab 2'!$D$15</f>
        <v>500</v>
      </c>
      <c r="D12" s="55">
        <f>'Tab 2'!$D$15</f>
        <v>500</v>
      </c>
      <c r="E12" s="55">
        <f>'Tab 2'!$D$15</f>
        <v>500</v>
      </c>
      <c r="F12" s="55">
        <f>'Tab 2'!$D$15</f>
        <v>500</v>
      </c>
      <c r="G12" s="55">
        <f>'Tab 2'!$D$15</f>
        <v>500</v>
      </c>
      <c r="H12" s="55">
        <f>'Tab 2'!$D$15</f>
        <v>500</v>
      </c>
      <c r="I12" s="55">
        <f>'Tab 2'!$D$15</f>
        <v>500</v>
      </c>
      <c r="J12" s="55">
        <f>'Tab 2'!$D$15</f>
        <v>500</v>
      </c>
      <c r="K12" s="55">
        <f>'Tab 2'!$D$15</f>
        <v>500</v>
      </c>
      <c r="L12" s="55">
        <f>'Tab 2'!$D$15</f>
        <v>500</v>
      </c>
      <c r="M12" s="215">
        <f>'Tab 2'!$D$15</f>
        <v>500</v>
      </c>
    </row>
    <row r="13" spans="1:13" ht="16" x14ac:dyDescent="0.2">
      <c r="A13" s="213" t="s">
        <v>93</v>
      </c>
      <c r="B13" s="55">
        <f>'Tab 2'!$G$15</f>
        <v>500</v>
      </c>
      <c r="C13" s="55">
        <f>'Tab 2'!$G$15</f>
        <v>500</v>
      </c>
      <c r="D13" s="55">
        <f>'Tab 2'!$G$15</f>
        <v>500</v>
      </c>
      <c r="E13" s="55">
        <f>'Tab 2'!$G$15</f>
        <v>500</v>
      </c>
      <c r="F13" s="55">
        <f>'Tab 2'!$G$15</f>
        <v>500</v>
      </c>
      <c r="G13" s="55">
        <f>'Tab 2'!$G$15</f>
        <v>500</v>
      </c>
      <c r="H13" s="55">
        <f>'Tab 2'!$G$15</f>
        <v>500</v>
      </c>
      <c r="I13" s="55">
        <f>'Tab 2'!$G$15</f>
        <v>500</v>
      </c>
      <c r="J13" s="55">
        <f>'Tab 2'!$G$15</f>
        <v>500</v>
      </c>
      <c r="K13" s="55">
        <f>'Tab 2'!$G$15</f>
        <v>500</v>
      </c>
      <c r="L13" s="55">
        <f>'Tab 2'!$G$15</f>
        <v>500</v>
      </c>
      <c r="M13" s="215">
        <f>'Tab 2'!$G$15</f>
        <v>500</v>
      </c>
    </row>
    <row r="14" spans="1:13" ht="17" thickBot="1" x14ac:dyDescent="0.25">
      <c r="A14" s="214" t="s">
        <v>63</v>
      </c>
      <c r="B14" s="56">
        <f>'Tab 2'!$J$15</f>
        <v>500</v>
      </c>
      <c r="C14" s="56">
        <f>'Tab 2'!$J$15</f>
        <v>500</v>
      </c>
      <c r="D14" s="56">
        <f>'Tab 2'!$J$15</f>
        <v>500</v>
      </c>
      <c r="E14" s="56">
        <f>'Tab 2'!$J$15</f>
        <v>500</v>
      </c>
      <c r="F14" s="56">
        <f>'Tab 2'!$J$15</f>
        <v>500</v>
      </c>
      <c r="G14" s="56">
        <f>'Tab 2'!$J$15</f>
        <v>500</v>
      </c>
      <c r="H14" s="56">
        <f>'Tab 2'!$J$15</f>
        <v>500</v>
      </c>
      <c r="I14" s="56">
        <f>'Tab 2'!$J$15</f>
        <v>500</v>
      </c>
      <c r="J14" s="56">
        <f>'Tab 2'!$J$15</f>
        <v>500</v>
      </c>
      <c r="K14" s="56">
        <f>'Tab 2'!$J$15</f>
        <v>500</v>
      </c>
      <c r="L14" s="56">
        <f>'Tab 2'!$J$15</f>
        <v>500</v>
      </c>
      <c r="M14" s="216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40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2" customWidth="1"/>
    <col min="2" max="2" width="11.1640625" style="2" bestFit="1" customWidth="1"/>
    <col min="3" max="13" width="12.83203125" style="2" customWidth="1"/>
    <col min="14" max="14" width="12.6640625" style="2" customWidth="1"/>
    <col min="15" max="15" width="9.1640625" style="2"/>
    <col min="16" max="16" width="12.33203125" style="2" customWidth="1"/>
    <col min="17" max="16384" width="9.1640625" style="2"/>
  </cols>
  <sheetData>
    <row r="2" spans="1:16" ht="17" thickBot="1" x14ac:dyDescent="0.25"/>
    <row r="3" spans="1:16" x14ac:dyDescent="0.2">
      <c r="A3" s="4" t="s">
        <v>102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8" t="s">
        <v>5</v>
      </c>
    </row>
    <row r="4" spans="1:16" x14ac:dyDescent="0.2">
      <c r="A4" s="2" t="s">
        <v>30</v>
      </c>
      <c r="B4" s="49">
        <f>B29+B77+B52</f>
        <v>52287.943518874396</v>
      </c>
      <c r="C4" s="49">
        <f t="shared" ref="C4:M4" si="0">C29+C77+C52</f>
        <v>58097.715020971547</v>
      </c>
      <c r="D4" s="49">
        <f t="shared" si="0"/>
        <v>66812.372274117282</v>
      </c>
      <c r="E4" s="49">
        <f t="shared" si="0"/>
        <v>61002.600772020123</v>
      </c>
      <c r="F4" s="49">
        <f t="shared" si="0"/>
        <v>61002.600772020123</v>
      </c>
      <c r="G4" s="49">
        <f t="shared" si="0"/>
        <v>63907.486523068699</v>
      </c>
      <c r="H4" s="49">
        <f t="shared" si="0"/>
        <v>63907.486523068699</v>
      </c>
      <c r="I4" s="49">
        <f t="shared" si="0"/>
        <v>34858.629012582925</v>
      </c>
      <c r="J4" s="49">
        <f t="shared" si="0"/>
        <v>63907.486523068699</v>
      </c>
      <c r="K4" s="49">
        <f t="shared" si="0"/>
        <v>61002.600772020123</v>
      </c>
      <c r="L4" s="49">
        <f t="shared" si="0"/>
        <v>61002.600772020123</v>
      </c>
      <c r="M4" s="49">
        <f t="shared" si="0"/>
        <v>34858.629012582925</v>
      </c>
      <c r="N4" s="50">
        <f>SUM(B4:M4)</f>
        <v>682648.15149641572</v>
      </c>
    </row>
    <row r="5" spans="1:16" x14ac:dyDescent="0.2">
      <c r="A5" s="2" t="s">
        <v>31</v>
      </c>
      <c r="B5" s="67">
        <f>B6/B4</f>
        <v>179.99999999999997</v>
      </c>
      <c r="C5" s="67">
        <f t="shared" ref="C5:M5" si="1">C6/C4</f>
        <v>180</v>
      </c>
      <c r="D5" s="67">
        <f t="shared" si="1"/>
        <v>179.99999999999997</v>
      </c>
      <c r="E5" s="67">
        <f t="shared" si="1"/>
        <v>180</v>
      </c>
      <c r="F5" s="67">
        <f t="shared" si="1"/>
        <v>180</v>
      </c>
      <c r="G5" s="67">
        <f t="shared" si="1"/>
        <v>180</v>
      </c>
      <c r="H5" s="67">
        <f t="shared" si="1"/>
        <v>180</v>
      </c>
      <c r="I5" s="67">
        <f t="shared" si="1"/>
        <v>180</v>
      </c>
      <c r="J5" s="67">
        <f t="shared" si="1"/>
        <v>180</v>
      </c>
      <c r="K5" s="67">
        <f t="shared" si="1"/>
        <v>180</v>
      </c>
      <c r="L5" s="67">
        <f t="shared" si="1"/>
        <v>180</v>
      </c>
      <c r="M5" s="67">
        <f t="shared" si="1"/>
        <v>180</v>
      </c>
      <c r="N5" s="68">
        <f>N6/N4</f>
        <v>180</v>
      </c>
      <c r="P5" s="2" t="s">
        <v>97</v>
      </c>
    </row>
    <row r="6" spans="1:16" x14ac:dyDescent="0.2">
      <c r="A6" s="11" t="s">
        <v>32</v>
      </c>
      <c r="B6" s="51">
        <f>B31+B79+B54</f>
        <v>9411829.8333973903</v>
      </c>
      <c r="C6" s="51">
        <f t="shared" ref="C6:M6" si="2">C31+C79+C54</f>
        <v>10457588.703774879</v>
      </c>
      <c r="D6" s="51">
        <f t="shared" si="2"/>
        <v>12026227.00934111</v>
      </c>
      <c r="E6" s="51">
        <f t="shared" si="2"/>
        <v>10980468.138963623</v>
      </c>
      <c r="F6" s="51">
        <f t="shared" si="2"/>
        <v>10980468.138963623</v>
      </c>
      <c r="G6" s="51">
        <f t="shared" si="2"/>
        <v>11503347.574152365</v>
      </c>
      <c r="H6" s="51">
        <f t="shared" si="2"/>
        <v>11503347.574152365</v>
      </c>
      <c r="I6" s="51">
        <f t="shared" si="2"/>
        <v>6274553.2222649269</v>
      </c>
      <c r="J6" s="51">
        <f t="shared" si="2"/>
        <v>11503347.574152365</v>
      </c>
      <c r="K6" s="51">
        <f t="shared" si="2"/>
        <v>10980468.138963623</v>
      </c>
      <c r="L6" s="51">
        <f t="shared" si="2"/>
        <v>10980468.138963623</v>
      </c>
      <c r="M6" s="51">
        <f t="shared" si="2"/>
        <v>6274553.2222649269</v>
      </c>
      <c r="N6" s="52">
        <f>SUM(B6:M6)</f>
        <v>122876667.26935484</v>
      </c>
      <c r="P6" s="78">
        <f>+N6-'Tab 3'!AA36</f>
        <v>0</v>
      </c>
    </row>
    <row r="27" spans="1:14" ht="17" thickBot="1" x14ac:dyDescent="0.25"/>
    <row r="28" spans="1:14" x14ac:dyDescent="0.2">
      <c r="A28" s="4" t="s">
        <v>103</v>
      </c>
      <c r="B28" s="4" t="s">
        <v>6</v>
      </c>
      <c r="C28" s="4" t="s">
        <v>7</v>
      </c>
      <c r="D28" s="4" t="s">
        <v>8</v>
      </c>
      <c r="E28" s="4" t="s">
        <v>9</v>
      </c>
      <c r="F28" s="4" t="s">
        <v>10</v>
      </c>
      <c r="G28" s="4" t="s">
        <v>11</v>
      </c>
      <c r="H28" s="4" t="s">
        <v>12</v>
      </c>
      <c r="I28" s="4" t="s">
        <v>13</v>
      </c>
      <c r="J28" s="4" t="s">
        <v>14</v>
      </c>
      <c r="K28" s="4" t="s">
        <v>15</v>
      </c>
      <c r="L28" s="4" t="s">
        <v>16</v>
      </c>
      <c r="M28" s="4" t="s">
        <v>17</v>
      </c>
      <c r="N28" s="48" t="s">
        <v>5</v>
      </c>
    </row>
    <row r="29" spans="1:14" x14ac:dyDescent="0.2">
      <c r="A29" s="2" t="s">
        <v>30</v>
      </c>
      <c r="B29" s="49">
        <f>QUANTITÀ!B8</f>
        <v>18863.320540150991</v>
      </c>
      <c r="C29" s="49">
        <f>QUANTITÀ!C8</f>
        <v>20959.245044612213</v>
      </c>
      <c r="D29" s="49">
        <f>QUANTITÀ!D8</f>
        <v>24103.131801304044</v>
      </c>
      <c r="E29" s="49">
        <f>QUANTITÀ!E8</f>
        <v>22007.207296842822</v>
      </c>
      <c r="F29" s="49">
        <f>QUANTITÀ!F8</f>
        <v>22007.207296842822</v>
      </c>
      <c r="G29" s="49">
        <f>QUANTITÀ!G8</f>
        <v>23055.169549073435</v>
      </c>
      <c r="H29" s="49">
        <f>QUANTITÀ!H8</f>
        <v>23055.169549073435</v>
      </c>
      <c r="I29" s="49">
        <f>QUANTITÀ!I8</f>
        <v>12575.547026767326</v>
      </c>
      <c r="J29" s="49">
        <f>QUANTITÀ!J8</f>
        <v>23055.169549073435</v>
      </c>
      <c r="K29" s="49">
        <f>QUANTITÀ!K8</f>
        <v>22007.207296842822</v>
      </c>
      <c r="L29" s="49">
        <f>QUANTITÀ!L8</f>
        <v>22007.207296842822</v>
      </c>
      <c r="M29" s="49">
        <f>QUANTITÀ!M8</f>
        <v>12575.547026767326</v>
      </c>
      <c r="N29" s="50">
        <f>SUM(B29:M29)</f>
        <v>246271.12927419355</v>
      </c>
    </row>
    <row r="30" spans="1:14" x14ac:dyDescent="0.2">
      <c r="A30" s="2" t="s">
        <v>31</v>
      </c>
      <c r="B30" s="67">
        <f>PREZZI!B5</f>
        <v>180</v>
      </c>
      <c r="C30" s="67">
        <f>PREZZI!C5</f>
        <v>180</v>
      </c>
      <c r="D30" s="67">
        <f>PREZZI!D5</f>
        <v>180</v>
      </c>
      <c r="E30" s="67">
        <f>PREZZI!E5</f>
        <v>180</v>
      </c>
      <c r="F30" s="67">
        <f>PREZZI!F5</f>
        <v>180</v>
      </c>
      <c r="G30" s="67">
        <f>PREZZI!G5</f>
        <v>180</v>
      </c>
      <c r="H30" s="67">
        <f>PREZZI!H5</f>
        <v>180</v>
      </c>
      <c r="I30" s="67">
        <f>PREZZI!I5</f>
        <v>180</v>
      </c>
      <c r="J30" s="67">
        <f>PREZZI!J5</f>
        <v>180</v>
      </c>
      <c r="K30" s="67">
        <f>PREZZI!K5</f>
        <v>180</v>
      </c>
      <c r="L30" s="67">
        <f>PREZZI!L5</f>
        <v>180</v>
      </c>
      <c r="M30" s="67">
        <f>PREZZI!M5</f>
        <v>180</v>
      </c>
      <c r="N30" s="68">
        <f>(N31)/N29</f>
        <v>180.00000000000003</v>
      </c>
    </row>
    <row r="31" spans="1:14" x14ac:dyDescent="0.2">
      <c r="A31" s="11" t="s">
        <v>32</v>
      </c>
      <c r="B31" s="51">
        <f>B29*B30</f>
        <v>3395397.6972271786</v>
      </c>
      <c r="C31" s="51">
        <f t="shared" ref="C31:M31" si="3">C29*C30</f>
        <v>3772664.1080301981</v>
      </c>
      <c r="D31" s="51">
        <f t="shared" si="3"/>
        <v>4338563.7242347281</v>
      </c>
      <c r="E31" s="51">
        <f t="shared" si="3"/>
        <v>3961297.3134317081</v>
      </c>
      <c r="F31" s="51">
        <f t="shared" si="3"/>
        <v>3961297.3134317081</v>
      </c>
      <c r="G31" s="51">
        <f t="shared" si="3"/>
        <v>4149930.5188332181</v>
      </c>
      <c r="H31" s="51">
        <f t="shared" si="3"/>
        <v>4149930.5188332181</v>
      </c>
      <c r="I31" s="51">
        <f t="shared" si="3"/>
        <v>2263598.4648181186</v>
      </c>
      <c r="J31" s="51">
        <f t="shared" si="3"/>
        <v>4149930.5188332181</v>
      </c>
      <c r="K31" s="51">
        <f t="shared" si="3"/>
        <v>3961297.3134317081</v>
      </c>
      <c r="L31" s="51">
        <f t="shared" si="3"/>
        <v>3961297.3134317081</v>
      </c>
      <c r="M31" s="51">
        <f t="shared" si="3"/>
        <v>2263598.4648181186</v>
      </c>
      <c r="N31" s="52">
        <f>SUM(B31:M31)</f>
        <v>44328803.269354843</v>
      </c>
    </row>
    <row r="50" spans="1:14" ht="17" thickBot="1" x14ac:dyDescent="0.25"/>
    <row r="51" spans="1:14" x14ac:dyDescent="0.2">
      <c r="A51" s="4" t="s">
        <v>104</v>
      </c>
      <c r="B51" s="4" t="s">
        <v>6</v>
      </c>
      <c r="C51" s="4" t="s">
        <v>7</v>
      </c>
      <c r="D51" s="4" t="s">
        <v>8</v>
      </c>
      <c r="E51" s="4" t="s">
        <v>9</v>
      </c>
      <c r="F51" s="4" t="s">
        <v>10</v>
      </c>
      <c r="G51" s="4" t="s">
        <v>11</v>
      </c>
      <c r="H51" s="4" t="s">
        <v>12</v>
      </c>
      <c r="I51" s="4" t="s">
        <v>13</v>
      </c>
      <c r="J51" s="4" t="s">
        <v>14</v>
      </c>
      <c r="K51" s="4" t="s">
        <v>15</v>
      </c>
      <c r="L51" s="4" t="s">
        <v>16</v>
      </c>
      <c r="M51" s="4" t="s">
        <v>17</v>
      </c>
      <c r="N51" s="48" t="s">
        <v>5</v>
      </c>
    </row>
    <row r="52" spans="1:14" x14ac:dyDescent="0.2">
      <c r="A52" s="2" t="s">
        <v>30</v>
      </c>
      <c r="B52" s="49">
        <f>+QUANTITÀ!B9</f>
        <v>33131.005957446803</v>
      </c>
      <c r="C52" s="49">
        <f>+QUANTITÀ!C9</f>
        <v>36812.228841607561</v>
      </c>
      <c r="D52" s="49">
        <f>+QUANTITÀ!D9</f>
        <v>42334.063167848697</v>
      </c>
      <c r="E52" s="49">
        <f>+QUANTITÀ!E9</f>
        <v>38652.84028368794</v>
      </c>
      <c r="F52" s="49">
        <f>+QUANTITÀ!F9</f>
        <v>38652.84028368794</v>
      </c>
      <c r="G52" s="49">
        <f>+QUANTITÀ!G9</f>
        <v>40493.451725768318</v>
      </c>
      <c r="H52" s="49">
        <f>+QUANTITÀ!H9</f>
        <v>40493.451725768318</v>
      </c>
      <c r="I52" s="49">
        <f>+QUANTITÀ!I9</f>
        <v>22087.337304964538</v>
      </c>
      <c r="J52" s="49">
        <f>+QUANTITÀ!J9</f>
        <v>40493.451725768318</v>
      </c>
      <c r="K52" s="49">
        <f>+QUANTITÀ!K9</f>
        <v>38652.84028368794</v>
      </c>
      <c r="L52" s="49">
        <f>+QUANTITÀ!L9</f>
        <v>38652.84028368794</v>
      </c>
      <c r="M52" s="49">
        <f>+QUANTITÀ!M9</f>
        <v>22087.337304964538</v>
      </c>
      <c r="N52" s="50">
        <f>SUM(B52:M52)</f>
        <v>432543.68888888886</v>
      </c>
    </row>
    <row r="53" spans="1:14" x14ac:dyDescent="0.2">
      <c r="A53" s="2" t="s">
        <v>31</v>
      </c>
      <c r="B53" s="67">
        <f>+PREZZI!B6</f>
        <v>180</v>
      </c>
      <c r="C53" s="67">
        <f>+PREZZI!C6</f>
        <v>180</v>
      </c>
      <c r="D53" s="67">
        <f>+PREZZI!D6</f>
        <v>180</v>
      </c>
      <c r="E53" s="67">
        <f>+PREZZI!E6</f>
        <v>180</v>
      </c>
      <c r="F53" s="67">
        <f>+PREZZI!F6</f>
        <v>180</v>
      </c>
      <c r="G53" s="67">
        <f>+PREZZI!G6</f>
        <v>180</v>
      </c>
      <c r="H53" s="67">
        <f>+PREZZI!H6</f>
        <v>180</v>
      </c>
      <c r="I53" s="67">
        <f>+PREZZI!I6</f>
        <v>180</v>
      </c>
      <c r="J53" s="67">
        <f>+PREZZI!J6</f>
        <v>180</v>
      </c>
      <c r="K53" s="67">
        <f>+PREZZI!K6</f>
        <v>180</v>
      </c>
      <c r="L53" s="67">
        <f>+PREZZI!L6</f>
        <v>180</v>
      </c>
      <c r="M53" s="67">
        <f>+PREZZI!M6</f>
        <v>180</v>
      </c>
      <c r="N53" s="68">
        <f>(N54)/N52</f>
        <v>180</v>
      </c>
    </row>
    <row r="54" spans="1:14" x14ac:dyDescent="0.2">
      <c r="A54" s="11" t="s">
        <v>32</v>
      </c>
      <c r="B54" s="51">
        <f>B52*B53</f>
        <v>5963581.0723404242</v>
      </c>
      <c r="C54" s="51">
        <f t="shared" ref="C54:M54" si="4">C52*C53</f>
        <v>6626201.1914893612</v>
      </c>
      <c r="D54" s="51">
        <f t="shared" si="4"/>
        <v>7620131.3702127654</v>
      </c>
      <c r="E54" s="51">
        <f t="shared" si="4"/>
        <v>6957511.2510638293</v>
      </c>
      <c r="F54" s="51">
        <f t="shared" si="4"/>
        <v>6957511.2510638293</v>
      </c>
      <c r="G54" s="51">
        <f t="shared" si="4"/>
        <v>7288821.3106382973</v>
      </c>
      <c r="H54" s="51">
        <f t="shared" si="4"/>
        <v>7288821.3106382973</v>
      </c>
      <c r="I54" s="51">
        <f t="shared" si="4"/>
        <v>3975720.7148936167</v>
      </c>
      <c r="J54" s="51">
        <f t="shared" si="4"/>
        <v>7288821.3106382973</v>
      </c>
      <c r="K54" s="51">
        <f t="shared" si="4"/>
        <v>6957511.2510638293</v>
      </c>
      <c r="L54" s="51">
        <f t="shared" si="4"/>
        <v>6957511.2510638293</v>
      </c>
      <c r="M54" s="51">
        <f t="shared" si="4"/>
        <v>3975720.7148936167</v>
      </c>
      <c r="N54" s="52">
        <f>SUM(B54:M54)</f>
        <v>77857864</v>
      </c>
    </row>
    <row r="75" spans="1:14" ht="17" thickBot="1" x14ac:dyDescent="0.25"/>
    <row r="76" spans="1:14" x14ac:dyDescent="0.2">
      <c r="A76" s="4" t="s">
        <v>105</v>
      </c>
      <c r="B76" s="4" t="s">
        <v>6</v>
      </c>
      <c r="C76" s="4" t="s">
        <v>7</v>
      </c>
      <c r="D76" s="4" t="s">
        <v>8</v>
      </c>
      <c r="E76" s="4" t="s">
        <v>9</v>
      </c>
      <c r="F76" s="4" t="s">
        <v>10</v>
      </c>
      <c r="G76" s="4" t="s">
        <v>11</v>
      </c>
      <c r="H76" s="4" t="s">
        <v>12</v>
      </c>
      <c r="I76" s="4" t="s">
        <v>13</v>
      </c>
      <c r="J76" s="4" t="s">
        <v>14</v>
      </c>
      <c r="K76" s="4" t="s">
        <v>15</v>
      </c>
      <c r="L76" s="4" t="s">
        <v>16</v>
      </c>
      <c r="M76" s="4" t="s">
        <v>17</v>
      </c>
      <c r="N76" s="48" t="s">
        <v>5</v>
      </c>
    </row>
    <row r="77" spans="1:14" x14ac:dyDescent="0.2">
      <c r="A77" s="2" t="s">
        <v>30</v>
      </c>
      <c r="B77" s="49">
        <f>QUANTITÀ!B10</f>
        <v>293.61702127659601</v>
      </c>
      <c r="C77" s="49">
        <f>QUANTITÀ!C10</f>
        <v>326.2411347517733</v>
      </c>
      <c r="D77" s="49">
        <f>QUANTITÀ!D10</f>
        <v>375.1773049645393</v>
      </c>
      <c r="E77" s="49">
        <f>QUANTITÀ!E10</f>
        <v>342.55319148936201</v>
      </c>
      <c r="F77" s="49">
        <f>QUANTITÀ!F10</f>
        <v>342.55319148936201</v>
      </c>
      <c r="G77" s="49">
        <f>QUANTITÀ!G10</f>
        <v>358.86524822695065</v>
      </c>
      <c r="H77" s="49">
        <f>QUANTITÀ!H10</f>
        <v>358.86524822695065</v>
      </c>
      <c r="I77" s="49">
        <f>QUANTITÀ!I10</f>
        <v>195.744680851064</v>
      </c>
      <c r="J77" s="49">
        <f>QUANTITÀ!J10</f>
        <v>358.86524822695065</v>
      </c>
      <c r="K77" s="49">
        <f>QUANTITÀ!K10</f>
        <v>342.55319148936201</v>
      </c>
      <c r="L77" s="49">
        <f>QUANTITÀ!L10</f>
        <v>342.55319148936201</v>
      </c>
      <c r="M77" s="49">
        <f>QUANTITÀ!M10</f>
        <v>195.744680851064</v>
      </c>
      <c r="N77" s="50">
        <f>SUM(B77:M77)</f>
        <v>3833.3333333333367</v>
      </c>
    </row>
    <row r="78" spans="1:14" x14ac:dyDescent="0.2">
      <c r="A78" s="2" t="s">
        <v>31</v>
      </c>
      <c r="B78" s="67">
        <f>PREZZI!B7</f>
        <v>180</v>
      </c>
      <c r="C78" s="67">
        <f>PREZZI!C7</f>
        <v>180</v>
      </c>
      <c r="D78" s="67">
        <f>PREZZI!D7</f>
        <v>180</v>
      </c>
      <c r="E78" s="67">
        <f>PREZZI!E7</f>
        <v>180</v>
      </c>
      <c r="F78" s="67">
        <f>PREZZI!F7</f>
        <v>180</v>
      </c>
      <c r="G78" s="67">
        <f>PREZZI!G7</f>
        <v>180</v>
      </c>
      <c r="H78" s="67">
        <f>PREZZI!H7</f>
        <v>180</v>
      </c>
      <c r="I78" s="67">
        <f>PREZZI!I7</f>
        <v>180</v>
      </c>
      <c r="J78" s="67">
        <f>PREZZI!J7</f>
        <v>180</v>
      </c>
      <c r="K78" s="67">
        <f>PREZZI!K7</f>
        <v>180</v>
      </c>
      <c r="L78" s="67">
        <f>PREZZI!L7</f>
        <v>180</v>
      </c>
      <c r="M78" s="67">
        <f>PREZZI!M7</f>
        <v>180</v>
      </c>
      <c r="N78" s="68">
        <f>(N79*1000)/N77</f>
        <v>180000.00000000003</v>
      </c>
    </row>
    <row r="79" spans="1:14" x14ac:dyDescent="0.2">
      <c r="A79" s="11" t="s">
        <v>32</v>
      </c>
      <c r="B79" s="51">
        <f>B77*B78</f>
        <v>52851.063829787279</v>
      </c>
      <c r="C79" s="51">
        <f t="shared" ref="C79:M79" si="5">C77*C78</f>
        <v>58723.404255319198</v>
      </c>
      <c r="D79" s="51">
        <f t="shared" si="5"/>
        <v>67531.914893617068</v>
      </c>
      <c r="E79" s="51">
        <f t="shared" si="5"/>
        <v>61659.574468085164</v>
      </c>
      <c r="F79" s="51">
        <f t="shared" si="5"/>
        <v>61659.574468085164</v>
      </c>
      <c r="G79" s="51">
        <f t="shared" si="5"/>
        <v>64595.744680851116</v>
      </c>
      <c r="H79" s="51">
        <f t="shared" si="5"/>
        <v>64595.744680851116</v>
      </c>
      <c r="I79" s="51">
        <f t="shared" si="5"/>
        <v>35234.042553191524</v>
      </c>
      <c r="J79" s="51">
        <f t="shared" si="5"/>
        <v>64595.744680851116</v>
      </c>
      <c r="K79" s="51">
        <f t="shared" si="5"/>
        <v>61659.574468085164</v>
      </c>
      <c r="L79" s="51">
        <f t="shared" si="5"/>
        <v>61659.574468085164</v>
      </c>
      <c r="M79" s="51">
        <f t="shared" si="5"/>
        <v>35234.042553191524</v>
      </c>
      <c r="N79" s="52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65"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5" bestFit="1" customWidth="1"/>
    <col min="2" max="5" width="11.5" style="2" bestFit="1" customWidth="1"/>
    <col min="6" max="13" width="10.5" style="2" bestFit="1" customWidth="1"/>
    <col min="14" max="14" width="13.5" style="2" bestFit="1" customWidth="1"/>
    <col min="15" max="16384" width="9.1640625" style="2"/>
  </cols>
  <sheetData>
    <row r="2" spans="1:16" ht="17" thickBot="1" x14ac:dyDescent="0.25"/>
    <row r="3" spans="1:16" x14ac:dyDescent="0.2">
      <c r="A3" s="210" t="s">
        <v>98</v>
      </c>
      <c r="B3" s="211" t="s">
        <v>6</v>
      </c>
      <c r="C3" s="211" t="s">
        <v>7</v>
      </c>
      <c r="D3" s="211" t="s">
        <v>8</v>
      </c>
      <c r="E3" s="211" t="s">
        <v>9</v>
      </c>
      <c r="F3" s="211" t="s">
        <v>10</v>
      </c>
      <c r="G3" s="211" t="s">
        <v>11</v>
      </c>
      <c r="H3" s="211" t="s">
        <v>12</v>
      </c>
      <c r="I3" s="211" t="s">
        <v>13</v>
      </c>
      <c r="J3" s="211" t="s">
        <v>14</v>
      </c>
      <c r="K3" s="211" t="s">
        <v>15</v>
      </c>
      <c r="L3" s="211" t="s">
        <v>16</v>
      </c>
      <c r="M3" s="211" t="s">
        <v>17</v>
      </c>
      <c r="N3" s="217" t="s">
        <v>5</v>
      </c>
    </row>
    <row r="4" spans="1:16" x14ac:dyDescent="0.2">
      <c r="A4" s="213" t="s">
        <v>30</v>
      </c>
      <c r="B4" s="49">
        <f t="shared" ref="B4:M4" si="0">B29+B54+B79</f>
        <v>3206.7160833768021</v>
      </c>
      <c r="C4" s="49">
        <f t="shared" si="0"/>
        <v>3563.0178704186692</v>
      </c>
      <c r="D4" s="49">
        <f t="shared" si="0"/>
        <v>4097.4705509814694</v>
      </c>
      <c r="E4" s="49">
        <f t="shared" si="0"/>
        <v>3741.1687639396023</v>
      </c>
      <c r="F4" s="49">
        <f t="shared" si="0"/>
        <v>3741.1687639396023</v>
      </c>
      <c r="G4" s="49">
        <f t="shared" si="0"/>
        <v>3919.3196574605354</v>
      </c>
      <c r="H4" s="49">
        <f t="shared" si="0"/>
        <v>3919.3196574605354</v>
      </c>
      <c r="I4" s="49">
        <f t="shared" si="0"/>
        <v>2137.8107222512012</v>
      </c>
      <c r="J4" s="49">
        <f t="shared" si="0"/>
        <v>3919.3196574605354</v>
      </c>
      <c r="K4" s="49">
        <f t="shared" si="0"/>
        <v>3741.1687639396023</v>
      </c>
      <c r="L4" s="49">
        <f t="shared" si="0"/>
        <v>3741.1687639396023</v>
      </c>
      <c r="M4" s="49">
        <f t="shared" si="0"/>
        <v>2137.8107222512012</v>
      </c>
      <c r="N4" s="218">
        <f>SUM(B4:M4)</f>
        <v>41865.459977419363</v>
      </c>
    </row>
    <row r="5" spans="1:16" x14ac:dyDescent="0.2">
      <c r="A5" s="213" t="s">
        <v>31</v>
      </c>
      <c r="B5" s="57">
        <f>B6/B4</f>
        <v>500</v>
      </c>
      <c r="C5" s="57">
        <f t="shared" ref="C5:M5" si="1">C6/C4</f>
        <v>499.99999999999994</v>
      </c>
      <c r="D5" s="57">
        <f t="shared" si="1"/>
        <v>500</v>
      </c>
      <c r="E5" s="57">
        <f t="shared" si="1"/>
        <v>500</v>
      </c>
      <c r="F5" s="57">
        <f t="shared" si="1"/>
        <v>500</v>
      </c>
      <c r="G5" s="57">
        <f t="shared" si="1"/>
        <v>499.99999999999994</v>
      </c>
      <c r="H5" s="57">
        <f t="shared" si="1"/>
        <v>499.99999999999994</v>
      </c>
      <c r="I5" s="57">
        <f t="shared" si="1"/>
        <v>499.99999999999994</v>
      </c>
      <c r="J5" s="57">
        <f t="shared" si="1"/>
        <v>499.99999999999994</v>
      </c>
      <c r="K5" s="57">
        <f t="shared" si="1"/>
        <v>500</v>
      </c>
      <c r="L5" s="57">
        <f t="shared" si="1"/>
        <v>500</v>
      </c>
      <c r="M5" s="57">
        <f t="shared" si="1"/>
        <v>499.99999999999994</v>
      </c>
      <c r="N5" s="219">
        <f>N6/N4</f>
        <v>499.99999999999989</v>
      </c>
      <c r="P5" s="2" t="s">
        <v>97</v>
      </c>
    </row>
    <row r="6" spans="1:16" ht="17" thickBot="1" x14ac:dyDescent="0.25">
      <c r="A6" s="36" t="s">
        <v>32</v>
      </c>
      <c r="B6" s="220">
        <f t="shared" ref="B6:M6" si="2">B31+B56+B81</f>
        <v>1603358.041688401</v>
      </c>
      <c r="C6" s="220">
        <f t="shared" si="2"/>
        <v>1781508.9352093344</v>
      </c>
      <c r="D6" s="220">
        <f t="shared" si="2"/>
        <v>2048735.2754907347</v>
      </c>
      <c r="E6" s="220">
        <f t="shared" si="2"/>
        <v>1870584.3819698012</v>
      </c>
      <c r="F6" s="220">
        <f t="shared" si="2"/>
        <v>1870584.3819698012</v>
      </c>
      <c r="G6" s="220">
        <f t="shared" si="2"/>
        <v>1959659.8287302675</v>
      </c>
      <c r="H6" s="220">
        <f t="shared" si="2"/>
        <v>1959659.8287302675</v>
      </c>
      <c r="I6" s="220">
        <f t="shared" si="2"/>
        <v>1068905.3611256005</v>
      </c>
      <c r="J6" s="220">
        <f t="shared" si="2"/>
        <v>1959659.8287302675</v>
      </c>
      <c r="K6" s="220">
        <f t="shared" si="2"/>
        <v>1870584.3819698012</v>
      </c>
      <c r="L6" s="220">
        <f t="shared" si="2"/>
        <v>1870584.3819698012</v>
      </c>
      <c r="M6" s="220">
        <f t="shared" si="2"/>
        <v>1068905.3611256005</v>
      </c>
      <c r="N6" s="221">
        <f>SUM(B6:M6)</f>
        <v>20932729.988709677</v>
      </c>
      <c r="P6" s="78">
        <f>+N6-'Tab 3'!AA42</f>
        <v>0</v>
      </c>
    </row>
    <row r="25" spans="1:14" ht="17" thickBot="1" x14ac:dyDescent="0.25">
      <c r="A25" s="70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1:14" ht="17" thickTop="1" x14ac:dyDescent="0.2"/>
    <row r="27" spans="1:14" ht="17" thickBot="1" x14ac:dyDescent="0.25"/>
    <row r="28" spans="1:14" x14ac:dyDescent="0.2">
      <c r="A28" s="210" t="s">
        <v>99</v>
      </c>
      <c r="B28" s="211" t="s">
        <v>6</v>
      </c>
      <c r="C28" s="211" t="s">
        <v>7</v>
      </c>
      <c r="D28" s="211" t="s">
        <v>8</v>
      </c>
      <c r="E28" s="211" t="s">
        <v>9</v>
      </c>
      <c r="F28" s="211" t="s">
        <v>10</v>
      </c>
      <c r="G28" s="211" t="s">
        <v>11</v>
      </c>
      <c r="H28" s="211" t="s">
        <v>12</v>
      </c>
      <c r="I28" s="211" t="s">
        <v>13</v>
      </c>
      <c r="J28" s="211" t="s">
        <v>14</v>
      </c>
      <c r="K28" s="211" t="s">
        <v>15</v>
      </c>
      <c r="L28" s="211" t="s">
        <v>16</v>
      </c>
      <c r="M28" s="211" t="s">
        <v>17</v>
      </c>
      <c r="N28" s="217" t="s">
        <v>5</v>
      </c>
    </row>
    <row r="29" spans="1:14" x14ac:dyDescent="0.2">
      <c r="A29" s="213" t="s">
        <v>30</v>
      </c>
      <c r="B29" s="49">
        <f>QUANTITÀ!B15</f>
        <v>1198.375657844887</v>
      </c>
      <c r="C29" s="49">
        <f>QUANTITÀ!C15</f>
        <v>1331.528508716541</v>
      </c>
      <c r="D29" s="49">
        <f>QUANTITÀ!D15</f>
        <v>1531.257785024022</v>
      </c>
      <c r="E29" s="49">
        <f>QUANTITÀ!E15</f>
        <v>1398.1049341523681</v>
      </c>
      <c r="F29" s="49">
        <f>QUANTITÀ!F15</f>
        <v>1398.1049341523681</v>
      </c>
      <c r="G29" s="49">
        <f>QUANTITÀ!G15</f>
        <v>1464.6813595881949</v>
      </c>
      <c r="H29" s="49">
        <f>QUANTITÀ!H15</f>
        <v>1464.6813595881949</v>
      </c>
      <c r="I29" s="49">
        <f>QUANTITÀ!I15</f>
        <v>798.91710522992457</v>
      </c>
      <c r="J29" s="49">
        <f>QUANTITÀ!J15</f>
        <v>1464.6813595881949</v>
      </c>
      <c r="K29" s="49">
        <f>QUANTITÀ!K15</f>
        <v>1398.1049341523681</v>
      </c>
      <c r="L29" s="49">
        <f>QUANTITÀ!L15</f>
        <v>1398.1049341523681</v>
      </c>
      <c r="M29" s="49">
        <f>QUANTITÀ!M15</f>
        <v>798.91710522992457</v>
      </c>
      <c r="N29" s="218">
        <f>SUM(B29:M29)</f>
        <v>15645.459977419356</v>
      </c>
    </row>
    <row r="30" spans="1:14" x14ac:dyDescent="0.2">
      <c r="A30" s="213" t="s">
        <v>31</v>
      </c>
      <c r="B30" s="57">
        <f>PREZZI!B12</f>
        <v>500</v>
      </c>
      <c r="C30" s="57">
        <f>PREZZI!C12</f>
        <v>500</v>
      </c>
      <c r="D30" s="57">
        <f>PREZZI!D12</f>
        <v>500</v>
      </c>
      <c r="E30" s="57">
        <f>PREZZI!E12</f>
        <v>500</v>
      </c>
      <c r="F30" s="57">
        <f>PREZZI!F12</f>
        <v>500</v>
      </c>
      <c r="G30" s="57">
        <f>PREZZI!G12</f>
        <v>500</v>
      </c>
      <c r="H30" s="57">
        <f>PREZZI!H12</f>
        <v>500</v>
      </c>
      <c r="I30" s="57">
        <f>PREZZI!I12</f>
        <v>500</v>
      </c>
      <c r="J30" s="57">
        <f>PREZZI!J12</f>
        <v>500</v>
      </c>
      <c r="K30" s="57">
        <f>PREZZI!K12</f>
        <v>500</v>
      </c>
      <c r="L30" s="57">
        <f>PREZZI!L12</f>
        <v>500</v>
      </c>
      <c r="M30" s="57">
        <f>PREZZI!M12</f>
        <v>500</v>
      </c>
      <c r="N30" s="219">
        <f>N31/N29</f>
        <v>500.00000000000006</v>
      </c>
    </row>
    <row r="31" spans="1:14" ht="17" thickBot="1" x14ac:dyDescent="0.25">
      <c r="A31" s="36" t="s">
        <v>32</v>
      </c>
      <c r="B31" s="220">
        <f>B29*B30</f>
        <v>599187.82892244344</v>
      </c>
      <c r="C31" s="220">
        <f t="shared" ref="C31:M31" si="3">C29*C30</f>
        <v>665764.25435827044</v>
      </c>
      <c r="D31" s="220">
        <f t="shared" si="3"/>
        <v>765628.89251201099</v>
      </c>
      <c r="E31" s="220">
        <f t="shared" si="3"/>
        <v>699052.467076184</v>
      </c>
      <c r="F31" s="220">
        <f t="shared" si="3"/>
        <v>699052.467076184</v>
      </c>
      <c r="G31" s="220">
        <f t="shared" si="3"/>
        <v>732340.67979409744</v>
      </c>
      <c r="H31" s="220">
        <f t="shared" si="3"/>
        <v>732340.67979409744</v>
      </c>
      <c r="I31" s="220">
        <f t="shared" si="3"/>
        <v>399458.55261496227</v>
      </c>
      <c r="J31" s="220">
        <f t="shared" si="3"/>
        <v>732340.67979409744</v>
      </c>
      <c r="K31" s="220">
        <f t="shared" si="3"/>
        <v>699052.467076184</v>
      </c>
      <c r="L31" s="220">
        <f t="shared" si="3"/>
        <v>699052.467076184</v>
      </c>
      <c r="M31" s="220">
        <f t="shared" si="3"/>
        <v>399458.55261496227</v>
      </c>
      <c r="N31" s="221">
        <f>SUM(B31:M31)</f>
        <v>7822729.9887096789</v>
      </c>
    </row>
    <row r="52" spans="1:14" ht="17" thickBot="1" x14ac:dyDescent="0.25"/>
    <row r="53" spans="1:14" x14ac:dyDescent="0.2">
      <c r="A53" s="210" t="s">
        <v>100</v>
      </c>
      <c r="B53" s="211" t="s">
        <v>6</v>
      </c>
      <c r="C53" s="211" t="s">
        <v>7</v>
      </c>
      <c r="D53" s="211" t="s">
        <v>8</v>
      </c>
      <c r="E53" s="211" t="s">
        <v>9</v>
      </c>
      <c r="F53" s="211" t="s">
        <v>10</v>
      </c>
      <c r="G53" s="211" t="s">
        <v>11</v>
      </c>
      <c r="H53" s="211" t="s">
        <v>12</v>
      </c>
      <c r="I53" s="211" t="s">
        <v>13</v>
      </c>
      <c r="J53" s="211" t="s">
        <v>14</v>
      </c>
      <c r="K53" s="211" t="s">
        <v>15</v>
      </c>
      <c r="L53" s="211" t="s">
        <v>16</v>
      </c>
      <c r="M53" s="211" t="s">
        <v>17</v>
      </c>
      <c r="N53" s="217" t="s">
        <v>5</v>
      </c>
    </row>
    <row r="54" spans="1:14" x14ac:dyDescent="0.2">
      <c r="A54" s="213" t="s">
        <v>30</v>
      </c>
      <c r="B54" s="49">
        <f>QUANTITÀ!B16</f>
        <v>0</v>
      </c>
      <c r="C54" s="49">
        <f>QUANTITÀ!C16</f>
        <v>0</v>
      </c>
      <c r="D54" s="49">
        <f>QUANTITÀ!D16</f>
        <v>0</v>
      </c>
      <c r="E54" s="49">
        <f>QUANTITÀ!E16</f>
        <v>0</v>
      </c>
      <c r="F54" s="49">
        <f>QUANTITÀ!F16</f>
        <v>0</v>
      </c>
      <c r="G54" s="49">
        <f>QUANTITÀ!G16</f>
        <v>0</v>
      </c>
      <c r="H54" s="49">
        <f>QUANTITÀ!H16</f>
        <v>0</v>
      </c>
      <c r="I54" s="49">
        <f>QUANTITÀ!I16</f>
        <v>0</v>
      </c>
      <c r="J54" s="49">
        <f>QUANTITÀ!J16</f>
        <v>0</v>
      </c>
      <c r="K54" s="49">
        <f>QUANTITÀ!K16</f>
        <v>0</v>
      </c>
      <c r="L54" s="49">
        <f>QUANTITÀ!L16</f>
        <v>0</v>
      </c>
      <c r="M54" s="49">
        <f>QUANTITÀ!M16</f>
        <v>0</v>
      </c>
      <c r="N54" s="218">
        <f>SUM(B54:M54)</f>
        <v>0</v>
      </c>
    </row>
    <row r="55" spans="1:14" x14ac:dyDescent="0.2">
      <c r="A55" s="213" t="s">
        <v>31</v>
      </c>
      <c r="B55" s="57">
        <f>PREZZI!B13</f>
        <v>500</v>
      </c>
      <c r="C55" s="57">
        <f>PREZZI!C13</f>
        <v>500</v>
      </c>
      <c r="D55" s="57">
        <f>PREZZI!D13</f>
        <v>500</v>
      </c>
      <c r="E55" s="57">
        <f>PREZZI!E13</f>
        <v>500</v>
      </c>
      <c r="F55" s="57">
        <f>PREZZI!F13</f>
        <v>500</v>
      </c>
      <c r="G55" s="57">
        <f>PREZZI!G13</f>
        <v>500</v>
      </c>
      <c r="H55" s="57">
        <f>PREZZI!H13</f>
        <v>500</v>
      </c>
      <c r="I55" s="57">
        <f>PREZZI!I13</f>
        <v>500</v>
      </c>
      <c r="J55" s="57">
        <f>PREZZI!J13</f>
        <v>500</v>
      </c>
      <c r="K55" s="57">
        <f>PREZZI!K13</f>
        <v>500</v>
      </c>
      <c r="L55" s="57">
        <f>PREZZI!L13</f>
        <v>500</v>
      </c>
      <c r="M55" s="57">
        <f>PREZZI!M13</f>
        <v>500</v>
      </c>
      <c r="N55" s="219">
        <f>IFERROR(N56/N54,0)</f>
        <v>0</v>
      </c>
    </row>
    <row r="56" spans="1:14" ht="17" thickBot="1" x14ac:dyDescent="0.25">
      <c r="A56" s="36" t="s">
        <v>32</v>
      </c>
      <c r="B56" s="220">
        <f>B54*B55</f>
        <v>0</v>
      </c>
      <c r="C56" s="220">
        <f t="shared" ref="C56:M56" si="4">C54*C55</f>
        <v>0</v>
      </c>
      <c r="D56" s="220">
        <f t="shared" si="4"/>
        <v>0</v>
      </c>
      <c r="E56" s="220">
        <f t="shared" si="4"/>
        <v>0</v>
      </c>
      <c r="F56" s="220">
        <f t="shared" si="4"/>
        <v>0</v>
      </c>
      <c r="G56" s="220">
        <f t="shared" si="4"/>
        <v>0</v>
      </c>
      <c r="H56" s="220">
        <f t="shared" si="4"/>
        <v>0</v>
      </c>
      <c r="I56" s="220">
        <f t="shared" si="4"/>
        <v>0</v>
      </c>
      <c r="J56" s="220">
        <f t="shared" si="4"/>
        <v>0</v>
      </c>
      <c r="K56" s="220">
        <f t="shared" si="4"/>
        <v>0</v>
      </c>
      <c r="L56" s="220">
        <f t="shared" si="4"/>
        <v>0</v>
      </c>
      <c r="M56" s="220">
        <f t="shared" si="4"/>
        <v>0</v>
      </c>
      <c r="N56" s="221">
        <f>SUM(B56:M56)</f>
        <v>0</v>
      </c>
    </row>
    <row r="77" spans="1:14" ht="17" thickBot="1" x14ac:dyDescent="0.25"/>
    <row r="78" spans="1:14" x14ac:dyDescent="0.2">
      <c r="A78" s="210" t="s">
        <v>101</v>
      </c>
      <c r="B78" s="211" t="s">
        <v>6</v>
      </c>
      <c r="C78" s="211" t="s">
        <v>7</v>
      </c>
      <c r="D78" s="211" t="s">
        <v>8</v>
      </c>
      <c r="E78" s="211" t="s">
        <v>9</v>
      </c>
      <c r="F78" s="211" t="s">
        <v>10</v>
      </c>
      <c r="G78" s="211" t="s">
        <v>11</v>
      </c>
      <c r="H78" s="211" t="s">
        <v>12</v>
      </c>
      <c r="I78" s="211" t="s">
        <v>13</v>
      </c>
      <c r="J78" s="211" t="s">
        <v>14</v>
      </c>
      <c r="K78" s="211" t="s">
        <v>15</v>
      </c>
      <c r="L78" s="211" t="s">
        <v>16</v>
      </c>
      <c r="M78" s="211" t="s">
        <v>17</v>
      </c>
      <c r="N78" s="217" t="s">
        <v>5</v>
      </c>
    </row>
    <row r="79" spans="1:14" x14ac:dyDescent="0.2">
      <c r="A79" s="213" t="s">
        <v>30</v>
      </c>
      <c r="B79" s="49">
        <f>QUANTITÀ!B17</f>
        <v>2008.3404255319151</v>
      </c>
      <c r="C79" s="49">
        <f>QUANTITÀ!C17</f>
        <v>2231.489361702128</v>
      </c>
      <c r="D79" s="49">
        <f>QUANTITÀ!D17</f>
        <v>2566.2127659574471</v>
      </c>
      <c r="E79" s="49">
        <f>QUANTITÀ!E17</f>
        <v>2343.0638297872342</v>
      </c>
      <c r="F79" s="49">
        <f>QUANTITÀ!F17</f>
        <v>2343.0638297872342</v>
      </c>
      <c r="G79" s="49">
        <f>QUANTITÀ!G17</f>
        <v>2454.6382978723404</v>
      </c>
      <c r="H79" s="49">
        <f>QUANTITÀ!H17</f>
        <v>2454.6382978723404</v>
      </c>
      <c r="I79" s="49">
        <f>QUANTITÀ!I17</f>
        <v>1338.8936170212767</v>
      </c>
      <c r="J79" s="49">
        <f>QUANTITÀ!J17</f>
        <v>2454.6382978723404</v>
      </c>
      <c r="K79" s="49">
        <f>QUANTITÀ!K17</f>
        <v>2343.0638297872342</v>
      </c>
      <c r="L79" s="49">
        <f>QUANTITÀ!L17</f>
        <v>2343.0638297872342</v>
      </c>
      <c r="M79" s="49">
        <f>QUANTITÀ!M17</f>
        <v>1338.8936170212767</v>
      </c>
      <c r="N79" s="218">
        <f>SUM(B79:M79)</f>
        <v>26220.000000000004</v>
      </c>
    </row>
    <row r="80" spans="1:14" x14ac:dyDescent="0.2">
      <c r="A80" s="213" t="s">
        <v>31</v>
      </c>
      <c r="B80" s="57">
        <f>PREZZI!B14</f>
        <v>500</v>
      </c>
      <c r="C80" s="57">
        <f>PREZZI!C14</f>
        <v>500</v>
      </c>
      <c r="D80" s="57">
        <f>PREZZI!D14</f>
        <v>500</v>
      </c>
      <c r="E80" s="57">
        <f>PREZZI!E14</f>
        <v>500</v>
      </c>
      <c r="F80" s="57">
        <f>PREZZI!F14</f>
        <v>500</v>
      </c>
      <c r="G80" s="57">
        <f>PREZZI!G14</f>
        <v>500</v>
      </c>
      <c r="H80" s="57">
        <f>PREZZI!H14</f>
        <v>500</v>
      </c>
      <c r="I80" s="57">
        <f>PREZZI!I14</f>
        <v>500</v>
      </c>
      <c r="J80" s="57">
        <f>PREZZI!J14</f>
        <v>500</v>
      </c>
      <c r="K80" s="57">
        <f>PREZZI!K14</f>
        <v>500</v>
      </c>
      <c r="L80" s="57">
        <f>PREZZI!L14</f>
        <v>500</v>
      </c>
      <c r="M80" s="57">
        <f>PREZZI!M14</f>
        <v>500</v>
      </c>
      <c r="N80" s="219">
        <f>(N81*1000)/N79</f>
        <v>500000.00000000006</v>
      </c>
    </row>
    <row r="81" spans="1:14" ht="17" thickBot="1" x14ac:dyDescent="0.25">
      <c r="A81" s="36" t="s">
        <v>32</v>
      </c>
      <c r="B81" s="220">
        <f>B79*B80</f>
        <v>1004170.2127659576</v>
      </c>
      <c r="C81" s="220">
        <f t="shared" ref="C81:M81" si="5">C79*C80</f>
        <v>1115744.6808510639</v>
      </c>
      <c r="D81" s="220">
        <f t="shared" si="5"/>
        <v>1283106.3829787236</v>
      </c>
      <c r="E81" s="220">
        <f t="shared" si="5"/>
        <v>1171531.9148936172</v>
      </c>
      <c r="F81" s="220">
        <f t="shared" si="5"/>
        <v>1171531.9148936172</v>
      </c>
      <c r="G81" s="220">
        <f t="shared" si="5"/>
        <v>1227319.1489361702</v>
      </c>
      <c r="H81" s="220">
        <f t="shared" si="5"/>
        <v>1227319.1489361702</v>
      </c>
      <c r="I81" s="220">
        <f t="shared" si="5"/>
        <v>669446.80851063831</v>
      </c>
      <c r="J81" s="220">
        <f t="shared" si="5"/>
        <v>1227319.1489361702</v>
      </c>
      <c r="K81" s="220">
        <f t="shared" si="5"/>
        <v>1171531.9148936172</v>
      </c>
      <c r="L81" s="220">
        <f t="shared" si="5"/>
        <v>1171531.9148936172</v>
      </c>
      <c r="M81" s="220">
        <f t="shared" si="5"/>
        <v>669446.80851063831</v>
      </c>
      <c r="N81" s="221">
        <f>SUM(B81:M81)</f>
        <v>13110000.000000004</v>
      </c>
    </row>
    <row r="84" spans="1:14" x14ac:dyDescent="0.2">
      <c r="N84" s="53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>
    <pageSetUpPr fitToPage="1"/>
  </sheetPr>
  <dimension ref="B2:O13"/>
  <sheetViews>
    <sheetView zoomScale="180" zoomScaleNormal="180" workbookViewId="0">
      <selection activeCell="C5" sqref="C5"/>
    </sheetView>
  </sheetViews>
  <sheetFormatPr baseColWidth="10" defaultRowHeight="16" x14ac:dyDescent="0.2"/>
  <cols>
    <col min="1" max="1" width="10.83203125" style="2"/>
    <col min="2" max="2" width="19" style="2" customWidth="1"/>
    <col min="3" max="14" width="12.33203125" style="2" customWidth="1"/>
    <col min="15" max="15" width="15" style="2" customWidth="1"/>
    <col min="16" max="16384" width="10.83203125" style="2"/>
  </cols>
  <sheetData>
    <row r="2" spans="2:15" x14ac:dyDescent="0.2">
      <c r="B2" s="2" t="s">
        <v>119</v>
      </c>
    </row>
    <row r="3" spans="2:15" ht="17" thickBot="1" x14ac:dyDescent="0.25"/>
    <row r="4" spans="2:15" x14ac:dyDescent="0.2">
      <c r="B4" s="12"/>
      <c r="C4" s="412" t="s">
        <v>91</v>
      </c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4"/>
    </row>
    <row r="5" spans="2:15" x14ac:dyDescent="0.2">
      <c r="B5" s="226"/>
      <c r="C5" s="21" t="s">
        <v>106</v>
      </c>
      <c r="D5" s="19" t="s">
        <v>107</v>
      </c>
      <c r="E5" s="19" t="s">
        <v>108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113</v>
      </c>
      <c r="K5" s="19" t="s">
        <v>114</v>
      </c>
      <c r="L5" s="19" t="s">
        <v>115</v>
      </c>
      <c r="M5" s="19" t="s">
        <v>116</v>
      </c>
      <c r="N5" s="19" t="s">
        <v>117</v>
      </c>
      <c r="O5" s="227" t="s">
        <v>74</v>
      </c>
    </row>
    <row r="6" spans="2:15" x14ac:dyDescent="0.2">
      <c r="B6" s="228" t="s">
        <v>94</v>
      </c>
      <c r="C6" s="223">
        <f>MOLLE!B31+POLIUR!B31</f>
        <v>3994585.5261496222</v>
      </c>
      <c r="D6" s="188">
        <f>MOLLE!C31+POLIUR!C31</f>
        <v>4438428.3623884683</v>
      </c>
      <c r="E6" s="188">
        <f>MOLLE!D31+POLIUR!D31</f>
        <v>5104192.6167467395</v>
      </c>
      <c r="F6" s="188">
        <f>MOLLE!E31+POLIUR!E31</f>
        <v>4660349.7805078924</v>
      </c>
      <c r="G6" s="188">
        <f>MOLLE!F31+POLIUR!F31</f>
        <v>4660349.7805078924</v>
      </c>
      <c r="H6" s="188">
        <f>MOLLE!G31+POLIUR!G31</f>
        <v>4882271.1986273155</v>
      </c>
      <c r="I6" s="188">
        <f>MOLLE!H31+POLIUR!H31</f>
        <v>4882271.1986273155</v>
      </c>
      <c r="J6" s="188">
        <f>MOLLE!I31+POLIUR!I31</f>
        <v>2663057.0174330808</v>
      </c>
      <c r="K6" s="188">
        <f>MOLLE!J31+POLIUR!J31</f>
        <v>4882271.1986273155</v>
      </c>
      <c r="L6" s="188">
        <f>MOLLE!K31+POLIUR!K31</f>
        <v>4660349.7805078924</v>
      </c>
      <c r="M6" s="188">
        <f>MOLLE!L31+POLIUR!L31</f>
        <v>4660349.7805078924</v>
      </c>
      <c r="N6" s="188">
        <f>MOLLE!M31+POLIUR!M31</f>
        <v>2663057.0174330808</v>
      </c>
      <c r="O6" s="229">
        <f>SUM(C6:N6)</f>
        <v>52151533.258064508</v>
      </c>
    </row>
    <row r="7" spans="2:15" x14ac:dyDescent="0.2">
      <c r="B7" s="82" t="s">
        <v>95</v>
      </c>
      <c r="C7" s="222">
        <f>MOLLE!B54+POLIUR!B56</f>
        <v>5963581.0723404242</v>
      </c>
      <c r="D7" s="76">
        <f>MOLLE!C54+POLIUR!C56</f>
        <v>6626201.1914893612</v>
      </c>
      <c r="E7" s="76">
        <f>MOLLE!D54+POLIUR!D56</f>
        <v>7620131.3702127654</v>
      </c>
      <c r="F7" s="76">
        <f>MOLLE!E54+POLIUR!E56</f>
        <v>6957511.2510638293</v>
      </c>
      <c r="G7" s="76">
        <f>MOLLE!F54+POLIUR!F56</f>
        <v>6957511.2510638293</v>
      </c>
      <c r="H7" s="76">
        <f>MOLLE!G54+POLIUR!G56</f>
        <v>7288821.3106382973</v>
      </c>
      <c r="I7" s="76">
        <f>MOLLE!H54+POLIUR!H56</f>
        <v>7288821.3106382973</v>
      </c>
      <c r="J7" s="76">
        <f>MOLLE!I54+POLIUR!I56</f>
        <v>3975720.7148936167</v>
      </c>
      <c r="K7" s="76">
        <f>MOLLE!J54+POLIUR!J56</f>
        <v>7288821.3106382973</v>
      </c>
      <c r="L7" s="76">
        <f>MOLLE!K54+POLIUR!K56</f>
        <v>6957511.2510638293</v>
      </c>
      <c r="M7" s="76">
        <f>MOLLE!L54+POLIUR!L56</f>
        <v>6957511.2510638293</v>
      </c>
      <c r="N7" s="76">
        <f>MOLLE!M54+POLIUR!M56</f>
        <v>3975720.7148936167</v>
      </c>
      <c r="O7" s="230">
        <f t="shared" ref="O7:O8" si="0">SUM(C7:N7)</f>
        <v>77857864</v>
      </c>
    </row>
    <row r="8" spans="2:15" x14ac:dyDescent="0.2">
      <c r="B8" s="16" t="s">
        <v>96</v>
      </c>
      <c r="C8" s="224">
        <f>MOLLE!B79+POLIUR!B81</f>
        <v>1057021.2765957448</v>
      </c>
      <c r="D8" s="225">
        <f>MOLLE!C79+POLIUR!C81</f>
        <v>1174468.0851063831</v>
      </c>
      <c r="E8" s="225">
        <f>MOLLE!D79+POLIUR!D81</f>
        <v>1350638.2978723408</v>
      </c>
      <c r="F8" s="225">
        <f>MOLLE!E79+POLIUR!E81</f>
        <v>1233191.4893617022</v>
      </c>
      <c r="G8" s="225">
        <f>MOLLE!F79+POLIUR!F81</f>
        <v>1233191.4893617022</v>
      </c>
      <c r="H8" s="225">
        <f>MOLLE!G79+POLIUR!G81</f>
        <v>1291914.8936170214</v>
      </c>
      <c r="I8" s="225">
        <f>MOLLE!H79+POLIUR!H81</f>
        <v>1291914.8936170214</v>
      </c>
      <c r="J8" s="225">
        <f>MOLLE!I79+POLIUR!I81</f>
        <v>704680.85106382985</v>
      </c>
      <c r="K8" s="225">
        <f>MOLLE!J79+POLIUR!J81</f>
        <v>1291914.8936170214</v>
      </c>
      <c r="L8" s="225">
        <f>MOLLE!K79+POLIUR!K81</f>
        <v>1233191.4893617022</v>
      </c>
      <c r="M8" s="225">
        <f>MOLLE!L79+POLIUR!L81</f>
        <v>1233191.4893617022</v>
      </c>
      <c r="N8" s="225">
        <f>MOLLE!M79+POLIUR!M81</f>
        <v>704680.85106382985</v>
      </c>
      <c r="O8" s="231">
        <f t="shared" si="0"/>
        <v>13800000</v>
      </c>
    </row>
    <row r="9" spans="2:15" ht="17" thickBot="1" x14ac:dyDescent="0.25">
      <c r="B9" s="232" t="s">
        <v>32</v>
      </c>
      <c r="C9" s="233">
        <f>SUM(C6:C8)</f>
        <v>11015187.875085792</v>
      </c>
      <c r="D9" s="220">
        <f t="shared" ref="D9:O9" si="1">SUM(D6:D8)</f>
        <v>12239097.638984215</v>
      </c>
      <c r="E9" s="220">
        <f t="shared" si="1"/>
        <v>14074962.284831846</v>
      </c>
      <c r="F9" s="220">
        <f t="shared" si="1"/>
        <v>12851052.520933423</v>
      </c>
      <c r="G9" s="220">
        <f t="shared" si="1"/>
        <v>12851052.520933423</v>
      </c>
      <c r="H9" s="220">
        <f t="shared" si="1"/>
        <v>13463007.402882634</v>
      </c>
      <c r="I9" s="220">
        <f t="shared" si="1"/>
        <v>13463007.402882634</v>
      </c>
      <c r="J9" s="220">
        <f t="shared" si="1"/>
        <v>7343458.5833905274</v>
      </c>
      <c r="K9" s="220">
        <f t="shared" si="1"/>
        <v>13463007.402882634</v>
      </c>
      <c r="L9" s="220">
        <f t="shared" si="1"/>
        <v>12851052.520933423</v>
      </c>
      <c r="M9" s="220">
        <f t="shared" si="1"/>
        <v>12851052.520933423</v>
      </c>
      <c r="N9" s="220">
        <f t="shared" si="1"/>
        <v>7343458.5833905274</v>
      </c>
      <c r="O9" s="234">
        <f t="shared" si="1"/>
        <v>143809397.25806451</v>
      </c>
    </row>
    <row r="10" spans="2:15" x14ac:dyDescent="0.2">
      <c r="B10" s="228" t="s">
        <v>94</v>
      </c>
      <c r="C10" s="223">
        <f>C6*'Tab 0'!$B$46</f>
        <v>39945.855261496225</v>
      </c>
      <c r="D10" s="188">
        <f>D6*'Tab 0'!$B$46</f>
        <v>44384.283623884687</v>
      </c>
      <c r="E10" s="188">
        <f>E6*'Tab 0'!$B$46</f>
        <v>51041.926167467398</v>
      </c>
      <c r="F10" s="188">
        <f>F6*'Tab 0'!$B$46</f>
        <v>46603.497805078921</v>
      </c>
      <c r="G10" s="188">
        <f>G6*'Tab 0'!$B$46</f>
        <v>46603.497805078921</v>
      </c>
      <c r="H10" s="188">
        <f>H6*'Tab 0'!$B$46</f>
        <v>48822.711986273156</v>
      </c>
      <c r="I10" s="188">
        <f>I6*'Tab 0'!$B$46</f>
        <v>48822.711986273156</v>
      </c>
      <c r="J10" s="188">
        <f>J6*'Tab 0'!$B$46</f>
        <v>26630.570174330809</v>
      </c>
      <c r="K10" s="188">
        <f>K6*'Tab 0'!$B$46</f>
        <v>48822.711986273156</v>
      </c>
      <c r="L10" s="188">
        <f>L6*'Tab 0'!$B$46</f>
        <v>46603.497805078921</v>
      </c>
      <c r="M10" s="188">
        <f>M6*'Tab 0'!$B$46</f>
        <v>46603.497805078921</v>
      </c>
      <c r="N10" s="188">
        <f>N6*'Tab 0'!$B$46</f>
        <v>26630.570174330809</v>
      </c>
      <c r="O10" s="229">
        <f>SUM(C10:N10)</f>
        <v>521515.3325806451</v>
      </c>
    </row>
    <row r="11" spans="2:15" x14ac:dyDescent="0.2">
      <c r="B11" s="82" t="s">
        <v>95</v>
      </c>
      <c r="C11" s="222">
        <f>C7*'Tab 0'!$C$46</f>
        <v>0</v>
      </c>
      <c r="D11" s="76">
        <f>D7*'Tab 0'!$C$46</f>
        <v>0</v>
      </c>
      <c r="E11" s="76">
        <f>E7*'Tab 0'!$C$46</f>
        <v>0</v>
      </c>
      <c r="F11" s="76">
        <f>F7*'Tab 0'!$C$46</f>
        <v>0</v>
      </c>
      <c r="G11" s="76">
        <f>G7*'Tab 0'!$C$46</f>
        <v>0</v>
      </c>
      <c r="H11" s="76">
        <f>H7*'Tab 0'!$C$46</f>
        <v>0</v>
      </c>
      <c r="I11" s="76">
        <f>I7*'Tab 0'!$C$46</f>
        <v>0</v>
      </c>
      <c r="J11" s="76">
        <f>J7*'Tab 0'!$C$46</f>
        <v>0</v>
      </c>
      <c r="K11" s="76">
        <f>K7*'Tab 0'!$C$46</f>
        <v>0</v>
      </c>
      <c r="L11" s="76">
        <f>L7*'Tab 0'!$C$46</f>
        <v>0</v>
      </c>
      <c r="M11" s="76">
        <f>M7*'Tab 0'!$C$46</f>
        <v>0</v>
      </c>
      <c r="N11" s="76">
        <f>N7*'Tab 0'!$C$46</f>
        <v>0</v>
      </c>
      <c r="O11" s="230">
        <f t="shared" ref="O11:O12" si="2">SUM(C11:N11)</f>
        <v>0</v>
      </c>
    </row>
    <row r="12" spans="2:15" x14ac:dyDescent="0.2">
      <c r="B12" s="16" t="s">
        <v>96</v>
      </c>
      <c r="C12" s="224">
        <f>C8*'Tab 0'!$D$46</f>
        <v>105702.12765957449</v>
      </c>
      <c r="D12" s="225">
        <f>D8*'Tab 0'!$D$46</f>
        <v>117446.80851063831</v>
      </c>
      <c r="E12" s="225">
        <f>E8*'Tab 0'!$D$46</f>
        <v>135063.82978723408</v>
      </c>
      <c r="F12" s="225">
        <f>F8*'Tab 0'!$D$46</f>
        <v>123319.14893617023</v>
      </c>
      <c r="G12" s="225">
        <f>G8*'Tab 0'!$D$46</f>
        <v>123319.14893617023</v>
      </c>
      <c r="H12" s="225">
        <f>H8*'Tab 0'!$D$46</f>
        <v>129191.48936170214</v>
      </c>
      <c r="I12" s="225">
        <f>I8*'Tab 0'!$D$46</f>
        <v>129191.48936170214</v>
      </c>
      <c r="J12" s="225">
        <f>J8*'Tab 0'!$D$46</f>
        <v>70468.08510638299</v>
      </c>
      <c r="K12" s="225">
        <f>K8*'Tab 0'!$D$46</f>
        <v>129191.48936170214</v>
      </c>
      <c r="L12" s="225">
        <f>L8*'Tab 0'!$D$46</f>
        <v>123319.14893617023</v>
      </c>
      <c r="M12" s="225">
        <f>M8*'Tab 0'!$D$46</f>
        <v>123319.14893617023</v>
      </c>
      <c r="N12" s="225">
        <f>N8*'Tab 0'!$D$46</f>
        <v>70468.08510638299</v>
      </c>
      <c r="O12" s="231">
        <f t="shared" si="2"/>
        <v>1380000</v>
      </c>
    </row>
    <row r="13" spans="2:15" ht="17" thickBot="1" x14ac:dyDescent="0.25">
      <c r="B13" s="232" t="s">
        <v>118</v>
      </c>
      <c r="C13" s="233">
        <f>SUM(C10:C12)</f>
        <v>145647.98292107071</v>
      </c>
      <c r="D13" s="220">
        <f t="shared" ref="D13" si="3">SUM(D10:D12)</f>
        <v>161831.092134523</v>
      </c>
      <c r="E13" s="220">
        <f t="shared" ref="E13" si="4">SUM(E10:E12)</f>
        <v>186105.75595470148</v>
      </c>
      <c r="F13" s="220">
        <f t="shared" ref="F13" si="5">SUM(F10:F12)</f>
        <v>169922.64674124913</v>
      </c>
      <c r="G13" s="220">
        <f t="shared" ref="G13" si="6">SUM(G10:G12)</f>
        <v>169922.64674124913</v>
      </c>
      <c r="H13" s="220">
        <f t="shared" ref="H13" si="7">SUM(H10:H12)</f>
        <v>178014.20134797529</v>
      </c>
      <c r="I13" s="220">
        <f t="shared" ref="I13" si="8">SUM(I10:I12)</f>
        <v>178014.20134797529</v>
      </c>
      <c r="J13" s="220">
        <f t="shared" ref="J13" si="9">SUM(J10:J12)</f>
        <v>97098.655280713807</v>
      </c>
      <c r="K13" s="220">
        <f t="shared" ref="K13" si="10">SUM(K10:K12)</f>
        <v>178014.20134797529</v>
      </c>
      <c r="L13" s="220">
        <f t="shared" ref="L13" si="11">SUM(L10:L12)</f>
        <v>169922.64674124913</v>
      </c>
      <c r="M13" s="220">
        <f t="shared" ref="M13" si="12">SUM(M10:M12)</f>
        <v>169922.64674124913</v>
      </c>
      <c r="N13" s="220">
        <f t="shared" ref="N13" si="13">SUM(N10:N12)</f>
        <v>97098.655280713807</v>
      </c>
      <c r="O13" s="234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  <vt:lpstr>Tab 5</vt:lpstr>
      <vt:lpstr>All. 1-2-3</vt:lpstr>
      <vt:lpstr>Tab. 6</vt:lpstr>
      <vt:lpstr>Tab. 7</vt:lpstr>
      <vt:lpstr>Tab. 8</vt:lpstr>
      <vt:lpstr>Tab. 9</vt:lpstr>
      <vt:lpstr>All. 4</vt:lpstr>
      <vt:lpstr>Tab. 10</vt:lpstr>
      <vt:lpstr>Tab.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2024-05-14T11:03:27Z</dcterms:modified>
</cp:coreProperties>
</file>