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Caso Mozart/"/>
    </mc:Choice>
  </mc:AlternateContent>
  <xr:revisionPtr revIDLastSave="0" documentId="13_ncr:1_{708B35E4-1C69-A549-A278-49B13C4F12B3}" xr6:coauthVersionLast="47" xr6:coauthVersionMax="47" xr10:uidLastSave="{00000000-0000-0000-0000-000000000000}"/>
  <bookViews>
    <workbookView xWindow="0" yWindow="500" windowWidth="38400" windowHeight="19560" tabRatio="704" firstSheet="29" activeTab="42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. 4" sheetId="88" r:id="rId9"/>
    <sheet name="Tab 5" sheetId="89" r:id="rId10"/>
    <sheet name="All. 1-2-3" sheetId="91" r:id="rId11"/>
    <sheet name="Tab. 6" sheetId="56" r:id="rId12"/>
    <sheet name="Tab. 7" sheetId="90" r:id="rId13"/>
    <sheet name="Tab. 8" sheetId="92" r:id="rId14"/>
    <sheet name="Tab. 9" sheetId="93" r:id="rId15"/>
    <sheet name="All. 4" sheetId="94" r:id="rId16"/>
    <sheet name="Tab. 10" sheetId="95" r:id="rId17"/>
    <sheet name="Tab. 11" sheetId="96" r:id="rId18"/>
    <sheet name="All. 6" sheetId="97" r:id="rId19"/>
    <sheet name="All. 7" sheetId="98" r:id="rId20"/>
    <sheet name="All. 8" sheetId="99" r:id="rId21"/>
    <sheet name="All. 9" sheetId="100" r:id="rId22"/>
    <sheet name="All. 10" sheetId="101" r:id="rId23"/>
    <sheet name="All. 11" sheetId="102" r:id="rId24"/>
    <sheet name="Tab. 12" sheetId="103" r:id="rId25"/>
    <sheet name="Tab. 13" sheetId="104" r:id="rId26"/>
    <sheet name="Tab. 14" sheetId="105" r:id="rId27"/>
    <sheet name="Tab. 15" sheetId="107" r:id="rId28"/>
    <sheet name="Tab. 16" sheetId="106" r:id="rId29"/>
    <sheet name="Tab. 17" sheetId="108" r:id="rId30"/>
    <sheet name="All. 12" sheetId="110" r:id="rId31"/>
    <sheet name="Tab. 18" sheetId="109" r:id="rId32"/>
    <sheet name="Tab. 19" sheetId="111" r:id="rId33"/>
    <sheet name="Tab. 20" sheetId="112" r:id="rId34"/>
    <sheet name="Tab. 21" sheetId="113" r:id="rId35"/>
    <sheet name="Tab. 22" sheetId="115" r:id="rId36"/>
    <sheet name="Tab. 23" sheetId="116" r:id="rId37"/>
    <sheet name="CE_1" sheetId="114" r:id="rId38"/>
    <sheet name="CE_2" sheetId="117" r:id="rId39"/>
    <sheet name="CE_3" sheetId="118" r:id="rId40"/>
    <sheet name="CE_1_mens" sheetId="119" r:id="rId41"/>
    <sheet name="CE_2_mens" sheetId="120" r:id="rId42"/>
    <sheet name="CE_3_mens" sheetId="121" r:id="rId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21" l="1"/>
  <c r="E25" i="121"/>
  <c r="F25" i="121"/>
  <c r="G25" i="121"/>
  <c r="H25" i="121"/>
  <c r="I25" i="121"/>
  <c r="J25" i="121"/>
  <c r="K25" i="121"/>
  <c r="L25" i="121"/>
  <c r="M25" i="121"/>
  <c r="N25" i="121"/>
  <c r="D26" i="121"/>
  <c r="E26" i="121"/>
  <c r="F26" i="121"/>
  <c r="G26" i="121"/>
  <c r="H26" i="121"/>
  <c r="I26" i="121"/>
  <c r="J26" i="121"/>
  <c r="K26" i="121"/>
  <c r="L26" i="121"/>
  <c r="M26" i="121"/>
  <c r="N26" i="121"/>
  <c r="C26" i="121"/>
  <c r="O26" i="121" s="1"/>
  <c r="C25" i="121"/>
  <c r="D20" i="121"/>
  <c r="E20" i="121"/>
  <c r="F20" i="121"/>
  <c r="G20" i="121"/>
  <c r="H20" i="121"/>
  <c r="I20" i="121"/>
  <c r="J20" i="121"/>
  <c r="K20" i="121"/>
  <c r="L20" i="121"/>
  <c r="M20" i="121"/>
  <c r="N20" i="121"/>
  <c r="C20" i="121"/>
  <c r="D18" i="121"/>
  <c r="E18" i="121"/>
  <c r="F18" i="121"/>
  <c r="G18" i="121"/>
  <c r="H18" i="121"/>
  <c r="I18" i="121"/>
  <c r="J18" i="121"/>
  <c r="K18" i="121"/>
  <c r="L18" i="121"/>
  <c r="M18" i="121"/>
  <c r="N18" i="121"/>
  <c r="C18" i="121"/>
  <c r="D16" i="121"/>
  <c r="E16" i="121"/>
  <c r="F16" i="121"/>
  <c r="G16" i="121"/>
  <c r="H16" i="121"/>
  <c r="I16" i="121"/>
  <c r="J16" i="121"/>
  <c r="K16" i="121"/>
  <c r="L16" i="121"/>
  <c r="M16" i="121"/>
  <c r="N16" i="121"/>
  <c r="C16" i="121"/>
  <c r="N17" i="121"/>
  <c r="M17" i="121"/>
  <c r="L17" i="121"/>
  <c r="K17" i="121"/>
  <c r="J17" i="121"/>
  <c r="I17" i="121"/>
  <c r="H17" i="121"/>
  <c r="G17" i="121"/>
  <c r="F17" i="121"/>
  <c r="E17" i="121"/>
  <c r="D17" i="121"/>
  <c r="C17" i="121"/>
  <c r="N14" i="121"/>
  <c r="M14" i="121"/>
  <c r="L14" i="121"/>
  <c r="K14" i="121"/>
  <c r="J14" i="121"/>
  <c r="I14" i="121"/>
  <c r="H14" i="121"/>
  <c r="G14" i="121"/>
  <c r="F14" i="121"/>
  <c r="E14" i="121"/>
  <c r="D14" i="121"/>
  <c r="C14" i="121"/>
  <c r="N13" i="121"/>
  <c r="M13" i="121"/>
  <c r="L13" i="121"/>
  <c r="K13" i="121"/>
  <c r="J13" i="121"/>
  <c r="I13" i="121"/>
  <c r="H13" i="121"/>
  <c r="G13" i="121"/>
  <c r="F13" i="121"/>
  <c r="E13" i="121"/>
  <c r="D13" i="121"/>
  <c r="C13" i="121"/>
  <c r="K9" i="121"/>
  <c r="J9" i="121"/>
  <c r="I9" i="121"/>
  <c r="H9" i="121"/>
  <c r="C9" i="121"/>
  <c r="N8" i="121"/>
  <c r="N9" i="121" s="1"/>
  <c r="M8" i="121"/>
  <c r="M9" i="121" s="1"/>
  <c r="L8" i="121"/>
  <c r="K8" i="121"/>
  <c r="J8" i="121"/>
  <c r="I8" i="121"/>
  <c r="H8" i="121"/>
  <c r="G8" i="121"/>
  <c r="G9" i="121" s="1"/>
  <c r="F8" i="121"/>
  <c r="F9" i="121" s="1"/>
  <c r="E8" i="121"/>
  <c r="E9" i="121" s="1"/>
  <c r="D8" i="121"/>
  <c r="D9" i="121" s="1"/>
  <c r="C8" i="121"/>
  <c r="D27" i="120"/>
  <c r="E27" i="120"/>
  <c r="F27" i="120"/>
  <c r="G27" i="120"/>
  <c r="H27" i="120"/>
  <c r="I27" i="120"/>
  <c r="J27" i="120"/>
  <c r="K27" i="120"/>
  <c r="L27" i="120"/>
  <c r="M27" i="120"/>
  <c r="N27" i="120"/>
  <c r="C27" i="120"/>
  <c r="D23" i="120"/>
  <c r="E23" i="120"/>
  <c r="F23" i="120"/>
  <c r="G23" i="120"/>
  <c r="H23" i="120"/>
  <c r="I23" i="120"/>
  <c r="J23" i="120"/>
  <c r="K23" i="120"/>
  <c r="L23" i="120"/>
  <c r="M23" i="120"/>
  <c r="N23" i="120"/>
  <c r="C23" i="120"/>
  <c r="O69" i="103"/>
  <c r="D18" i="120"/>
  <c r="E18" i="120"/>
  <c r="F18" i="120"/>
  <c r="G18" i="120"/>
  <c r="H18" i="120"/>
  <c r="I18" i="120"/>
  <c r="J18" i="120"/>
  <c r="K18" i="120"/>
  <c r="L18" i="120"/>
  <c r="M18" i="120"/>
  <c r="N18" i="120"/>
  <c r="C18" i="120"/>
  <c r="D16" i="120"/>
  <c r="E16" i="120"/>
  <c r="F16" i="120"/>
  <c r="G16" i="120"/>
  <c r="H16" i="120"/>
  <c r="I16" i="120"/>
  <c r="J16" i="120"/>
  <c r="K16" i="120"/>
  <c r="L16" i="120"/>
  <c r="M16" i="120"/>
  <c r="N16" i="120"/>
  <c r="C16" i="120"/>
  <c r="N29" i="120"/>
  <c r="M29" i="120"/>
  <c r="L29" i="120"/>
  <c r="K29" i="120"/>
  <c r="J29" i="120"/>
  <c r="I29" i="120"/>
  <c r="H29" i="120"/>
  <c r="G29" i="120"/>
  <c r="F29" i="120"/>
  <c r="E29" i="120"/>
  <c r="D29" i="120"/>
  <c r="C29" i="120"/>
  <c r="N28" i="120"/>
  <c r="M28" i="120"/>
  <c r="L28" i="120"/>
  <c r="K28" i="120"/>
  <c r="J28" i="120"/>
  <c r="I28" i="120"/>
  <c r="H28" i="120"/>
  <c r="G28" i="120"/>
  <c r="F28" i="120"/>
  <c r="E28" i="120"/>
  <c r="D28" i="120"/>
  <c r="C28" i="120"/>
  <c r="N14" i="120"/>
  <c r="M14" i="120"/>
  <c r="L14" i="120"/>
  <c r="K14" i="120"/>
  <c r="J14" i="120"/>
  <c r="I14" i="120"/>
  <c r="H14" i="120"/>
  <c r="G14" i="120"/>
  <c r="F14" i="120"/>
  <c r="E14" i="120"/>
  <c r="D14" i="120"/>
  <c r="C14" i="120"/>
  <c r="N13" i="120"/>
  <c r="M13" i="120"/>
  <c r="L13" i="120"/>
  <c r="K13" i="120"/>
  <c r="J13" i="120"/>
  <c r="I13" i="120"/>
  <c r="H13" i="120"/>
  <c r="G13" i="120"/>
  <c r="F13" i="120"/>
  <c r="E13" i="120"/>
  <c r="D13" i="120"/>
  <c r="C13" i="120"/>
  <c r="K9" i="120"/>
  <c r="K11" i="120" s="1"/>
  <c r="D9" i="120"/>
  <c r="N8" i="120"/>
  <c r="N9" i="120" s="1"/>
  <c r="M8" i="120"/>
  <c r="M9" i="120" s="1"/>
  <c r="L8" i="120"/>
  <c r="L9" i="120" s="1"/>
  <c r="K8" i="120"/>
  <c r="J8" i="120"/>
  <c r="J9" i="120" s="1"/>
  <c r="J11" i="120" s="1"/>
  <c r="I8" i="120"/>
  <c r="I9" i="120" s="1"/>
  <c r="H8" i="120"/>
  <c r="H9" i="120" s="1"/>
  <c r="G8" i="120"/>
  <c r="G9" i="120" s="1"/>
  <c r="F8" i="120"/>
  <c r="F9" i="120" s="1"/>
  <c r="E8" i="120"/>
  <c r="E9" i="120" s="1"/>
  <c r="D8" i="120"/>
  <c r="C8" i="120"/>
  <c r="D29" i="119"/>
  <c r="O29" i="119" s="1"/>
  <c r="E29" i="119"/>
  <c r="F29" i="119"/>
  <c r="G29" i="119"/>
  <c r="H29" i="119"/>
  <c r="I29" i="119"/>
  <c r="J29" i="119"/>
  <c r="K29" i="119"/>
  <c r="L29" i="119"/>
  <c r="M29" i="119"/>
  <c r="N29" i="119"/>
  <c r="C29" i="119"/>
  <c r="D28" i="119"/>
  <c r="O28" i="119" s="1"/>
  <c r="E28" i="119"/>
  <c r="F28" i="119"/>
  <c r="G28" i="119"/>
  <c r="H28" i="119"/>
  <c r="I28" i="119"/>
  <c r="J28" i="119"/>
  <c r="K28" i="119"/>
  <c r="L28" i="119"/>
  <c r="M28" i="119"/>
  <c r="N28" i="119"/>
  <c r="C28" i="119"/>
  <c r="D24" i="119"/>
  <c r="E24" i="119"/>
  <c r="F24" i="119"/>
  <c r="G24" i="119"/>
  <c r="H24" i="119"/>
  <c r="I24" i="119"/>
  <c r="J24" i="119"/>
  <c r="K24" i="119"/>
  <c r="L24" i="119"/>
  <c r="M24" i="119"/>
  <c r="N24" i="119"/>
  <c r="C24" i="119"/>
  <c r="D23" i="119"/>
  <c r="E23" i="119"/>
  <c r="F23" i="119"/>
  <c r="G23" i="119"/>
  <c r="H23" i="119"/>
  <c r="I23" i="119"/>
  <c r="J23" i="119"/>
  <c r="K23" i="119"/>
  <c r="L23" i="119"/>
  <c r="M23" i="119"/>
  <c r="N23" i="119"/>
  <c r="C23" i="119"/>
  <c r="D14" i="95"/>
  <c r="E14" i="95"/>
  <c r="F14" i="95"/>
  <c r="G14" i="95"/>
  <c r="H14" i="95"/>
  <c r="I14" i="95"/>
  <c r="I38" i="95" s="1"/>
  <c r="J14" i="95"/>
  <c r="K14" i="95"/>
  <c r="J38" i="95"/>
  <c r="K38" i="95"/>
  <c r="C14" i="95"/>
  <c r="D38" i="95"/>
  <c r="E38" i="95"/>
  <c r="F38" i="95"/>
  <c r="G38" i="95"/>
  <c r="H38" i="95"/>
  <c r="C38" i="95"/>
  <c r="O29" i="96"/>
  <c r="G29" i="96" s="1"/>
  <c r="O34" i="96"/>
  <c r="L34" i="96" s="1"/>
  <c r="O33" i="96"/>
  <c r="J33" i="96" s="1"/>
  <c r="O32" i="96"/>
  <c r="H32" i="96" s="1"/>
  <c r="O31" i="96"/>
  <c r="F31" i="96" s="1"/>
  <c r="O30" i="96"/>
  <c r="D30" i="96" s="1"/>
  <c r="E13" i="119"/>
  <c r="F13" i="119"/>
  <c r="G13" i="119"/>
  <c r="H13" i="119"/>
  <c r="I13" i="119"/>
  <c r="J13" i="119"/>
  <c r="K13" i="119"/>
  <c r="L13" i="119"/>
  <c r="M13" i="119"/>
  <c r="M15" i="119" s="1"/>
  <c r="M66" i="92" s="1"/>
  <c r="N13" i="119"/>
  <c r="E14" i="119"/>
  <c r="F14" i="119"/>
  <c r="G14" i="119"/>
  <c r="H14" i="119"/>
  <c r="I14" i="119"/>
  <c r="J14" i="119"/>
  <c r="K14" i="119"/>
  <c r="L14" i="119"/>
  <c r="M14" i="119"/>
  <c r="N14" i="119"/>
  <c r="C13" i="92"/>
  <c r="C20" i="92"/>
  <c r="C27" i="92"/>
  <c r="C34" i="92"/>
  <c r="C41" i="92"/>
  <c r="C48" i="92"/>
  <c r="C55" i="92"/>
  <c r="E61" i="92"/>
  <c r="D61" i="92"/>
  <c r="C61" i="92"/>
  <c r="D63" i="92"/>
  <c r="C63" i="92"/>
  <c r="D14" i="119"/>
  <c r="D13" i="119"/>
  <c r="C14" i="119"/>
  <c r="C13" i="119"/>
  <c r="C15" i="119" s="1"/>
  <c r="C66" i="92" s="1"/>
  <c r="D8" i="119"/>
  <c r="E8" i="119"/>
  <c r="F8" i="119"/>
  <c r="G8" i="119"/>
  <c r="G9" i="119" s="1"/>
  <c r="H8" i="119"/>
  <c r="H9" i="119" s="1"/>
  <c r="H11" i="119" s="1"/>
  <c r="I8" i="119"/>
  <c r="I9" i="119" s="1"/>
  <c r="J8" i="119"/>
  <c r="J9" i="119" s="1"/>
  <c r="K8" i="119"/>
  <c r="K9" i="119" s="1"/>
  <c r="K11" i="119" s="1"/>
  <c r="L8" i="119"/>
  <c r="L9" i="119" s="1"/>
  <c r="L11" i="119" s="1"/>
  <c r="M8" i="119"/>
  <c r="M9" i="119" s="1"/>
  <c r="N8" i="119"/>
  <c r="N9" i="119" s="1"/>
  <c r="C8" i="119"/>
  <c r="C9" i="119" s="1"/>
  <c r="M9" i="114"/>
  <c r="K9" i="114"/>
  <c r="E9" i="114"/>
  <c r="F9" i="114" s="1"/>
  <c r="C9" i="114"/>
  <c r="G9" i="114" s="1"/>
  <c r="H9" i="114" s="1"/>
  <c r="M9" i="117"/>
  <c r="K9" i="117"/>
  <c r="E9" i="117"/>
  <c r="F9" i="117" s="1"/>
  <c r="C9" i="117"/>
  <c r="G9" i="117" s="1"/>
  <c r="H9" i="117" s="1"/>
  <c r="M9" i="118"/>
  <c r="K9" i="118"/>
  <c r="E9" i="118"/>
  <c r="C9" i="118"/>
  <c r="E32" i="118"/>
  <c r="C32" i="118"/>
  <c r="O9" i="118"/>
  <c r="G9" i="118"/>
  <c r="E8" i="118"/>
  <c r="M8" i="118" s="1"/>
  <c r="C8" i="118"/>
  <c r="K8" i="118" s="1"/>
  <c r="O21" i="117"/>
  <c r="G21" i="117"/>
  <c r="O21" i="114"/>
  <c r="G21" i="114"/>
  <c r="E34" i="117"/>
  <c r="C34" i="117"/>
  <c r="E32" i="117"/>
  <c r="C32" i="117"/>
  <c r="E34" i="114"/>
  <c r="C34" i="114"/>
  <c r="E32" i="114"/>
  <c r="C32" i="114"/>
  <c r="O9" i="117"/>
  <c r="E8" i="117"/>
  <c r="M8" i="117" s="1"/>
  <c r="C8" i="117"/>
  <c r="C11" i="117" s="1"/>
  <c r="M17" i="114"/>
  <c r="O8" i="114"/>
  <c r="O9" i="114"/>
  <c r="M8" i="114"/>
  <c r="K8" i="114"/>
  <c r="K17" i="114"/>
  <c r="E8" i="114"/>
  <c r="C8" i="114"/>
  <c r="D37" i="115"/>
  <c r="E37" i="115"/>
  <c r="F37" i="115"/>
  <c r="G37" i="115"/>
  <c r="H37" i="115"/>
  <c r="I37" i="115"/>
  <c r="J37" i="115"/>
  <c r="K37" i="115"/>
  <c r="L37" i="115"/>
  <c r="M37" i="115"/>
  <c r="N37" i="115"/>
  <c r="C37" i="115"/>
  <c r="O26" i="115"/>
  <c r="D26" i="115"/>
  <c r="E26" i="115"/>
  <c r="F26" i="115"/>
  <c r="G26" i="115"/>
  <c r="H26" i="115"/>
  <c r="I26" i="115"/>
  <c r="J26" i="115"/>
  <c r="K26" i="115"/>
  <c r="L26" i="115"/>
  <c r="M26" i="115"/>
  <c r="N26" i="115"/>
  <c r="C26" i="115"/>
  <c r="D27" i="115"/>
  <c r="E27" i="115"/>
  <c r="F27" i="115"/>
  <c r="G27" i="115"/>
  <c r="H27" i="115"/>
  <c r="I27" i="115"/>
  <c r="J27" i="115"/>
  <c r="K27" i="115"/>
  <c r="L27" i="115"/>
  <c r="M27" i="115"/>
  <c r="N27" i="115"/>
  <c r="D28" i="115"/>
  <c r="E28" i="115"/>
  <c r="F28" i="115"/>
  <c r="G28" i="115"/>
  <c r="H28" i="115"/>
  <c r="I28" i="115"/>
  <c r="J28" i="115"/>
  <c r="K28" i="115"/>
  <c r="L28" i="115"/>
  <c r="M28" i="115"/>
  <c r="N28" i="115"/>
  <c r="D29" i="115"/>
  <c r="E29" i="115"/>
  <c r="F29" i="115"/>
  <c r="G29" i="115"/>
  <c r="H29" i="115"/>
  <c r="I29" i="115"/>
  <c r="J29" i="115"/>
  <c r="K29" i="115"/>
  <c r="L29" i="115"/>
  <c r="M29" i="115"/>
  <c r="N29" i="115"/>
  <c r="D30" i="115"/>
  <c r="E30" i="115"/>
  <c r="F30" i="115"/>
  <c r="G30" i="115"/>
  <c r="H30" i="115"/>
  <c r="I30" i="115"/>
  <c r="J30" i="115"/>
  <c r="K30" i="115"/>
  <c r="L30" i="115"/>
  <c r="M30" i="115"/>
  <c r="N30" i="115"/>
  <c r="D31" i="115"/>
  <c r="E31" i="115"/>
  <c r="F31" i="115"/>
  <c r="G31" i="115"/>
  <c r="H31" i="115"/>
  <c r="I31" i="115"/>
  <c r="J31" i="115"/>
  <c r="K31" i="115"/>
  <c r="L31" i="115"/>
  <c r="M31" i="115"/>
  <c r="N31" i="115"/>
  <c r="D32" i="115"/>
  <c r="E32" i="115"/>
  <c r="F32" i="115"/>
  <c r="G32" i="115"/>
  <c r="H32" i="115"/>
  <c r="I32" i="115"/>
  <c r="J32" i="115"/>
  <c r="K32" i="115"/>
  <c r="L32" i="115"/>
  <c r="M32" i="115"/>
  <c r="N32" i="115"/>
  <c r="D33" i="115"/>
  <c r="E33" i="115"/>
  <c r="F33" i="115"/>
  <c r="G33" i="115"/>
  <c r="H33" i="115"/>
  <c r="I33" i="115"/>
  <c r="J33" i="115"/>
  <c r="K33" i="115"/>
  <c r="L33" i="115"/>
  <c r="M33" i="115"/>
  <c r="N33" i="115"/>
  <c r="D34" i="115"/>
  <c r="E34" i="115"/>
  <c r="F34" i="115"/>
  <c r="G34" i="115"/>
  <c r="H34" i="115"/>
  <c r="I34" i="115"/>
  <c r="J34" i="115"/>
  <c r="K34" i="115"/>
  <c r="L34" i="115"/>
  <c r="M34" i="115"/>
  <c r="N34" i="115"/>
  <c r="D35" i="115"/>
  <c r="E35" i="115"/>
  <c r="F35" i="115"/>
  <c r="G35" i="115"/>
  <c r="H35" i="115"/>
  <c r="I35" i="115"/>
  <c r="J35" i="115"/>
  <c r="K35" i="115"/>
  <c r="L35" i="115"/>
  <c r="M35" i="115"/>
  <c r="N35" i="115"/>
  <c r="D36" i="115"/>
  <c r="E36" i="115"/>
  <c r="F36" i="115"/>
  <c r="G36" i="115"/>
  <c r="H36" i="115"/>
  <c r="I36" i="115"/>
  <c r="J36" i="115"/>
  <c r="K36" i="115"/>
  <c r="L36" i="115"/>
  <c r="M36" i="115"/>
  <c r="N36" i="115"/>
  <c r="C36" i="115"/>
  <c r="C35" i="115"/>
  <c r="O35" i="115" s="1"/>
  <c r="C34" i="115"/>
  <c r="C33" i="115"/>
  <c r="C29" i="115"/>
  <c r="C30" i="115"/>
  <c r="C31" i="115"/>
  <c r="C32" i="115"/>
  <c r="C28" i="115"/>
  <c r="C27" i="115"/>
  <c r="O27" i="115" s="1"/>
  <c r="D16" i="115"/>
  <c r="E16" i="115"/>
  <c r="F16" i="115"/>
  <c r="G16" i="115"/>
  <c r="H16" i="115"/>
  <c r="I16" i="115"/>
  <c r="J16" i="115"/>
  <c r="K16" i="115"/>
  <c r="L16" i="115"/>
  <c r="M16" i="115"/>
  <c r="N16" i="115"/>
  <c r="C16" i="115"/>
  <c r="D25" i="115"/>
  <c r="E25" i="115"/>
  <c r="F25" i="115"/>
  <c r="G25" i="115"/>
  <c r="H25" i="115"/>
  <c r="I25" i="115"/>
  <c r="J25" i="115"/>
  <c r="K25" i="115"/>
  <c r="L25" i="115"/>
  <c r="M25" i="115"/>
  <c r="N25" i="115"/>
  <c r="C25" i="115"/>
  <c r="G25" i="107"/>
  <c r="E17" i="115"/>
  <c r="F17" i="115"/>
  <c r="G17" i="115"/>
  <c r="H17" i="115"/>
  <c r="I17" i="115"/>
  <c r="J17" i="115"/>
  <c r="K17" i="115"/>
  <c r="L17" i="115"/>
  <c r="M17" i="115"/>
  <c r="N17" i="115"/>
  <c r="D17" i="115"/>
  <c r="C17" i="115"/>
  <c r="D11" i="115"/>
  <c r="E11" i="115"/>
  <c r="F11" i="115"/>
  <c r="G11" i="115"/>
  <c r="H11" i="115"/>
  <c r="I11" i="115"/>
  <c r="J11" i="115"/>
  <c r="K11" i="115"/>
  <c r="L11" i="115"/>
  <c r="M11" i="115"/>
  <c r="N11" i="115"/>
  <c r="C11" i="115"/>
  <c r="D10" i="115"/>
  <c r="E10" i="115"/>
  <c r="F10" i="115"/>
  <c r="G10" i="115"/>
  <c r="H10" i="115"/>
  <c r="I10" i="115"/>
  <c r="J10" i="115"/>
  <c r="K10" i="115"/>
  <c r="L10" i="115"/>
  <c r="M10" i="115"/>
  <c r="N10" i="115"/>
  <c r="C10" i="115"/>
  <c r="D9" i="115"/>
  <c r="E9" i="115"/>
  <c r="F9" i="115"/>
  <c r="G9" i="115"/>
  <c r="H9" i="115"/>
  <c r="I9" i="115"/>
  <c r="J9" i="115"/>
  <c r="K9" i="115"/>
  <c r="L9" i="115"/>
  <c r="M9" i="115"/>
  <c r="N9" i="115"/>
  <c r="C9" i="115"/>
  <c r="D8" i="115"/>
  <c r="E8" i="115"/>
  <c r="F8" i="115"/>
  <c r="G8" i="115"/>
  <c r="H8" i="115"/>
  <c r="I8" i="115"/>
  <c r="J8" i="115"/>
  <c r="K8" i="115"/>
  <c r="L8" i="115"/>
  <c r="M8" i="115"/>
  <c r="N8" i="115"/>
  <c r="C8" i="115"/>
  <c r="E17" i="114"/>
  <c r="C17" i="114"/>
  <c r="F8" i="114"/>
  <c r="D8" i="114"/>
  <c r="O14" i="113"/>
  <c r="O15" i="113"/>
  <c r="D14" i="113"/>
  <c r="E14" i="113"/>
  <c r="F14" i="113"/>
  <c r="G14" i="113"/>
  <c r="H14" i="113"/>
  <c r="I14" i="113"/>
  <c r="J14" i="113"/>
  <c r="K14" i="113"/>
  <c r="L14" i="113"/>
  <c r="M14" i="113"/>
  <c r="N14" i="113"/>
  <c r="N16" i="113" s="1"/>
  <c r="D15" i="113"/>
  <c r="D16" i="113" s="1"/>
  <c r="E15" i="113"/>
  <c r="E16" i="113" s="1"/>
  <c r="F15" i="113"/>
  <c r="F16" i="113" s="1"/>
  <c r="G15" i="113"/>
  <c r="G16" i="113" s="1"/>
  <c r="H15" i="113"/>
  <c r="H16" i="113" s="1"/>
  <c r="I15" i="113"/>
  <c r="J15" i="113"/>
  <c r="K15" i="113"/>
  <c r="L15" i="113"/>
  <c r="M15" i="113"/>
  <c r="N15" i="113"/>
  <c r="I16" i="113"/>
  <c r="J16" i="113"/>
  <c r="K16" i="113"/>
  <c r="L16" i="113"/>
  <c r="M16" i="113"/>
  <c r="C16" i="113"/>
  <c r="C15" i="113"/>
  <c r="C14" i="113"/>
  <c r="D11" i="113"/>
  <c r="E11" i="113"/>
  <c r="F11" i="113"/>
  <c r="G11" i="113"/>
  <c r="H11" i="113"/>
  <c r="I11" i="113"/>
  <c r="J11" i="113"/>
  <c r="K11" i="113"/>
  <c r="L11" i="113"/>
  <c r="M11" i="113"/>
  <c r="N11" i="113"/>
  <c r="C11" i="113"/>
  <c r="O11" i="113" s="1"/>
  <c r="D10" i="113"/>
  <c r="E10" i="113"/>
  <c r="F10" i="113"/>
  <c r="G10" i="113"/>
  <c r="H10" i="113"/>
  <c r="I10" i="113"/>
  <c r="J10" i="113"/>
  <c r="K10" i="113"/>
  <c r="L10" i="113"/>
  <c r="M10" i="113"/>
  <c r="N10" i="113"/>
  <c r="C10" i="113"/>
  <c r="D9" i="112"/>
  <c r="E9" i="112"/>
  <c r="F9" i="112"/>
  <c r="G9" i="112"/>
  <c r="H9" i="112"/>
  <c r="I9" i="112"/>
  <c r="J9" i="112"/>
  <c r="K9" i="112"/>
  <c r="L9" i="112"/>
  <c r="M9" i="112"/>
  <c r="N9" i="112"/>
  <c r="C9" i="112"/>
  <c r="O9" i="112" s="1"/>
  <c r="Q39" i="111"/>
  <c r="D36" i="111"/>
  <c r="E36" i="111"/>
  <c r="F36" i="111"/>
  <c r="G36" i="111"/>
  <c r="H36" i="111"/>
  <c r="I36" i="111"/>
  <c r="J36" i="111"/>
  <c r="K36" i="111"/>
  <c r="L36" i="111"/>
  <c r="M36" i="111"/>
  <c r="N36" i="111"/>
  <c r="D37" i="111"/>
  <c r="D39" i="111" s="1"/>
  <c r="E37" i="111"/>
  <c r="E39" i="111" s="1"/>
  <c r="F37" i="111"/>
  <c r="F39" i="111" s="1"/>
  <c r="G37" i="111"/>
  <c r="G39" i="111" s="1"/>
  <c r="H37" i="111"/>
  <c r="H39" i="111" s="1"/>
  <c r="I37" i="111"/>
  <c r="J37" i="111"/>
  <c r="K37" i="111"/>
  <c r="L37" i="111"/>
  <c r="M37" i="111"/>
  <c r="N37" i="111"/>
  <c r="D38" i="111"/>
  <c r="E38" i="111"/>
  <c r="F38" i="111"/>
  <c r="G38" i="111"/>
  <c r="H38" i="111"/>
  <c r="I38" i="111"/>
  <c r="I39" i="111" s="1"/>
  <c r="J38" i="111"/>
  <c r="J39" i="111" s="1"/>
  <c r="K38" i="111"/>
  <c r="K39" i="111" s="1"/>
  <c r="L38" i="111"/>
  <c r="L39" i="111" s="1"/>
  <c r="M38" i="111"/>
  <c r="M39" i="111" s="1"/>
  <c r="N38" i="111"/>
  <c r="N39" i="111"/>
  <c r="C37" i="111"/>
  <c r="C38" i="111"/>
  <c r="C36" i="111"/>
  <c r="C39" i="111"/>
  <c r="D31" i="111"/>
  <c r="E31" i="111"/>
  <c r="F31" i="111"/>
  <c r="G31" i="111"/>
  <c r="H31" i="111"/>
  <c r="I31" i="111"/>
  <c r="J31" i="111"/>
  <c r="K31" i="111"/>
  <c r="L31" i="111"/>
  <c r="M31" i="111"/>
  <c r="N31" i="111"/>
  <c r="C31" i="111"/>
  <c r="D29" i="111"/>
  <c r="E29" i="111"/>
  <c r="F29" i="111"/>
  <c r="G29" i="111"/>
  <c r="H29" i="111"/>
  <c r="I29" i="111"/>
  <c r="J29" i="111"/>
  <c r="K29" i="111"/>
  <c r="L29" i="111"/>
  <c r="M29" i="111"/>
  <c r="N29" i="111"/>
  <c r="C29" i="111"/>
  <c r="D22" i="111"/>
  <c r="E22" i="111"/>
  <c r="F22" i="111"/>
  <c r="G22" i="111"/>
  <c r="H22" i="111"/>
  <c r="I22" i="111"/>
  <c r="J22" i="111"/>
  <c r="K22" i="111"/>
  <c r="L22" i="111"/>
  <c r="M22" i="111"/>
  <c r="N22" i="111"/>
  <c r="C22" i="111"/>
  <c r="N130" i="109"/>
  <c r="N131" i="109"/>
  <c r="O30" i="111"/>
  <c r="C8" i="111"/>
  <c r="D8" i="111"/>
  <c r="E8" i="111"/>
  <c r="F8" i="111"/>
  <c r="G8" i="111"/>
  <c r="H8" i="111"/>
  <c r="I8" i="111"/>
  <c r="J8" i="111"/>
  <c r="K8" i="111"/>
  <c r="L8" i="111"/>
  <c r="M8" i="111"/>
  <c r="N8" i="111"/>
  <c r="C9" i="111"/>
  <c r="C16" i="111" s="1"/>
  <c r="C10" i="111"/>
  <c r="N10" i="111"/>
  <c r="M10" i="111"/>
  <c r="L10" i="111"/>
  <c r="K10" i="111"/>
  <c r="J10" i="111"/>
  <c r="I10" i="111"/>
  <c r="H10" i="111"/>
  <c r="G10" i="111"/>
  <c r="F10" i="111"/>
  <c r="E10" i="111"/>
  <c r="D10" i="111"/>
  <c r="N9" i="111"/>
  <c r="N16" i="111" s="1"/>
  <c r="M9" i="111"/>
  <c r="M16" i="111" s="1"/>
  <c r="L9" i="111"/>
  <c r="L16" i="111" s="1"/>
  <c r="K9" i="111"/>
  <c r="K16" i="111" s="1"/>
  <c r="J9" i="111"/>
  <c r="J16" i="111" s="1"/>
  <c r="I9" i="111"/>
  <c r="I16" i="111" s="1"/>
  <c r="H9" i="111"/>
  <c r="H16" i="111" s="1"/>
  <c r="G9" i="111"/>
  <c r="G16" i="111" s="1"/>
  <c r="F9" i="111"/>
  <c r="F16" i="111" s="1"/>
  <c r="E9" i="111"/>
  <c r="E16" i="111" s="1"/>
  <c r="D9" i="111"/>
  <c r="D16" i="111" s="1"/>
  <c r="J148" i="109"/>
  <c r="I148" i="109"/>
  <c r="J147" i="109"/>
  <c r="I147" i="109"/>
  <c r="J146" i="109"/>
  <c r="I146" i="109"/>
  <c r="J145" i="109"/>
  <c r="I145" i="109"/>
  <c r="J144" i="109"/>
  <c r="I144" i="109"/>
  <c r="J143" i="109"/>
  <c r="I143" i="109"/>
  <c r="J142" i="109"/>
  <c r="I142" i="109"/>
  <c r="J141" i="109"/>
  <c r="I141" i="109"/>
  <c r="J140" i="109"/>
  <c r="I140" i="109"/>
  <c r="J139" i="109"/>
  <c r="I139" i="109"/>
  <c r="J138" i="109"/>
  <c r="I138" i="109"/>
  <c r="J137" i="109"/>
  <c r="I137" i="109"/>
  <c r="J131" i="109"/>
  <c r="I131" i="109"/>
  <c r="K131" i="109" s="1"/>
  <c r="M131" i="109" s="1"/>
  <c r="J130" i="109"/>
  <c r="I130" i="109"/>
  <c r="K130" i="109" s="1"/>
  <c r="M130" i="109" s="1"/>
  <c r="J129" i="109"/>
  <c r="I129" i="109"/>
  <c r="K129" i="109" s="1"/>
  <c r="M129" i="109" s="1"/>
  <c r="N129" i="109" s="1"/>
  <c r="J128" i="109"/>
  <c r="I128" i="109"/>
  <c r="K128" i="109" s="1"/>
  <c r="M128" i="109" s="1"/>
  <c r="N128" i="109" s="1"/>
  <c r="J127" i="109"/>
  <c r="I127" i="109"/>
  <c r="K127" i="109" s="1"/>
  <c r="M127" i="109" s="1"/>
  <c r="N127" i="109" s="1"/>
  <c r="J126" i="109"/>
  <c r="I126" i="109"/>
  <c r="K126" i="109" s="1"/>
  <c r="M126" i="109" s="1"/>
  <c r="N126" i="109" s="1"/>
  <c r="J125" i="109"/>
  <c r="I125" i="109"/>
  <c r="C148" i="109"/>
  <c r="D147" i="109"/>
  <c r="C147" i="109"/>
  <c r="D146" i="109"/>
  <c r="C146" i="109"/>
  <c r="D145" i="109"/>
  <c r="C145" i="109"/>
  <c r="D144" i="109"/>
  <c r="C144" i="109"/>
  <c r="D143" i="109"/>
  <c r="C143" i="109"/>
  <c r="D142" i="109"/>
  <c r="C142" i="109"/>
  <c r="D141" i="109"/>
  <c r="C141" i="109"/>
  <c r="D140" i="109"/>
  <c r="C140" i="109"/>
  <c r="D139" i="109"/>
  <c r="C139" i="109"/>
  <c r="D138" i="109"/>
  <c r="C138" i="109"/>
  <c r="D137" i="109"/>
  <c r="C137" i="109"/>
  <c r="D131" i="109"/>
  <c r="C131" i="109"/>
  <c r="D130" i="109"/>
  <c r="C130" i="109"/>
  <c r="D129" i="109"/>
  <c r="C129" i="109"/>
  <c r="D128" i="109"/>
  <c r="C128" i="109"/>
  <c r="D127" i="109"/>
  <c r="C127" i="109"/>
  <c r="D126" i="109"/>
  <c r="C126" i="109"/>
  <c r="D125" i="109"/>
  <c r="C125" i="109"/>
  <c r="C10" i="109"/>
  <c r="D10" i="109"/>
  <c r="C11" i="109"/>
  <c r="D11" i="109"/>
  <c r="C12" i="109"/>
  <c r="D12" i="109"/>
  <c r="C13" i="109"/>
  <c r="D13" i="109"/>
  <c r="C14" i="109"/>
  <c r="D14" i="109"/>
  <c r="C15" i="109"/>
  <c r="D15" i="109"/>
  <c r="C16" i="109"/>
  <c r="D16" i="109"/>
  <c r="C17" i="109"/>
  <c r="D17" i="109"/>
  <c r="C18" i="109"/>
  <c r="D18" i="109"/>
  <c r="C19" i="109"/>
  <c r="D19" i="109"/>
  <c r="C20" i="109"/>
  <c r="D20" i="109"/>
  <c r="C21" i="109"/>
  <c r="D21" i="109"/>
  <c r="C22" i="109"/>
  <c r="D22" i="109"/>
  <c r="C23" i="109"/>
  <c r="D23" i="109"/>
  <c r="C24" i="109"/>
  <c r="D24" i="109"/>
  <c r="C25" i="109"/>
  <c r="D25" i="109"/>
  <c r="C26" i="109"/>
  <c r="D26" i="109"/>
  <c r="C27" i="109"/>
  <c r="D27" i="109"/>
  <c r="C28" i="109"/>
  <c r="D28" i="109"/>
  <c r="C29" i="109"/>
  <c r="D29" i="109"/>
  <c r="C30" i="109"/>
  <c r="D30" i="109"/>
  <c r="C31" i="109"/>
  <c r="D31" i="109"/>
  <c r="C32" i="109"/>
  <c r="D32" i="109"/>
  <c r="C33" i="109"/>
  <c r="D33" i="109"/>
  <c r="C34" i="109"/>
  <c r="D34" i="109"/>
  <c r="C35" i="109"/>
  <c r="D35" i="109"/>
  <c r="C36" i="109"/>
  <c r="D36" i="109"/>
  <c r="C37" i="109"/>
  <c r="D37" i="109"/>
  <c r="C38" i="109"/>
  <c r="D38" i="109"/>
  <c r="C39" i="109"/>
  <c r="D39" i="109"/>
  <c r="C40" i="109"/>
  <c r="D40" i="109"/>
  <c r="C41" i="109"/>
  <c r="D41" i="109"/>
  <c r="C42" i="109"/>
  <c r="D42" i="109"/>
  <c r="C43" i="109"/>
  <c r="D43" i="109"/>
  <c r="C44" i="109"/>
  <c r="D44" i="109"/>
  <c r="C45" i="109"/>
  <c r="D45" i="109"/>
  <c r="C46" i="109"/>
  <c r="D46" i="109"/>
  <c r="C47" i="109"/>
  <c r="D47" i="109"/>
  <c r="C48" i="109"/>
  <c r="D48" i="109"/>
  <c r="C49" i="109"/>
  <c r="D49" i="109"/>
  <c r="C50" i="109"/>
  <c r="D50" i="109"/>
  <c r="C51" i="109"/>
  <c r="D51" i="109"/>
  <c r="C52" i="109"/>
  <c r="D52" i="109"/>
  <c r="C53" i="109"/>
  <c r="D53" i="109"/>
  <c r="C54" i="109"/>
  <c r="D54" i="109"/>
  <c r="C56" i="109"/>
  <c r="D56" i="109"/>
  <c r="C57" i="109"/>
  <c r="D57" i="109"/>
  <c r="C58" i="109"/>
  <c r="D58" i="109"/>
  <c r="C59" i="109"/>
  <c r="D59" i="109"/>
  <c r="C60" i="109"/>
  <c r="D60" i="109"/>
  <c r="C61" i="109"/>
  <c r="D61" i="109"/>
  <c r="C62" i="109"/>
  <c r="D62" i="109"/>
  <c r="C63" i="109"/>
  <c r="D63" i="109"/>
  <c r="C64" i="109"/>
  <c r="D64" i="109"/>
  <c r="C65" i="109"/>
  <c r="D65" i="109"/>
  <c r="C66" i="109"/>
  <c r="D66" i="109"/>
  <c r="C67" i="109"/>
  <c r="D67" i="109"/>
  <c r="C68" i="109"/>
  <c r="D68" i="109"/>
  <c r="C69" i="109"/>
  <c r="D69" i="109"/>
  <c r="C70" i="109"/>
  <c r="D70" i="109"/>
  <c r="C71" i="109"/>
  <c r="D71" i="109"/>
  <c r="C72" i="109"/>
  <c r="D72" i="109"/>
  <c r="C73" i="109"/>
  <c r="D73" i="109"/>
  <c r="C74" i="109"/>
  <c r="D74" i="109"/>
  <c r="C75" i="109"/>
  <c r="D75" i="109"/>
  <c r="C76" i="109"/>
  <c r="D76" i="109"/>
  <c r="C77" i="109"/>
  <c r="D77" i="109"/>
  <c r="C78" i="109"/>
  <c r="D78" i="109"/>
  <c r="C79" i="109"/>
  <c r="D79" i="109"/>
  <c r="C80" i="109"/>
  <c r="D80" i="109"/>
  <c r="C81" i="109"/>
  <c r="D81" i="109"/>
  <c r="C82" i="109"/>
  <c r="D82" i="109"/>
  <c r="C83" i="109"/>
  <c r="D83" i="109"/>
  <c r="C84" i="109"/>
  <c r="D84" i="109"/>
  <c r="C85" i="109"/>
  <c r="D85" i="109"/>
  <c r="C86" i="109"/>
  <c r="D86" i="109"/>
  <c r="C87" i="109"/>
  <c r="D87" i="109"/>
  <c r="C88" i="109"/>
  <c r="D88" i="109"/>
  <c r="C89" i="109"/>
  <c r="D89" i="109"/>
  <c r="C90" i="109"/>
  <c r="D90" i="109"/>
  <c r="C91" i="109"/>
  <c r="D91" i="109"/>
  <c r="C92" i="109"/>
  <c r="D92" i="109"/>
  <c r="C93" i="109"/>
  <c r="D93" i="109"/>
  <c r="C94" i="109"/>
  <c r="D94" i="109"/>
  <c r="C95" i="109"/>
  <c r="D95" i="109"/>
  <c r="C96" i="109"/>
  <c r="D96" i="109"/>
  <c r="C97" i="109"/>
  <c r="D97" i="109"/>
  <c r="C98" i="109"/>
  <c r="D98" i="109"/>
  <c r="C99" i="109"/>
  <c r="D99" i="109"/>
  <c r="C100" i="109"/>
  <c r="D100" i="109"/>
  <c r="C101" i="109"/>
  <c r="D101" i="109"/>
  <c r="C102" i="109"/>
  <c r="D102" i="109"/>
  <c r="C103" i="109"/>
  <c r="D103" i="109"/>
  <c r="C104" i="109"/>
  <c r="D104" i="109"/>
  <c r="C105" i="109"/>
  <c r="D105" i="109"/>
  <c r="C106" i="109"/>
  <c r="D106" i="109"/>
  <c r="C107" i="109"/>
  <c r="D107" i="109"/>
  <c r="C108" i="109"/>
  <c r="D108" i="109"/>
  <c r="C109" i="109"/>
  <c r="D109" i="109"/>
  <c r="C110" i="109"/>
  <c r="D110" i="109"/>
  <c r="C111" i="109"/>
  <c r="D111" i="109"/>
  <c r="C112" i="109"/>
  <c r="D112" i="109"/>
  <c r="C113" i="109"/>
  <c r="D113" i="109"/>
  <c r="C114" i="109"/>
  <c r="D114" i="109"/>
  <c r="C115" i="109"/>
  <c r="D115" i="109"/>
  <c r="C116" i="109"/>
  <c r="D116" i="109"/>
  <c r="C117" i="109"/>
  <c r="D117" i="109"/>
  <c r="C118" i="109"/>
  <c r="D118" i="109"/>
  <c r="C119" i="109"/>
  <c r="D119" i="109"/>
  <c r="C120" i="109"/>
  <c r="D120" i="109"/>
  <c r="C121" i="109"/>
  <c r="D121" i="109"/>
  <c r="C122" i="109"/>
  <c r="D122" i="109"/>
  <c r="C123" i="109"/>
  <c r="D123" i="109"/>
  <c r="D9" i="109"/>
  <c r="C9" i="109"/>
  <c r="C147" i="110"/>
  <c r="G146" i="110"/>
  <c r="D146" i="110"/>
  <c r="D148" i="109" s="1"/>
  <c r="H145" i="110"/>
  <c r="G145" i="110"/>
  <c r="E145" i="110"/>
  <c r="H144" i="110"/>
  <c r="G144" i="110"/>
  <c r="E144" i="110"/>
  <c r="H143" i="110"/>
  <c r="G143" i="110"/>
  <c r="I143" i="110" s="1"/>
  <c r="E143" i="110"/>
  <c r="H142" i="110"/>
  <c r="G142" i="110"/>
  <c r="I142" i="110" s="1"/>
  <c r="E142" i="110"/>
  <c r="H141" i="110"/>
  <c r="G141" i="110"/>
  <c r="E141" i="110"/>
  <c r="H140" i="110"/>
  <c r="G140" i="110"/>
  <c r="I140" i="110" s="1"/>
  <c r="E140" i="110"/>
  <c r="H139" i="110"/>
  <c r="G139" i="110"/>
  <c r="I139" i="110" s="1"/>
  <c r="E139" i="110"/>
  <c r="H138" i="110"/>
  <c r="G138" i="110"/>
  <c r="I138" i="110" s="1"/>
  <c r="E138" i="110"/>
  <c r="H137" i="110"/>
  <c r="G137" i="110"/>
  <c r="E137" i="110"/>
  <c r="H136" i="110"/>
  <c r="G136" i="110"/>
  <c r="I136" i="110" s="1"/>
  <c r="E136" i="110"/>
  <c r="H135" i="110"/>
  <c r="G135" i="110"/>
  <c r="E135" i="110"/>
  <c r="H133" i="110"/>
  <c r="G133" i="110"/>
  <c r="D133" i="110"/>
  <c r="C133" i="110"/>
  <c r="H130" i="110"/>
  <c r="G130" i="110"/>
  <c r="D130" i="110"/>
  <c r="C130" i="110"/>
  <c r="I129" i="110"/>
  <c r="E129" i="110"/>
  <c r="I128" i="110"/>
  <c r="E128" i="110"/>
  <c r="I127" i="110"/>
  <c r="E127" i="110"/>
  <c r="I126" i="110"/>
  <c r="E126" i="110"/>
  <c r="I125" i="110"/>
  <c r="E125" i="110"/>
  <c r="I124" i="110"/>
  <c r="E124" i="110"/>
  <c r="I123" i="110"/>
  <c r="E123" i="110"/>
  <c r="E121" i="110"/>
  <c r="E120" i="110"/>
  <c r="E119" i="110"/>
  <c r="E118" i="110"/>
  <c r="E117" i="110"/>
  <c r="E116" i="110"/>
  <c r="E115" i="110"/>
  <c r="E114" i="110"/>
  <c r="E113" i="110"/>
  <c r="E112" i="110"/>
  <c r="E111" i="110"/>
  <c r="E110" i="110"/>
  <c r="E109" i="110"/>
  <c r="E108" i="110"/>
  <c r="E107" i="110"/>
  <c r="E106" i="110"/>
  <c r="E105" i="110"/>
  <c r="E104" i="110"/>
  <c r="E103" i="110"/>
  <c r="E102" i="110"/>
  <c r="E101" i="110"/>
  <c r="E100" i="110"/>
  <c r="E99" i="110"/>
  <c r="E98" i="110"/>
  <c r="E97" i="110"/>
  <c r="E96" i="110"/>
  <c r="E95" i="110"/>
  <c r="E94" i="110"/>
  <c r="E93" i="110"/>
  <c r="E92" i="110"/>
  <c r="E91" i="110"/>
  <c r="E90" i="110"/>
  <c r="E89" i="110"/>
  <c r="E88" i="110"/>
  <c r="E87" i="110"/>
  <c r="E86" i="110"/>
  <c r="E85" i="110"/>
  <c r="E84" i="110"/>
  <c r="E83" i="110"/>
  <c r="E82" i="110"/>
  <c r="E81" i="110"/>
  <c r="E80" i="110"/>
  <c r="E79" i="110"/>
  <c r="E78" i="110"/>
  <c r="E77" i="110"/>
  <c r="E76" i="110"/>
  <c r="E75" i="110"/>
  <c r="E74" i="110"/>
  <c r="E73" i="110"/>
  <c r="E72" i="110"/>
  <c r="E71" i="110"/>
  <c r="E70" i="110"/>
  <c r="E69" i="110"/>
  <c r="E68" i="110"/>
  <c r="E67" i="110"/>
  <c r="E66" i="110"/>
  <c r="E65" i="110"/>
  <c r="E64" i="110"/>
  <c r="E63" i="110"/>
  <c r="E62" i="110"/>
  <c r="E61" i="110"/>
  <c r="E60" i="110"/>
  <c r="E59" i="110"/>
  <c r="E58" i="110"/>
  <c r="E57" i="110"/>
  <c r="E56" i="110"/>
  <c r="E55" i="110"/>
  <c r="E54" i="110"/>
  <c r="D53" i="110"/>
  <c r="D122" i="110" s="1"/>
  <c r="C53" i="110"/>
  <c r="C122" i="110" s="1"/>
  <c r="E52" i="110"/>
  <c r="E51" i="110"/>
  <c r="E50" i="110"/>
  <c r="E49" i="110"/>
  <c r="E48" i="110"/>
  <c r="E47" i="110"/>
  <c r="E46" i="110"/>
  <c r="E45" i="110"/>
  <c r="E44" i="110"/>
  <c r="E43" i="110"/>
  <c r="E42" i="110"/>
  <c r="E41" i="110"/>
  <c r="E40" i="110"/>
  <c r="E39" i="110"/>
  <c r="E38" i="110"/>
  <c r="E37" i="110"/>
  <c r="E36" i="110"/>
  <c r="E35" i="110"/>
  <c r="E34" i="110"/>
  <c r="E33" i="110"/>
  <c r="E32" i="110"/>
  <c r="E31" i="110"/>
  <c r="E30" i="110"/>
  <c r="E29" i="110"/>
  <c r="E28" i="110"/>
  <c r="E27" i="110"/>
  <c r="E26" i="110"/>
  <c r="E25" i="110"/>
  <c r="E24" i="110"/>
  <c r="E23" i="110"/>
  <c r="E22" i="110"/>
  <c r="E21" i="110"/>
  <c r="E20" i="110"/>
  <c r="E19" i="110"/>
  <c r="E18" i="110"/>
  <c r="E17" i="110"/>
  <c r="E16" i="110"/>
  <c r="E15" i="110"/>
  <c r="E14" i="110"/>
  <c r="E13" i="110"/>
  <c r="E12" i="110"/>
  <c r="E11" i="110"/>
  <c r="E10" i="110"/>
  <c r="E9" i="110"/>
  <c r="E8" i="110"/>
  <c r="E7" i="110"/>
  <c r="N124" i="109"/>
  <c r="N149" i="109"/>
  <c r="L148" i="109"/>
  <c r="L147" i="109"/>
  <c r="L146" i="109"/>
  <c r="L145" i="109"/>
  <c r="L144" i="109"/>
  <c r="L143" i="109"/>
  <c r="L142" i="109"/>
  <c r="L141" i="109"/>
  <c r="L140" i="109"/>
  <c r="L139" i="109"/>
  <c r="L138" i="109"/>
  <c r="L137" i="109"/>
  <c r="F138" i="109"/>
  <c r="F139" i="109"/>
  <c r="F140" i="109"/>
  <c r="F141" i="109"/>
  <c r="F142" i="109"/>
  <c r="F143" i="109"/>
  <c r="F144" i="109"/>
  <c r="F145" i="109"/>
  <c r="F146" i="109"/>
  <c r="F147" i="109"/>
  <c r="F148" i="109"/>
  <c r="F137" i="109"/>
  <c r="L123" i="109"/>
  <c r="L122" i="109"/>
  <c r="L121" i="109"/>
  <c r="L120" i="109"/>
  <c r="L119" i="109"/>
  <c r="L118" i="109"/>
  <c r="L117" i="109"/>
  <c r="L116" i="109"/>
  <c r="L115" i="109"/>
  <c r="L114" i="109"/>
  <c r="L113" i="109"/>
  <c r="L112" i="109"/>
  <c r="L111" i="109"/>
  <c r="L110" i="109"/>
  <c r="L109" i="109"/>
  <c r="L108" i="109"/>
  <c r="L107" i="109"/>
  <c r="L106" i="109"/>
  <c r="L105" i="109"/>
  <c r="L104" i="109"/>
  <c r="L103" i="109"/>
  <c r="L102" i="109"/>
  <c r="L101" i="109"/>
  <c r="L100" i="109"/>
  <c r="L99" i="109"/>
  <c r="L98" i="109"/>
  <c r="L97" i="109"/>
  <c r="L96" i="109"/>
  <c r="L95" i="109"/>
  <c r="L94" i="109"/>
  <c r="L93" i="109"/>
  <c r="L92" i="109"/>
  <c r="L91" i="109"/>
  <c r="L90" i="109"/>
  <c r="L89" i="109"/>
  <c r="L88" i="109"/>
  <c r="L87" i="109"/>
  <c r="L86" i="109"/>
  <c r="L85" i="109"/>
  <c r="L84" i="109"/>
  <c r="L83" i="109"/>
  <c r="L82" i="109"/>
  <c r="L81" i="109"/>
  <c r="L80" i="109"/>
  <c r="L79" i="109"/>
  <c r="L78" i="109"/>
  <c r="L77" i="109"/>
  <c r="L76" i="109"/>
  <c r="L75" i="109"/>
  <c r="L74" i="109"/>
  <c r="L73" i="109"/>
  <c r="L72" i="109"/>
  <c r="L71" i="109"/>
  <c r="L70" i="109"/>
  <c r="L69" i="109"/>
  <c r="L68" i="109"/>
  <c r="L67" i="109"/>
  <c r="L66" i="109"/>
  <c r="L65" i="109"/>
  <c r="L64" i="109"/>
  <c r="L63" i="109"/>
  <c r="L62" i="109"/>
  <c r="L61" i="109"/>
  <c r="L60" i="109"/>
  <c r="L59" i="109"/>
  <c r="L58" i="109"/>
  <c r="L57" i="109"/>
  <c r="L56" i="109"/>
  <c r="L55" i="109"/>
  <c r="L54" i="109"/>
  <c r="L53" i="109"/>
  <c r="L52" i="109"/>
  <c r="L51" i="109"/>
  <c r="L50" i="109"/>
  <c r="L49" i="109"/>
  <c r="L48" i="109"/>
  <c r="L47" i="109"/>
  <c r="L46" i="109"/>
  <c r="L45" i="109"/>
  <c r="L44" i="109"/>
  <c r="L43" i="109"/>
  <c r="L42" i="109"/>
  <c r="L41" i="109"/>
  <c r="L40" i="109"/>
  <c r="L39" i="109"/>
  <c r="L38" i="109"/>
  <c r="L37" i="109"/>
  <c r="L36" i="109"/>
  <c r="L35" i="109"/>
  <c r="L34" i="109"/>
  <c r="L33" i="109"/>
  <c r="L32" i="109"/>
  <c r="L31" i="109"/>
  <c r="L30" i="109"/>
  <c r="L29" i="109"/>
  <c r="L28" i="109"/>
  <c r="L27" i="109"/>
  <c r="L26" i="109"/>
  <c r="L25" i="109"/>
  <c r="L24" i="109"/>
  <c r="L23" i="109"/>
  <c r="L22" i="109"/>
  <c r="L21" i="109"/>
  <c r="L20" i="109"/>
  <c r="L19" i="109"/>
  <c r="L18" i="109"/>
  <c r="L17" i="109"/>
  <c r="L16" i="109"/>
  <c r="L15" i="109"/>
  <c r="L14" i="109"/>
  <c r="L13" i="109"/>
  <c r="L12" i="109"/>
  <c r="L11" i="109"/>
  <c r="L10" i="109"/>
  <c r="L9" i="109"/>
  <c r="F10" i="109"/>
  <c r="F11" i="109"/>
  <c r="F12" i="109"/>
  <c r="F13" i="109"/>
  <c r="F14" i="109"/>
  <c r="F15" i="109"/>
  <c r="F16" i="109"/>
  <c r="F17" i="109"/>
  <c r="F18" i="109"/>
  <c r="F19" i="109"/>
  <c r="F20" i="109"/>
  <c r="F21" i="109"/>
  <c r="F22" i="109"/>
  <c r="F23" i="109"/>
  <c r="F24" i="109"/>
  <c r="F25" i="109"/>
  <c r="F26" i="109"/>
  <c r="F27" i="109"/>
  <c r="F28" i="109"/>
  <c r="F29" i="109"/>
  <c r="F30" i="109"/>
  <c r="F31" i="109"/>
  <c r="F32" i="109"/>
  <c r="F33" i="109"/>
  <c r="F34" i="109"/>
  <c r="F35" i="109"/>
  <c r="F36" i="109"/>
  <c r="F37" i="109"/>
  <c r="F38" i="109"/>
  <c r="F39" i="109"/>
  <c r="F40" i="109"/>
  <c r="F41" i="109"/>
  <c r="F42" i="109"/>
  <c r="F43" i="109"/>
  <c r="F44" i="109"/>
  <c r="F45" i="109"/>
  <c r="F46" i="109"/>
  <c r="F47" i="109"/>
  <c r="F48" i="109"/>
  <c r="F49" i="109"/>
  <c r="F50" i="109"/>
  <c r="F51" i="109"/>
  <c r="F52" i="109"/>
  <c r="F53" i="109"/>
  <c r="F54" i="109"/>
  <c r="F55" i="109"/>
  <c r="F56" i="109"/>
  <c r="F57" i="109"/>
  <c r="F58" i="109"/>
  <c r="F59" i="109"/>
  <c r="F60" i="109"/>
  <c r="F61" i="109"/>
  <c r="F62" i="109"/>
  <c r="F63" i="109"/>
  <c r="F64" i="109"/>
  <c r="F65" i="109"/>
  <c r="F66" i="109"/>
  <c r="F67" i="109"/>
  <c r="F68" i="109"/>
  <c r="F69" i="109"/>
  <c r="F70" i="109"/>
  <c r="F71" i="109"/>
  <c r="F72" i="109"/>
  <c r="F73" i="109"/>
  <c r="F74" i="109"/>
  <c r="F75" i="109"/>
  <c r="F76" i="109"/>
  <c r="F77" i="109"/>
  <c r="F78" i="109"/>
  <c r="F79" i="109"/>
  <c r="F80" i="109"/>
  <c r="F81" i="109"/>
  <c r="F82" i="109"/>
  <c r="F83" i="109"/>
  <c r="F84" i="109"/>
  <c r="F85" i="109"/>
  <c r="F86" i="109"/>
  <c r="F87" i="109"/>
  <c r="F88" i="109"/>
  <c r="F89" i="109"/>
  <c r="F90" i="109"/>
  <c r="F91" i="109"/>
  <c r="F92" i="109"/>
  <c r="F93" i="109"/>
  <c r="F94" i="109"/>
  <c r="F95" i="109"/>
  <c r="F96" i="109"/>
  <c r="F97" i="109"/>
  <c r="F98" i="109"/>
  <c r="F99" i="109"/>
  <c r="F100" i="109"/>
  <c r="F101" i="109"/>
  <c r="F102" i="109"/>
  <c r="F103" i="109"/>
  <c r="F104" i="109"/>
  <c r="F105" i="109"/>
  <c r="F106" i="109"/>
  <c r="F107" i="109"/>
  <c r="F108" i="109"/>
  <c r="F109" i="109"/>
  <c r="F110" i="109"/>
  <c r="F111" i="109"/>
  <c r="F112" i="109"/>
  <c r="F113" i="109"/>
  <c r="F114" i="109"/>
  <c r="F115" i="109"/>
  <c r="F116" i="109"/>
  <c r="F117" i="109"/>
  <c r="F118" i="109"/>
  <c r="F119" i="109"/>
  <c r="F120" i="109"/>
  <c r="F121" i="109"/>
  <c r="F122" i="109"/>
  <c r="F123" i="109"/>
  <c r="F9" i="109"/>
  <c r="K125" i="109"/>
  <c r="M125" i="109" s="1"/>
  <c r="N125" i="109" s="1"/>
  <c r="O27" i="120" l="1"/>
  <c r="O16" i="121"/>
  <c r="O37" i="115"/>
  <c r="C15" i="121"/>
  <c r="C19" i="121" s="1"/>
  <c r="O18" i="121"/>
  <c r="C11" i="121"/>
  <c r="E15" i="121"/>
  <c r="E19" i="121" s="1"/>
  <c r="E21" i="121" s="1"/>
  <c r="L15" i="121"/>
  <c r="L19" i="121" s="1"/>
  <c r="L21" i="121" s="1"/>
  <c r="C21" i="121"/>
  <c r="C23" i="121" s="1"/>
  <c r="C28" i="121" s="1"/>
  <c r="M15" i="121"/>
  <c r="N15" i="121"/>
  <c r="N19" i="121" s="1"/>
  <c r="N21" i="121" s="1"/>
  <c r="L9" i="121"/>
  <c r="L11" i="121" s="1"/>
  <c r="D15" i="121"/>
  <c r="H11" i="121"/>
  <c r="I11" i="121"/>
  <c r="F15" i="121"/>
  <c r="F19" i="121" s="1"/>
  <c r="F21" i="121" s="1"/>
  <c r="J11" i="121"/>
  <c r="G15" i="121"/>
  <c r="K11" i="121"/>
  <c r="H15" i="121"/>
  <c r="I15" i="121"/>
  <c r="D11" i="121"/>
  <c r="J15" i="121"/>
  <c r="O14" i="121"/>
  <c r="E11" i="121"/>
  <c r="K15" i="121"/>
  <c r="K19" i="121" s="1"/>
  <c r="F11" i="121"/>
  <c r="O17" i="121"/>
  <c r="G11" i="121"/>
  <c r="O25" i="121"/>
  <c r="Q25" i="121" s="1"/>
  <c r="O20" i="121"/>
  <c r="O13" i="121"/>
  <c r="M11" i="121"/>
  <c r="N11" i="121"/>
  <c r="O8" i="121"/>
  <c r="O23" i="120"/>
  <c r="Q23" i="120" s="1"/>
  <c r="K15" i="120"/>
  <c r="K17" i="120" s="1"/>
  <c r="K19" i="120" s="1"/>
  <c r="K21" i="120" s="1"/>
  <c r="O28" i="120"/>
  <c r="L15" i="120"/>
  <c r="L17" i="120" s="1"/>
  <c r="L19" i="120" s="1"/>
  <c r="M15" i="120"/>
  <c r="M17" i="120" s="1"/>
  <c r="M19" i="120" s="1"/>
  <c r="D11" i="120"/>
  <c r="E11" i="120"/>
  <c r="F11" i="120"/>
  <c r="G11" i="120"/>
  <c r="H11" i="120"/>
  <c r="C15" i="120"/>
  <c r="C17" i="120" s="1"/>
  <c r="C19" i="120" s="1"/>
  <c r="I11" i="120"/>
  <c r="D15" i="120"/>
  <c r="D17" i="120" s="1"/>
  <c r="D19" i="120" s="1"/>
  <c r="D21" i="120" s="1"/>
  <c r="C9" i="120"/>
  <c r="C11" i="120" s="1"/>
  <c r="C21" i="120" s="1"/>
  <c r="N15" i="120"/>
  <c r="N17" i="120" s="1"/>
  <c r="N19" i="120" s="1"/>
  <c r="F15" i="120"/>
  <c r="F17" i="120" s="1"/>
  <c r="F19" i="120" s="1"/>
  <c r="G15" i="120"/>
  <c r="G17" i="120" s="1"/>
  <c r="G19" i="120" s="1"/>
  <c r="H15" i="120"/>
  <c r="H17" i="120" s="1"/>
  <c r="H19" i="120" s="1"/>
  <c r="E15" i="120"/>
  <c r="E17" i="120" s="1"/>
  <c r="E19" i="120" s="1"/>
  <c r="I15" i="120"/>
  <c r="I17" i="120" s="1"/>
  <c r="I19" i="120" s="1"/>
  <c r="J15" i="120"/>
  <c r="J17" i="120" s="1"/>
  <c r="J19" i="120" s="1"/>
  <c r="J21" i="120" s="1"/>
  <c r="O14" i="120"/>
  <c r="O16" i="120"/>
  <c r="O18" i="120"/>
  <c r="O29" i="120"/>
  <c r="O8" i="120"/>
  <c r="L11" i="120"/>
  <c r="O13" i="120"/>
  <c r="M11" i="120"/>
  <c r="N11" i="120"/>
  <c r="I15" i="119"/>
  <c r="H15" i="119"/>
  <c r="H66" i="92" s="1"/>
  <c r="D15" i="119"/>
  <c r="D66" i="92" s="1"/>
  <c r="N15" i="119"/>
  <c r="N66" i="92" s="1"/>
  <c r="O24" i="119"/>
  <c r="O23" i="119"/>
  <c r="L15" i="119"/>
  <c r="L66" i="92" s="1"/>
  <c r="N11" i="119"/>
  <c r="M11" i="119"/>
  <c r="K15" i="119"/>
  <c r="K66" i="92" s="1"/>
  <c r="E15" i="119"/>
  <c r="E66" i="92" s="1"/>
  <c r="O14" i="119"/>
  <c r="J15" i="119"/>
  <c r="J66" i="92" s="1"/>
  <c r="G15" i="119"/>
  <c r="G66" i="92" s="1"/>
  <c r="O35" i="96"/>
  <c r="N35" i="96" s="1"/>
  <c r="L38" i="95"/>
  <c r="I29" i="96"/>
  <c r="K29" i="96"/>
  <c r="J29" i="96"/>
  <c r="L29" i="96"/>
  <c r="N29" i="96"/>
  <c r="I30" i="96"/>
  <c r="H29" i="96"/>
  <c r="M32" i="96"/>
  <c r="K30" i="96"/>
  <c r="J31" i="96"/>
  <c r="K31" i="96"/>
  <c r="C29" i="96"/>
  <c r="D29" i="96"/>
  <c r="I32" i="96"/>
  <c r="J32" i="96"/>
  <c r="E29" i="96"/>
  <c r="F29" i="96"/>
  <c r="K32" i="96"/>
  <c r="L32" i="96"/>
  <c r="F30" i="96"/>
  <c r="G30" i="96"/>
  <c r="E30" i="96"/>
  <c r="H30" i="96"/>
  <c r="N32" i="96"/>
  <c r="J30" i="96"/>
  <c r="K33" i="96"/>
  <c r="M34" i="96"/>
  <c r="G31" i="96"/>
  <c r="H31" i="96"/>
  <c r="I31" i="96"/>
  <c r="L33" i="96"/>
  <c r="M33" i="96"/>
  <c r="N33" i="96"/>
  <c r="M29" i="96"/>
  <c r="L31" i="96"/>
  <c r="N34" i="96"/>
  <c r="M31" i="96"/>
  <c r="O36" i="96"/>
  <c r="C35" i="96"/>
  <c r="C34" i="96"/>
  <c r="E35" i="96"/>
  <c r="Q35" i="96"/>
  <c r="L30" i="96"/>
  <c r="N31" i="96"/>
  <c r="Q32" i="96"/>
  <c r="D34" i="96"/>
  <c r="F35" i="96"/>
  <c r="M30" i="96"/>
  <c r="C33" i="96"/>
  <c r="E34" i="96"/>
  <c r="N30" i="96"/>
  <c r="Q31" i="96"/>
  <c r="D33" i="96"/>
  <c r="F34" i="96"/>
  <c r="H35" i="96"/>
  <c r="C32" i="96"/>
  <c r="E33" i="96"/>
  <c r="G34" i="96"/>
  <c r="I35" i="96"/>
  <c r="D35" i="96"/>
  <c r="D32" i="96"/>
  <c r="H34" i="96"/>
  <c r="C31" i="96"/>
  <c r="E32" i="96"/>
  <c r="G33" i="96"/>
  <c r="I34" i="96"/>
  <c r="Q30" i="96"/>
  <c r="Q29" i="96"/>
  <c r="D31" i="96"/>
  <c r="F32" i="96"/>
  <c r="H33" i="96"/>
  <c r="J34" i="96"/>
  <c r="L35" i="96"/>
  <c r="Q33" i="96"/>
  <c r="J35" i="96"/>
  <c r="C30" i="96"/>
  <c r="E31" i="96"/>
  <c r="G32" i="96"/>
  <c r="I33" i="96"/>
  <c r="K34" i="96"/>
  <c r="Q34" i="96"/>
  <c r="F33" i="96"/>
  <c r="O13" i="119"/>
  <c r="F15" i="119"/>
  <c r="J11" i="119"/>
  <c r="I11" i="119"/>
  <c r="I66" i="92"/>
  <c r="G11" i="119"/>
  <c r="O8" i="119"/>
  <c r="F9" i="119"/>
  <c r="F11" i="119" s="1"/>
  <c r="E9" i="119"/>
  <c r="E11" i="119" s="1"/>
  <c r="D9" i="119"/>
  <c r="D11" i="119" s="1"/>
  <c r="D9" i="114"/>
  <c r="D9" i="117"/>
  <c r="C11" i="119"/>
  <c r="D8" i="118"/>
  <c r="D9" i="118"/>
  <c r="C11" i="118"/>
  <c r="D11" i="118" s="1"/>
  <c r="O8" i="118"/>
  <c r="E11" i="118"/>
  <c r="F9" i="118"/>
  <c r="C34" i="118"/>
  <c r="E34" i="118"/>
  <c r="F8" i="118"/>
  <c r="G8" i="118"/>
  <c r="E11" i="117"/>
  <c r="F11" i="117" s="1"/>
  <c r="D11" i="117"/>
  <c r="D8" i="117"/>
  <c r="G8" i="117"/>
  <c r="F8" i="117"/>
  <c r="K8" i="117"/>
  <c r="O17" i="114"/>
  <c r="G17" i="114"/>
  <c r="D17" i="114"/>
  <c r="E11" i="114"/>
  <c r="O31" i="115"/>
  <c r="O32" i="115"/>
  <c r="O28" i="115"/>
  <c r="O16" i="115"/>
  <c r="O30" i="115"/>
  <c r="O36" i="115"/>
  <c r="O29" i="115"/>
  <c r="O33" i="115"/>
  <c r="O34" i="115"/>
  <c r="O25" i="115"/>
  <c r="O17" i="115"/>
  <c r="O11" i="115"/>
  <c r="O8" i="115"/>
  <c r="O9" i="115"/>
  <c r="O10" i="115"/>
  <c r="C11" i="114"/>
  <c r="F17" i="114"/>
  <c r="G8" i="114"/>
  <c r="O10" i="113"/>
  <c r="O16" i="113"/>
  <c r="O38" i="111"/>
  <c r="O37" i="111"/>
  <c r="O36" i="111"/>
  <c r="O39" i="111" s="1"/>
  <c r="J132" i="109"/>
  <c r="E25" i="87" s="1"/>
  <c r="E24" i="87" s="1"/>
  <c r="E26" i="87" s="1"/>
  <c r="H110" i="110" s="1"/>
  <c r="J112" i="109" s="1"/>
  <c r="O31" i="111"/>
  <c r="I132" i="109"/>
  <c r="E20" i="87" s="1"/>
  <c r="O23" i="111"/>
  <c r="O8" i="111"/>
  <c r="H11" i="111"/>
  <c r="L11" i="111"/>
  <c r="G11" i="111"/>
  <c r="K11" i="111"/>
  <c r="J11" i="111"/>
  <c r="E11" i="111"/>
  <c r="F11" i="111"/>
  <c r="O10" i="111"/>
  <c r="I11" i="111"/>
  <c r="C11" i="111"/>
  <c r="M11" i="111"/>
  <c r="N11" i="111"/>
  <c r="D11" i="111"/>
  <c r="O16" i="111"/>
  <c r="O9" i="111"/>
  <c r="H111" i="110"/>
  <c r="J113" i="109" s="1"/>
  <c r="N132" i="109"/>
  <c r="N133" i="109" s="1"/>
  <c r="N151" i="109" s="1"/>
  <c r="H47" i="110"/>
  <c r="J49" i="109" s="1"/>
  <c r="H58" i="110"/>
  <c r="J60" i="109" s="1"/>
  <c r="H37" i="110"/>
  <c r="J39" i="109" s="1"/>
  <c r="H64" i="110"/>
  <c r="J66" i="109" s="1"/>
  <c r="H80" i="110"/>
  <c r="J82" i="109" s="1"/>
  <c r="H96" i="110"/>
  <c r="J98" i="109" s="1"/>
  <c r="H27" i="110"/>
  <c r="J29" i="109" s="1"/>
  <c r="H43" i="110"/>
  <c r="J45" i="109" s="1"/>
  <c r="H54" i="110"/>
  <c r="J56" i="109" s="1"/>
  <c r="H70" i="110"/>
  <c r="J72" i="109" s="1"/>
  <c r="H17" i="110"/>
  <c r="J19" i="109" s="1"/>
  <c r="H33" i="110"/>
  <c r="J35" i="109" s="1"/>
  <c r="H49" i="110"/>
  <c r="J51" i="109" s="1"/>
  <c r="H60" i="110"/>
  <c r="J62" i="109" s="1"/>
  <c r="H46" i="110"/>
  <c r="J48" i="109" s="1"/>
  <c r="H68" i="110"/>
  <c r="J70" i="109" s="1"/>
  <c r="H95" i="110"/>
  <c r="J97" i="109" s="1"/>
  <c r="H7" i="110"/>
  <c r="J9" i="109" s="1"/>
  <c r="H93" i="110"/>
  <c r="J95" i="109" s="1"/>
  <c r="H109" i="110"/>
  <c r="J111" i="109" s="1"/>
  <c r="H13" i="110"/>
  <c r="J15" i="109" s="1"/>
  <c r="H29" i="110"/>
  <c r="J31" i="109" s="1"/>
  <c r="H83" i="110"/>
  <c r="J85" i="109" s="1"/>
  <c r="H99" i="110"/>
  <c r="J101" i="109" s="1"/>
  <c r="H115" i="110"/>
  <c r="J117" i="109" s="1"/>
  <c r="H9" i="110"/>
  <c r="J11" i="109" s="1"/>
  <c r="D55" i="109"/>
  <c r="I145" i="110"/>
  <c r="C55" i="109"/>
  <c r="E55" i="109" s="1"/>
  <c r="G55" i="109" s="1"/>
  <c r="I144" i="110"/>
  <c r="I133" i="110"/>
  <c r="I141" i="110"/>
  <c r="E133" i="110"/>
  <c r="D131" i="110"/>
  <c r="I135" i="110"/>
  <c r="E130" i="110"/>
  <c r="D147" i="110"/>
  <c r="E146" i="110"/>
  <c r="E147" i="110" s="1"/>
  <c r="H146" i="110"/>
  <c r="H147" i="110" s="1"/>
  <c r="G147" i="110"/>
  <c r="I137" i="110"/>
  <c r="C131" i="110"/>
  <c r="E53" i="110"/>
  <c r="I130" i="110"/>
  <c r="G21" i="109"/>
  <c r="G116" i="109"/>
  <c r="G100" i="109"/>
  <c r="M132" i="109"/>
  <c r="K132" i="109"/>
  <c r="D149" i="109"/>
  <c r="C149" i="109"/>
  <c r="E138" i="109"/>
  <c r="E139" i="109"/>
  <c r="E140" i="109"/>
  <c r="E141" i="109"/>
  <c r="E142" i="109"/>
  <c r="E143" i="109"/>
  <c r="E144" i="109"/>
  <c r="E145" i="109"/>
  <c r="E146" i="109"/>
  <c r="E147" i="109"/>
  <c r="G147" i="109" s="1"/>
  <c r="E148" i="109"/>
  <c r="G148" i="109" s="1"/>
  <c r="E137" i="109"/>
  <c r="C124" i="109"/>
  <c r="D132" i="109"/>
  <c r="C132" i="109"/>
  <c r="E131" i="109"/>
  <c r="E130" i="109"/>
  <c r="E129" i="109"/>
  <c r="E128" i="109"/>
  <c r="E127" i="109"/>
  <c r="E126" i="109"/>
  <c r="E125" i="109"/>
  <c r="D124" i="109"/>
  <c r="E10" i="109"/>
  <c r="G10" i="109" s="1"/>
  <c r="E11" i="109"/>
  <c r="G11" i="109" s="1"/>
  <c r="E12" i="109"/>
  <c r="G12" i="109" s="1"/>
  <c r="E13" i="109"/>
  <c r="G13" i="109" s="1"/>
  <c r="E14" i="109"/>
  <c r="G14" i="109" s="1"/>
  <c r="E15" i="109"/>
  <c r="G15" i="109" s="1"/>
  <c r="E16" i="109"/>
  <c r="G16" i="109" s="1"/>
  <c r="E17" i="109"/>
  <c r="G17" i="109" s="1"/>
  <c r="E18" i="109"/>
  <c r="G18" i="109" s="1"/>
  <c r="E19" i="109"/>
  <c r="G19" i="109" s="1"/>
  <c r="E20" i="109"/>
  <c r="G20" i="109" s="1"/>
  <c r="E21" i="109"/>
  <c r="E22" i="109"/>
  <c r="G22" i="109" s="1"/>
  <c r="E23" i="109"/>
  <c r="G23" i="109" s="1"/>
  <c r="E24" i="109"/>
  <c r="G24" i="109" s="1"/>
  <c r="E25" i="109"/>
  <c r="G25" i="109" s="1"/>
  <c r="E26" i="109"/>
  <c r="G26" i="109" s="1"/>
  <c r="E27" i="109"/>
  <c r="G27" i="109" s="1"/>
  <c r="E28" i="109"/>
  <c r="G28" i="109" s="1"/>
  <c r="E29" i="109"/>
  <c r="G29" i="109" s="1"/>
  <c r="E30" i="109"/>
  <c r="G30" i="109" s="1"/>
  <c r="E31" i="109"/>
  <c r="G31" i="109" s="1"/>
  <c r="E32" i="109"/>
  <c r="G32" i="109" s="1"/>
  <c r="E33" i="109"/>
  <c r="G33" i="109" s="1"/>
  <c r="E34" i="109"/>
  <c r="G34" i="109" s="1"/>
  <c r="E35" i="109"/>
  <c r="G35" i="109" s="1"/>
  <c r="E36" i="109"/>
  <c r="G36" i="109" s="1"/>
  <c r="E37" i="109"/>
  <c r="G37" i="109" s="1"/>
  <c r="E38" i="109"/>
  <c r="G38" i="109" s="1"/>
  <c r="E39" i="109"/>
  <c r="G39" i="109" s="1"/>
  <c r="E40" i="109"/>
  <c r="G40" i="109" s="1"/>
  <c r="E41" i="109"/>
  <c r="G41" i="109" s="1"/>
  <c r="E42" i="109"/>
  <c r="G42" i="109" s="1"/>
  <c r="E43" i="109"/>
  <c r="G43" i="109" s="1"/>
  <c r="E44" i="109"/>
  <c r="G44" i="109" s="1"/>
  <c r="E45" i="109"/>
  <c r="G45" i="109" s="1"/>
  <c r="E46" i="109"/>
  <c r="G46" i="109" s="1"/>
  <c r="E47" i="109"/>
  <c r="G47" i="109" s="1"/>
  <c r="E48" i="109"/>
  <c r="G48" i="109" s="1"/>
  <c r="E49" i="109"/>
  <c r="G49" i="109" s="1"/>
  <c r="E50" i="109"/>
  <c r="G50" i="109" s="1"/>
  <c r="E51" i="109"/>
  <c r="G51" i="109" s="1"/>
  <c r="E52" i="109"/>
  <c r="G52" i="109" s="1"/>
  <c r="E53" i="109"/>
  <c r="G53" i="109" s="1"/>
  <c r="E54" i="109"/>
  <c r="G54" i="109" s="1"/>
  <c r="E56" i="109"/>
  <c r="G56" i="109" s="1"/>
  <c r="E57" i="109"/>
  <c r="G57" i="109" s="1"/>
  <c r="E58" i="109"/>
  <c r="G58" i="109" s="1"/>
  <c r="E59" i="109"/>
  <c r="G59" i="109" s="1"/>
  <c r="E60" i="109"/>
  <c r="G60" i="109" s="1"/>
  <c r="E61" i="109"/>
  <c r="G61" i="109" s="1"/>
  <c r="E62" i="109"/>
  <c r="G62" i="109" s="1"/>
  <c r="E63" i="109"/>
  <c r="G63" i="109" s="1"/>
  <c r="E64" i="109"/>
  <c r="G64" i="109" s="1"/>
  <c r="E65" i="109"/>
  <c r="G65" i="109" s="1"/>
  <c r="E66" i="109"/>
  <c r="G66" i="109" s="1"/>
  <c r="E67" i="109"/>
  <c r="G67" i="109" s="1"/>
  <c r="E68" i="109"/>
  <c r="G68" i="109" s="1"/>
  <c r="E69" i="109"/>
  <c r="G69" i="109" s="1"/>
  <c r="E70" i="109"/>
  <c r="G70" i="109" s="1"/>
  <c r="E71" i="109"/>
  <c r="G71" i="109" s="1"/>
  <c r="E72" i="109"/>
  <c r="G72" i="109" s="1"/>
  <c r="E73" i="109"/>
  <c r="G73" i="109" s="1"/>
  <c r="E74" i="109"/>
  <c r="G74" i="109" s="1"/>
  <c r="E75" i="109"/>
  <c r="G75" i="109" s="1"/>
  <c r="E76" i="109"/>
  <c r="G76" i="109" s="1"/>
  <c r="E77" i="109"/>
  <c r="G77" i="109" s="1"/>
  <c r="E78" i="109"/>
  <c r="G78" i="109" s="1"/>
  <c r="E79" i="109"/>
  <c r="G79" i="109" s="1"/>
  <c r="E80" i="109"/>
  <c r="G80" i="109" s="1"/>
  <c r="E81" i="109"/>
  <c r="G81" i="109" s="1"/>
  <c r="E82" i="109"/>
  <c r="G82" i="109" s="1"/>
  <c r="E83" i="109"/>
  <c r="G83" i="109" s="1"/>
  <c r="E84" i="109"/>
  <c r="G84" i="109" s="1"/>
  <c r="E85" i="109"/>
  <c r="G85" i="109" s="1"/>
  <c r="E86" i="109"/>
  <c r="G86" i="109" s="1"/>
  <c r="E87" i="109"/>
  <c r="G87" i="109" s="1"/>
  <c r="E88" i="109"/>
  <c r="G88" i="109" s="1"/>
  <c r="E89" i="109"/>
  <c r="G89" i="109" s="1"/>
  <c r="E90" i="109"/>
  <c r="G90" i="109" s="1"/>
  <c r="E91" i="109"/>
  <c r="G91" i="109" s="1"/>
  <c r="E92" i="109"/>
  <c r="G92" i="109" s="1"/>
  <c r="E93" i="109"/>
  <c r="G93" i="109" s="1"/>
  <c r="E94" i="109"/>
  <c r="G94" i="109" s="1"/>
  <c r="E95" i="109"/>
  <c r="G95" i="109" s="1"/>
  <c r="E96" i="109"/>
  <c r="G96" i="109" s="1"/>
  <c r="E97" i="109"/>
  <c r="G97" i="109" s="1"/>
  <c r="E98" i="109"/>
  <c r="G98" i="109" s="1"/>
  <c r="E99" i="109"/>
  <c r="G99" i="109" s="1"/>
  <c r="E100" i="109"/>
  <c r="E101" i="109"/>
  <c r="G101" i="109" s="1"/>
  <c r="E102" i="109"/>
  <c r="G102" i="109" s="1"/>
  <c r="E103" i="109"/>
  <c r="G103" i="109" s="1"/>
  <c r="E104" i="109"/>
  <c r="G104" i="109" s="1"/>
  <c r="E105" i="109"/>
  <c r="G105" i="109" s="1"/>
  <c r="E106" i="109"/>
  <c r="G106" i="109" s="1"/>
  <c r="E107" i="109"/>
  <c r="G107" i="109" s="1"/>
  <c r="E108" i="109"/>
  <c r="G108" i="109" s="1"/>
  <c r="E109" i="109"/>
  <c r="G109" i="109" s="1"/>
  <c r="E110" i="109"/>
  <c r="G110" i="109" s="1"/>
  <c r="E111" i="109"/>
  <c r="G111" i="109" s="1"/>
  <c r="E112" i="109"/>
  <c r="G112" i="109" s="1"/>
  <c r="E113" i="109"/>
  <c r="G113" i="109" s="1"/>
  <c r="E114" i="109"/>
  <c r="G114" i="109" s="1"/>
  <c r="E115" i="109"/>
  <c r="G115" i="109" s="1"/>
  <c r="E116" i="109"/>
  <c r="E117" i="109"/>
  <c r="G117" i="109" s="1"/>
  <c r="E118" i="109"/>
  <c r="G118" i="109" s="1"/>
  <c r="E119" i="109"/>
  <c r="G119" i="109" s="1"/>
  <c r="E120" i="109"/>
  <c r="G120" i="109" s="1"/>
  <c r="E121" i="109"/>
  <c r="G121" i="109" s="1"/>
  <c r="E122" i="109"/>
  <c r="G122" i="109" s="1"/>
  <c r="E123" i="109"/>
  <c r="G123" i="109" s="1"/>
  <c r="E9" i="109"/>
  <c r="G9" i="109" s="1"/>
  <c r="D38" i="108"/>
  <c r="C38" i="108"/>
  <c r="E38" i="108" s="1"/>
  <c r="E24" i="108"/>
  <c r="C13" i="108"/>
  <c r="C7" i="108"/>
  <c r="C28" i="108"/>
  <c r="C38" i="106"/>
  <c r="E34" i="106"/>
  <c r="D34" i="106"/>
  <c r="C34" i="106"/>
  <c r="K30" i="107"/>
  <c r="J30" i="107"/>
  <c r="F30" i="107"/>
  <c r="H30" i="107"/>
  <c r="E30" i="107"/>
  <c r="K28" i="107"/>
  <c r="J28" i="107"/>
  <c r="F28" i="107"/>
  <c r="G28" i="107"/>
  <c r="G30" i="107" s="1"/>
  <c r="H28" i="107"/>
  <c r="E28" i="107"/>
  <c r="F27" i="107"/>
  <c r="E27" i="107"/>
  <c r="J26" i="107"/>
  <c r="G26" i="107"/>
  <c r="F26" i="107"/>
  <c r="E26" i="107"/>
  <c r="F24" i="107"/>
  <c r="E24" i="107"/>
  <c r="H23" i="107"/>
  <c r="G23" i="107"/>
  <c r="K23" i="107"/>
  <c r="K22" i="107"/>
  <c r="H22" i="107"/>
  <c r="G22" i="107"/>
  <c r="K21" i="107"/>
  <c r="H21" i="107"/>
  <c r="M9" i="107"/>
  <c r="G21" i="107"/>
  <c r="G9" i="107"/>
  <c r="K19" i="107"/>
  <c r="J19" i="107"/>
  <c r="H19" i="107"/>
  <c r="G19" i="107"/>
  <c r="F19" i="107"/>
  <c r="E19" i="107"/>
  <c r="J18" i="107"/>
  <c r="H18" i="107"/>
  <c r="J17" i="107"/>
  <c r="H17" i="107"/>
  <c r="J16" i="107"/>
  <c r="H16" i="107"/>
  <c r="J15" i="107"/>
  <c r="H15" i="107"/>
  <c r="J14" i="107"/>
  <c r="H14" i="107"/>
  <c r="H13" i="107"/>
  <c r="G12" i="107"/>
  <c r="G11" i="107"/>
  <c r="M8" i="107"/>
  <c r="M7" i="107"/>
  <c r="K9" i="107"/>
  <c r="H9" i="107"/>
  <c r="F9" i="107"/>
  <c r="E9" i="107"/>
  <c r="F8" i="107"/>
  <c r="E8" i="107"/>
  <c r="J7" i="107"/>
  <c r="H7" i="107"/>
  <c r="C22" i="107"/>
  <c r="C23" i="107"/>
  <c r="C24" i="107"/>
  <c r="C25" i="107"/>
  <c r="C26" i="107"/>
  <c r="C27" i="107"/>
  <c r="C21" i="107"/>
  <c r="C28" i="107" s="1"/>
  <c r="C15" i="107"/>
  <c r="C16" i="107"/>
  <c r="C17" i="107"/>
  <c r="C18" i="107"/>
  <c r="C12" i="107"/>
  <c r="C13" i="107"/>
  <c r="C14" i="107"/>
  <c r="C17" i="95"/>
  <c r="D17" i="95"/>
  <c r="E17" i="95"/>
  <c r="F17" i="95"/>
  <c r="G17" i="95"/>
  <c r="H17" i="95"/>
  <c r="I17" i="95"/>
  <c r="J17" i="95"/>
  <c r="C11" i="107"/>
  <c r="C25" i="106"/>
  <c r="D21" i="106"/>
  <c r="C21" i="106"/>
  <c r="E21" i="106" s="1"/>
  <c r="C12" i="106"/>
  <c r="C8" i="106"/>
  <c r="C12" i="105"/>
  <c r="C8" i="105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H32" i="104"/>
  <c r="I32" i="104"/>
  <c r="C32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44" i="103"/>
  <c r="I44" i="103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K34" i="104"/>
  <c r="K40" i="104" s="1"/>
  <c r="J34" i="104"/>
  <c r="J40" i="104" s="1"/>
  <c r="I34" i="104"/>
  <c r="I40" i="104" s="1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H31" i="104"/>
  <c r="G31" i="104"/>
  <c r="G32" i="104" s="1"/>
  <c r="F31" i="104"/>
  <c r="F32" i="104" s="1"/>
  <c r="E31" i="104"/>
  <c r="E32" i="104" s="1"/>
  <c r="D31" i="104"/>
  <c r="D32" i="104" s="1"/>
  <c r="C31" i="104"/>
  <c r="C52" i="104" s="1"/>
  <c r="N14" i="104"/>
  <c r="I14" i="104"/>
  <c r="H12" i="104"/>
  <c r="G12" i="104"/>
  <c r="F12" i="104"/>
  <c r="E12" i="104"/>
  <c r="D12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5" i="103"/>
  <c r="E45" i="103"/>
  <c r="F45" i="103"/>
  <c r="G45" i="103"/>
  <c r="H45" i="103"/>
  <c r="I45" i="103"/>
  <c r="J45" i="103"/>
  <c r="K45" i="103"/>
  <c r="L45" i="103"/>
  <c r="M45" i="103"/>
  <c r="N45" i="103"/>
  <c r="D46" i="103"/>
  <c r="E46" i="103"/>
  <c r="F46" i="103"/>
  <c r="G46" i="103"/>
  <c r="H46" i="103"/>
  <c r="I46" i="103"/>
  <c r="J46" i="103"/>
  <c r="K46" i="103"/>
  <c r="L46" i="103"/>
  <c r="M46" i="103"/>
  <c r="N46" i="103"/>
  <c r="C46" i="103"/>
  <c r="C45" i="103"/>
  <c r="D42" i="103"/>
  <c r="D43" i="103" s="1"/>
  <c r="E42" i="103"/>
  <c r="F42" i="103"/>
  <c r="G42" i="103"/>
  <c r="H42" i="103"/>
  <c r="H43" i="103" s="1"/>
  <c r="I42" i="103"/>
  <c r="I43" i="103" s="1"/>
  <c r="I47" i="103" s="1"/>
  <c r="I50" i="103" s="1"/>
  <c r="J42" i="103"/>
  <c r="J43" i="103" s="1"/>
  <c r="J47" i="103" s="1"/>
  <c r="J50" i="103" s="1"/>
  <c r="D40" i="103"/>
  <c r="I40" i="103"/>
  <c r="J40" i="103"/>
  <c r="K40" i="103"/>
  <c r="L40" i="103"/>
  <c r="M40" i="103"/>
  <c r="N40" i="103"/>
  <c r="C40" i="103"/>
  <c r="D39" i="103"/>
  <c r="E39" i="103"/>
  <c r="E40" i="103" s="1"/>
  <c r="F39" i="103"/>
  <c r="F40" i="103" s="1"/>
  <c r="G39" i="103"/>
  <c r="G40" i="103" s="1"/>
  <c r="H39" i="103"/>
  <c r="H40" i="103" s="1"/>
  <c r="I39" i="103"/>
  <c r="J39" i="103"/>
  <c r="K39" i="103"/>
  <c r="L39" i="103"/>
  <c r="M39" i="103"/>
  <c r="N39" i="103"/>
  <c r="C39" i="103"/>
  <c r="O44" i="103"/>
  <c r="G43" i="103"/>
  <c r="F43" i="103"/>
  <c r="E43" i="103"/>
  <c r="C61" i="103"/>
  <c r="F9" i="102"/>
  <c r="D16" i="103"/>
  <c r="E16" i="103"/>
  <c r="F16" i="103"/>
  <c r="G16" i="103"/>
  <c r="H16" i="103"/>
  <c r="I16" i="103"/>
  <c r="J16" i="103"/>
  <c r="K16" i="103"/>
  <c r="L16" i="103"/>
  <c r="M16" i="103"/>
  <c r="N16" i="103"/>
  <c r="C16" i="103"/>
  <c r="D15" i="103"/>
  <c r="E15" i="103"/>
  <c r="F15" i="103"/>
  <c r="G15" i="103"/>
  <c r="H15" i="103"/>
  <c r="I15" i="103"/>
  <c r="J15" i="103"/>
  <c r="K15" i="103"/>
  <c r="L15" i="103"/>
  <c r="M15" i="103"/>
  <c r="N15" i="103"/>
  <c r="C15" i="103"/>
  <c r="N14" i="103"/>
  <c r="I14" i="103"/>
  <c r="O14" i="103" s="1"/>
  <c r="D12" i="103"/>
  <c r="D13" i="103" s="1"/>
  <c r="E12" i="103"/>
  <c r="E13" i="103" s="1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D5" i="102"/>
  <c r="C5" i="102"/>
  <c r="D17" i="99"/>
  <c r="C17" i="99"/>
  <c r="D10" i="99"/>
  <c r="C10" i="99"/>
  <c r="K28" i="98"/>
  <c r="I39" i="98"/>
  <c r="N33" i="98"/>
  <c r="K34" i="98"/>
  <c r="H26" i="98"/>
  <c r="H27" i="98"/>
  <c r="H28" i="98"/>
  <c r="H29" i="98"/>
  <c r="H36" i="98" s="1"/>
  <c r="H30" i="98"/>
  <c r="H31" i="98"/>
  <c r="H32" i="98"/>
  <c r="H33" i="98"/>
  <c r="H34" i="98"/>
  <c r="H35" i="98"/>
  <c r="H25" i="98"/>
  <c r="C26" i="98"/>
  <c r="C27" i="98"/>
  <c r="C28" i="98"/>
  <c r="C29" i="98"/>
  <c r="F29" i="98" s="1"/>
  <c r="C30" i="98"/>
  <c r="C31" i="98"/>
  <c r="C38" i="98" s="1"/>
  <c r="C32" i="98"/>
  <c r="C39" i="98" s="1"/>
  <c r="C33" i="98"/>
  <c r="F33" i="98" s="1"/>
  <c r="C34" i="98"/>
  <c r="F34" i="98" s="1"/>
  <c r="C35" i="98"/>
  <c r="C25" i="98"/>
  <c r="J39" i="98"/>
  <c r="E39" i="98"/>
  <c r="D39" i="98"/>
  <c r="J38" i="98"/>
  <c r="I38" i="98"/>
  <c r="H38" i="98"/>
  <c r="E38" i="98"/>
  <c r="D38" i="98"/>
  <c r="J36" i="98"/>
  <c r="I36" i="98"/>
  <c r="E36" i="98"/>
  <c r="D36" i="98"/>
  <c r="C36" i="98"/>
  <c r="N35" i="98"/>
  <c r="F35" i="98"/>
  <c r="K32" i="98"/>
  <c r="F32" i="98"/>
  <c r="N31" i="98"/>
  <c r="F31" i="98"/>
  <c r="M30" i="98"/>
  <c r="K30" i="98"/>
  <c r="F30" i="98"/>
  <c r="N29" i="98"/>
  <c r="K29" i="98"/>
  <c r="N28" i="98"/>
  <c r="F28" i="98"/>
  <c r="M27" i="98"/>
  <c r="K27" i="98"/>
  <c r="F27" i="98"/>
  <c r="M26" i="98"/>
  <c r="K26" i="98"/>
  <c r="F26" i="98"/>
  <c r="M25" i="98"/>
  <c r="K25" i="98"/>
  <c r="F25" i="98"/>
  <c r="N17" i="98"/>
  <c r="M17" i="98"/>
  <c r="N13" i="98"/>
  <c r="N14" i="98"/>
  <c r="N15" i="98"/>
  <c r="N16" i="98"/>
  <c r="N12" i="98"/>
  <c r="M11" i="98"/>
  <c r="N10" i="98"/>
  <c r="N9" i="98"/>
  <c r="M7" i="98"/>
  <c r="M8" i="98"/>
  <c r="M6" i="98"/>
  <c r="K16" i="98"/>
  <c r="K15" i="98"/>
  <c r="K14" i="98"/>
  <c r="K13" i="98"/>
  <c r="K20" i="98" s="1"/>
  <c r="K12" i="98"/>
  <c r="K11" i="98"/>
  <c r="K10" i="98"/>
  <c r="K9" i="98"/>
  <c r="K8" i="98"/>
  <c r="K7" i="98"/>
  <c r="K6" i="98"/>
  <c r="K17" i="98" s="1"/>
  <c r="I17" i="98"/>
  <c r="I19" i="98"/>
  <c r="J19" i="98"/>
  <c r="K19" i="98"/>
  <c r="I20" i="98"/>
  <c r="J20" i="98"/>
  <c r="H20" i="98"/>
  <c r="H19" i="98"/>
  <c r="J17" i="98"/>
  <c r="H17" i="98"/>
  <c r="F7" i="98"/>
  <c r="F8" i="98"/>
  <c r="F9" i="98"/>
  <c r="F10" i="98"/>
  <c r="F11" i="98"/>
  <c r="F17" i="98" s="1"/>
  <c r="F12" i="98"/>
  <c r="F13" i="98"/>
  <c r="F20" i="98" s="1"/>
  <c r="F14" i="98"/>
  <c r="F15" i="98"/>
  <c r="F16" i="98"/>
  <c r="F6" i="98"/>
  <c r="D19" i="98"/>
  <c r="E19" i="98"/>
  <c r="F19" i="98"/>
  <c r="D20" i="98"/>
  <c r="E20" i="98"/>
  <c r="D17" i="98"/>
  <c r="E17" i="98"/>
  <c r="C20" i="98"/>
  <c r="C19" i="98"/>
  <c r="C17" i="98"/>
  <c r="C45" i="97"/>
  <c r="C37" i="97"/>
  <c r="C29" i="97"/>
  <c r="C13" i="97"/>
  <c r="D8" i="96"/>
  <c r="D34" i="104" s="1"/>
  <c r="D40" i="104" s="1"/>
  <c r="E8" i="96"/>
  <c r="E34" i="104" s="1"/>
  <c r="E40" i="104" s="1"/>
  <c r="F8" i="96"/>
  <c r="F12" i="103" s="1"/>
  <c r="F13" i="103" s="1"/>
  <c r="G8" i="96"/>
  <c r="G34" i="104" s="1"/>
  <c r="G40" i="104" s="1"/>
  <c r="H8" i="96"/>
  <c r="H34" i="104" s="1"/>
  <c r="H40" i="104" s="1"/>
  <c r="I8" i="96"/>
  <c r="I12" i="103" s="1"/>
  <c r="I13" i="103" s="1"/>
  <c r="J8" i="96"/>
  <c r="J12" i="103" s="1"/>
  <c r="J13" i="103" s="1"/>
  <c r="K8" i="96"/>
  <c r="K42" i="103" s="1"/>
  <c r="K43" i="103" s="1"/>
  <c r="K47" i="103" s="1"/>
  <c r="K50" i="103" s="1"/>
  <c r="L8" i="96"/>
  <c r="L42" i="103" s="1"/>
  <c r="L43" i="103" s="1"/>
  <c r="M8" i="96"/>
  <c r="M42" i="103" s="1"/>
  <c r="M43" i="103" s="1"/>
  <c r="N8" i="96"/>
  <c r="N42" i="103" s="1"/>
  <c r="N43" i="103" s="1"/>
  <c r="C8" i="96"/>
  <c r="C34" i="104" s="1"/>
  <c r="O7" i="96"/>
  <c r="O6" i="96"/>
  <c r="K45" i="95"/>
  <c r="I70" i="96" s="1"/>
  <c r="I45" i="95"/>
  <c r="J45" i="95" s="1"/>
  <c r="G45" i="95"/>
  <c r="H45" i="95" s="1"/>
  <c r="L68" i="96" s="1"/>
  <c r="F45" i="95"/>
  <c r="C45" i="95"/>
  <c r="L21" i="120" l="1"/>
  <c r="M21" i="120"/>
  <c r="O15" i="121"/>
  <c r="O19" i="121" s="1"/>
  <c r="O21" i="121" s="1"/>
  <c r="Q21" i="121" s="1"/>
  <c r="I19" i="121"/>
  <c r="I21" i="121" s="1"/>
  <c r="I23" i="121" s="1"/>
  <c r="I28" i="121" s="1"/>
  <c r="H19" i="121"/>
  <c r="H21" i="121" s="1"/>
  <c r="H23" i="121" s="1"/>
  <c r="H28" i="121" s="1"/>
  <c r="K21" i="121"/>
  <c r="J19" i="121"/>
  <c r="J21" i="121" s="1"/>
  <c r="J23" i="121" s="1"/>
  <c r="J28" i="121" s="1"/>
  <c r="M19" i="121"/>
  <c r="M21" i="121" s="1"/>
  <c r="M23" i="121" s="1"/>
  <c r="M28" i="121" s="1"/>
  <c r="L23" i="121"/>
  <c r="L28" i="121" s="1"/>
  <c r="G19" i="121"/>
  <c r="G21" i="121" s="1"/>
  <c r="G23" i="121" s="1"/>
  <c r="G28" i="121" s="1"/>
  <c r="D19" i="121"/>
  <c r="D21" i="121" s="1"/>
  <c r="D23" i="121" s="1"/>
  <c r="D28" i="121" s="1"/>
  <c r="E23" i="121"/>
  <c r="E28" i="121" s="1"/>
  <c r="F23" i="121"/>
  <c r="F28" i="121" s="1"/>
  <c r="N23" i="121"/>
  <c r="N28" i="121" s="1"/>
  <c r="O9" i="121"/>
  <c r="O11" i="121" s="1"/>
  <c r="K23" i="121"/>
  <c r="K28" i="121" s="1"/>
  <c r="M25" i="120"/>
  <c r="M31" i="120" s="1"/>
  <c r="C25" i="120"/>
  <c r="C31" i="120" s="1"/>
  <c r="L25" i="120"/>
  <c r="L31" i="120" s="1"/>
  <c r="D25" i="120"/>
  <c r="D31" i="120" s="1"/>
  <c r="K25" i="120"/>
  <c r="K31" i="120" s="1"/>
  <c r="J25" i="120"/>
  <c r="J31" i="120" s="1"/>
  <c r="H21" i="120"/>
  <c r="G21" i="120"/>
  <c r="F21" i="120"/>
  <c r="E21" i="120"/>
  <c r="O9" i="120"/>
  <c r="N21" i="120"/>
  <c r="I21" i="120"/>
  <c r="O15" i="120"/>
  <c r="O11" i="120"/>
  <c r="O17" i="120"/>
  <c r="O19" i="120" s="1"/>
  <c r="Q19" i="120" s="1"/>
  <c r="Q15" i="120"/>
  <c r="O21" i="120"/>
  <c r="O25" i="120" s="1"/>
  <c r="Q25" i="120" s="1"/>
  <c r="O15" i="119"/>
  <c r="K35" i="96"/>
  <c r="M35" i="96"/>
  <c r="G35" i="96"/>
  <c r="D36" i="96"/>
  <c r="K36" i="96"/>
  <c r="M36" i="96"/>
  <c r="N36" i="96"/>
  <c r="L36" i="96"/>
  <c r="J36" i="96"/>
  <c r="H36" i="96"/>
  <c r="F36" i="96"/>
  <c r="C36" i="96"/>
  <c r="I36" i="96"/>
  <c r="G36" i="96"/>
  <c r="E36" i="96"/>
  <c r="Q36" i="96"/>
  <c r="I12" i="104"/>
  <c r="I18" i="104" s="1"/>
  <c r="I24" i="104" s="1"/>
  <c r="I26" i="104" s="1"/>
  <c r="J12" i="104"/>
  <c r="C12" i="104"/>
  <c r="O12" i="104" s="1"/>
  <c r="N40" i="104"/>
  <c r="N46" i="104" s="1"/>
  <c r="N48" i="104" s="1"/>
  <c r="N12" i="103"/>
  <c r="N13" i="103" s="1"/>
  <c r="M12" i="103"/>
  <c r="M13" i="103" s="1"/>
  <c r="K12" i="104"/>
  <c r="K18" i="104" s="1"/>
  <c r="K24" i="104" s="1"/>
  <c r="K26" i="104" s="1"/>
  <c r="L12" i="104"/>
  <c r="L18" i="104" s="1"/>
  <c r="N34" i="104"/>
  <c r="M12" i="104"/>
  <c r="L34" i="104"/>
  <c r="L40" i="104" s="1"/>
  <c r="K12" i="103"/>
  <c r="K13" i="103" s="1"/>
  <c r="G47" i="103"/>
  <c r="G50" i="103" s="1"/>
  <c r="M34" i="104"/>
  <c r="M40" i="104" s="1"/>
  <c r="C42" i="103"/>
  <c r="C43" i="103" s="1"/>
  <c r="C47" i="103" s="1"/>
  <c r="C50" i="103" s="1"/>
  <c r="C12" i="103"/>
  <c r="C13" i="103" s="1"/>
  <c r="O13" i="103" s="1"/>
  <c r="L12" i="103"/>
  <c r="L13" i="103" s="1"/>
  <c r="N12" i="104"/>
  <c r="N18" i="104" s="1"/>
  <c r="C40" i="104"/>
  <c r="H12" i="103"/>
  <c r="H13" i="103" s="1"/>
  <c r="F34" i="104"/>
  <c r="F40" i="104" s="1"/>
  <c r="G12" i="103"/>
  <c r="G13" i="103" s="1"/>
  <c r="F66" i="92"/>
  <c r="Q15" i="119"/>
  <c r="O9" i="119"/>
  <c r="O11" i="119" s="1"/>
  <c r="H8" i="118"/>
  <c r="G11" i="118"/>
  <c r="F11" i="118"/>
  <c r="H9" i="118"/>
  <c r="G11" i="117"/>
  <c r="H8" i="117"/>
  <c r="O8" i="117"/>
  <c r="H21" i="117"/>
  <c r="F11" i="114"/>
  <c r="E37" i="108"/>
  <c r="C37" i="108" s="1"/>
  <c r="H8" i="114"/>
  <c r="G11" i="114"/>
  <c r="D11" i="114"/>
  <c r="H17" i="114"/>
  <c r="H77" i="110"/>
  <c r="J79" i="109" s="1"/>
  <c r="H40" i="110"/>
  <c r="J42" i="109" s="1"/>
  <c r="H24" i="110"/>
  <c r="J26" i="109" s="1"/>
  <c r="H50" i="110"/>
  <c r="J52" i="109" s="1"/>
  <c r="H87" i="110"/>
  <c r="J89" i="109" s="1"/>
  <c r="H113" i="110"/>
  <c r="J115" i="109" s="1"/>
  <c r="H107" i="110"/>
  <c r="J109" i="109" s="1"/>
  <c r="H101" i="110"/>
  <c r="J103" i="109" s="1"/>
  <c r="H121" i="110"/>
  <c r="J123" i="109" s="1"/>
  <c r="H10" i="110"/>
  <c r="J12" i="109" s="1"/>
  <c r="H61" i="110"/>
  <c r="J63" i="109" s="1"/>
  <c r="H53" i="110"/>
  <c r="J55" i="109" s="1"/>
  <c r="H15" i="110"/>
  <c r="J17" i="109" s="1"/>
  <c r="H34" i="110"/>
  <c r="J36" i="109" s="1"/>
  <c r="H71" i="110"/>
  <c r="J73" i="109" s="1"/>
  <c r="H97" i="110"/>
  <c r="J99" i="109" s="1"/>
  <c r="H91" i="110"/>
  <c r="J93" i="109" s="1"/>
  <c r="H85" i="110"/>
  <c r="J87" i="109" s="1"/>
  <c r="H105" i="110"/>
  <c r="J107" i="109" s="1"/>
  <c r="H103" i="110"/>
  <c r="J105" i="109" s="1"/>
  <c r="H52" i="110"/>
  <c r="J54" i="109" s="1"/>
  <c r="H18" i="110"/>
  <c r="J20" i="109" s="1"/>
  <c r="H55" i="110"/>
  <c r="J57" i="109" s="1"/>
  <c r="H81" i="110"/>
  <c r="J83" i="109" s="1"/>
  <c r="H75" i="110"/>
  <c r="J77" i="109" s="1"/>
  <c r="H69" i="110"/>
  <c r="J71" i="109" s="1"/>
  <c r="H89" i="110"/>
  <c r="J91" i="109" s="1"/>
  <c r="H20" i="110"/>
  <c r="J22" i="109" s="1"/>
  <c r="H25" i="110"/>
  <c r="J27" i="109" s="1"/>
  <c r="H65" i="110"/>
  <c r="J67" i="109" s="1"/>
  <c r="H59" i="110"/>
  <c r="J61" i="109" s="1"/>
  <c r="H42" i="110"/>
  <c r="J44" i="109" s="1"/>
  <c r="H73" i="110"/>
  <c r="J75" i="109" s="1"/>
  <c r="H11" i="110"/>
  <c r="J13" i="109" s="1"/>
  <c r="H14" i="110"/>
  <c r="J16" i="109" s="1"/>
  <c r="H28" i="110"/>
  <c r="J30" i="109" s="1"/>
  <c r="H21" i="110"/>
  <c r="J23" i="109" s="1"/>
  <c r="H117" i="110"/>
  <c r="J119" i="109" s="1"/>
  <c r="H119" i="110"/>
  <c r="J121" i="109" s="1"/>
  <c r="H41" i="110"/>
  <c r="J43" i="109" s="1"/>
  <c r="H78" i="110"/>
  <c r="J80" i="109" s="1"/>
  <c r="H36" i="110"/>
  <c r="J38" i="109" s="1"/>
  <c r="H114" i="110"/>
  <c r="J116" i="109" s="1"/>
  <c r="H98" i="110"/>
  <c r="J100" i="109" s="1"/>
  <c r="H32" i="110"/>
  <c r="J34" i="109" s="1"/>
  <c r="H66" i="110"/>
  <c r="J68" i="109" s="1"/>
  <c r="H67" i="110"/>
  <c r="J69" i="109" s="1"/>
  <c r="H94" i="110"/>
  <c r="J96" i="109" s="1"/>
  <c r="H57" i="110"/>
  <c r="J59" i="109" s="1"/>
  <c r="H104" i="110"/>
  <c r="J106" i="109" s="1"/>
  <c r="H22" i="110"/>
  <c r="J24" i="109" s="1"/>
  <c r="H88" i="110"/>
  <c r="J90" i="109" s="1"/>
  <c r="H84" i="110"/>
  <c r="J86" i="109" s="1"/>
  <c r="H79" i="110"/>
  <c r="J81" i="109" s="1"/>
  <c r="H30" i="110"/>
  <c r="J32" i="109" s="1"/>
  <c r="H63" i="110"/>
  <c r="J65" i="109" s="1"/>
  <c r="H116" i="110"/>
  <c r="J118" i="109" s="1"/>
  <c r="H44" i="110"/>
  <c r="J46" i="109" s="1"/>
  <c r="H120" i="110"/>
  <c r="J122" i="109" s="1"/>
  <c r="H38" i="110"/>
  <c r="J40" i="109" s="1"/>
  <c r="H48" i="110"/>
  <c r="J50" i="109" s="1"/>
  <c r="H26" i="110"/>
  <c r="J28" i="109" s="1"/>
  <c r="H62" i="110"/>
  <c r="J64" i="109" s="1"/>
  <c r="H12" i="110"/>
  <c r="J14" i="109" s="1"/>
  <c r="H100" i="110"/>
  <c r="J102" i="109" s="1"/>
  <c r="H51" i="110"/>
  <c r="J53" i="109" s="1"/>
  <c r="H82" i="110"/>
  <c r="J84" i="109" s="1"/>
  <c r="H16" i="110"/>
  <c r="J18" i="109" s="1"/>
  <c r="H35" i="110"/>
  <c r="J37" i="109" s="1"/>
  <c r="H72" i="110"/>
  <c r="J74" i="109" s="1"/>
  <c r="H108" i="110"/>
  <c r="J110" i="109" s="1"/>
  <c r="H118" i="110"/>
  <c r="J120" i="109" s="1"/>
  <c r="H31" i="110"/>
  <c r="J33" i="109" s="1"/>
  <c r="H106" i="110"/>
  <c r="J108" i="109" s="1"/>
  <c r="H19" i="110"/>
  <c r="J21" i="109" s="1"/>
  <c r="H56" i="110"/>
  <c r="J58" i="109" s="1"/>
  <c r="H39" i="110"/>
  <c r="J41" i="109" s="1"/>
  <c r="H92" i="110"/>
  <c r="J94" i="109" s="1"/>
  <c r="H102" i="110"/>
  <c r="J104" i="109" s="1"/>
  <c r="H90" i="110"/>
  <c r="J92" i="109" s="1"/>
  <c r="H8" i="110"/>
  <c r="J10" i="109" s="1"/>
  <c r="H45" i="110"/>
  <c r="J47" i="109" s="1"/>
  <c r="H23" i="110"/>
  <c r="J25" i="109" s="1"/>
  <c r="H76" i="110"/>
  <c r="J78" i="109" s="1"/>
  <c r="H86" i="110"/>
  <c r="J88" i="109" s="1"/>
  <c r="H112" i="110"/>
  <c r="J114" i="109" s="1"/>
  <c r="H74" i="110"/>
  <c r="J76" i="109" s="1"/>
  <c r="O11" i="111"/>
  <c r="D133" i="109"/>
  <c r="D149" i="110"/>
  <c r="I146" i="110"/>
  <c r="E122" i="110"/>
  <c r="E131" i="110" s="1"/>
  <c r="E149" i="110" s="1"/>
  <c r="C149" i="110"/>
  <c r="C133" i="109"/>
  <c r="G124" i="109"/>
  <c r="G128" i="109"/>
  <c r="O128" i="109"/>
  <c r="Q128" i="109" s="1"/>
  <c r="P128" i="109" s="1"/>
  <c r="G130" i="109"/>
  <c r="O130" i="109"/>
  <c r="Q130" i="109" s="1"/>
  <c r="P130" i="109" s="1"/>
  <c r="G140" i="109"/>
  <c r="G125" i="109"/>
  <c r="O125" i="109"/>
  <c r="G143" i="109"/>
  <c r="G131" i="109"/>
  <c r="O131" i="109"/>
  <c r="Q131" i="109" s="1"/>
  <c r="P131" i="109" s="1"/>
  <c r="G139" i="109"/>
  <c r="G142" i="109"/>
  <c r="G138" i="109"/>
  <c r="G145" i="109"/>
  <c r="G144" i="109"/>
  <c r="E132" i="109"/>
  <c r="G141" i="109"/>
  <c r="G126" i="109"/>
  <c r="O126" i="109"/>
  <c r="Q126" i="109" s="1"/>
  <c r="P126" i="109" s="1"/>
  <c r="G146" i="109"/>
  <c r="G127" i="109"/>
  <c r="O127" i="109"/>
  <c r="Q127" i="109" s="1"/>
  <c r="P127" i="109" s="1"/>
  <c r="G129" i="109"/>
  <c r="O129" i="109"/>
  <c r="Q129" i="109" s="1"/>
  <c r="P129" i="109" s="1"/>
  <c r="L132" i="109"/>
  <c r="G137" i="109"/>
  <c r="E149" i="109"/>
  <c r="E124" i="109"/>
  <c r="D37" i="108"/>
  <c r="C42" i="108"/>
  <c r="C19" i="107"/>
  <c r="C30" i="107" s="1"/>
  <c r="K17" i="95"/>
  <c r="L17" i="95" s="1"/>
  <c r="J70" i="96"/>
  <c r="K68" i="96"/>
  <c r="N66" i="96"/>
  <c r="H65" i="96"/>
  <c r="D18" i="104"/>
  <c r="D19" i="104" s="1"/>
  <c r="E18" i="104"/>
  <c r="E24" i="104" s="1"/>
  <c r="E26" i="104" s="1"/>
  <c r="F18" i="104"/>
  <c r="F24" i="104" s="1"/>
  <c r="F26" i="104" s="1"/>
  <c r="G18" i="104"/>
  <c r="G24" i="104" s="1"/>
  <c r="G26" i="104" s="1"/>
  <c r="H18" i="104"/>
  <c r="H19" i="104" s="1"/>
  <c r="C18" i="104"/>
  <c r="M18" i="104"/>
  <c r="M24" i="104" s="1"/>
  <c r="M26" i="104" s="1"/>
  <c r="J18" i="104"/>
  <c r="J19" i="104" s="1"/>
  <c r="O14" i="104"/>
  <c r="F46" i="104"/>
  <c r="F48" i="104" s="1"/>
  <c r="D24" i="104"/>
  <c r="F19" i="104"/>
  <c r="O13" i="104"/>
  <c r="D52" i="104"/>
  <c r="E52" i="104" s="1"/>
  <c r="F52" i="104" s="1"/>
  <c r="G52" i="104" s="1"/>
  <c r="H52" i="104" s="1"/>
  <c r="I52" i="104" s="1"/>
  <c r="J52" i="104" s="1"/>
  <c r="K52" i="104" s="1"/>
  <c r="L52" i="104" s="1"/>
  <c r="M52" i="104" s="1"/>
  <c r="N52" i="104" s="1"/>
  <c r="O10" i="104"/>
  <c r="C24" i="104"/>
  <c r="O31" i="104"/>
  <c r="O32" i="104"/>
  <c r="O9" i="104"/>
  <c r="H47" i="103"/>
  <c r="H50" i="103" s="1"/>
  <c r="N47" i="103"/>
  <c r="N50" i="103" s="1"/>
  <c r="M47" i="103"/>
  <c r="M50" i="103" s="1"/>
  <c r="L47" i="103"/>
  <c r="L50" i="103" s="1"/>
  <c r="O43" i="103"/>
  <c r="G48" i="103"/>
  <c r="G55" i="103"/>
  <c r="G57" i="103" s="1"/>
  <c r="O40" i="103"/>
  <c r="H48" i="103"/>
  <c r="H55" i="103"/>
  <c r="H57" i="103" s="1"/>
  <c r="I48" i="103"/>
  <c r="I55" i="103"/>
  <c r="I57" i="103" s="1"/>
  <c r="J55" i="103"/>
  <c r="J57" i="103" s="1"/>
  <c r="J48" i="103"/>
  <c r="K48" i="103"/>
  <c r="K55" i="103"/>
  <c r="K57" i="103" s="1"/>
  <c r="M48" i="103"/>
  <c r="M55" i="103"/>
  <c r="M57" i="103" s="1"/>
  <c r="N51" i="103"/>
  <c r="N52" i="103" s="1"/>
  <c r="N55" i="103"/>
  <c r="N57" i="103" s="1"/>
  <c r="C48" i="103"/>
  <c r="C55" i="103"/>
  <c r="O39" i="103"/>
  <c r="F47" i="103"/>
  <c r="F50" i="103" s="1"/>
  <c r="D61" i="103"/>
  <c r="E61" i="103" s="1"/>
  <c r="F61" i="103" s="1"/>
  <c r="G61" i="103" s="1"/>
  <c r="H61" i="103" s="1"/>
  <c r="I61" i="103" s="1"/>
  <c r="J61" i="103" s="1"/>
  <c r="K61" i="103" s="1"/>
  <c r="L61" i="103" s="1"/>
  <c r="M61" i="103" s="1"/>
  <c r="N61" i="103" s="1"/>
  <c r="E47" i="103"/>
  <c r="E50" i="103" s="1"/>
  <c r="O42" i="103"/>
  <c r="D47" i="103"/>
  <c r="D50" i="103" s="1"/>
  <c r="C31" i="103"/>
  <c r="D31" i="103"/>
  <c r="E31" i="103"/>
  <c r="F31" i="103" s="1"/>
  <c r="G31" i="103" s="1"/>
  <c r="H31" i="103" s="1"/>
  <c r="I31" i="103" s="1"/>
  <c r="J31" i="103" s="1"/>
  <c r="K31" i="103" s="1"/>
  <c r="L31" i="103" s="1"/>
  <c r="M31" i="103" s="1"/>
  <c r="N31" i="103" s="1"/>
  <c r="D17" i="103"/>
  <c r="D20" i="103" s="1"/>
  <c r="E17" i="103"/>
  <c r="E20" i="103" s="1"/>
  <c r="N17" i="103"/>
  <c r="N20" i="103" s="1"/>
  <c r="M17" i="103"/>
  <c r="M20" i="103" s="1"/>
  <c r="K17" i="103"/>
  <c r="K20" i="103" s="1"/>
  <c r="J17" i="103"/>
  <c r="J20" i="103" s="1"/>
  <c r="I17" i="103"/>
  <c r="I20" i="103" s="1"/>
  <c r="H17" i="103"/>
  <c r="H20" i="103" s="1"/>
  <c r="G17" i="103"/>
  <c r="G20" i="103" s="1"/>
  <c r="F17" i="103"/>
  <c r="F20" i="103" s="1"/>
  <c r="O10" i="103"/>
  <c r="O9" i="103"/>
  <c r="N32" i="98"/>
  <c r="K33" i="98"/>
  <c r="K35" i="98"/>
  <c r="N34" i="98"/>
  <c r="N36" i="98"/>
  <c r="M36" i="98"/>
  <c r="K31" i="98"/>
  <c r="K39" i="98"/>
  <c r="H39" i="98"/>
  <c r="K38" i="98"/>
  <c r="F38" i="98"/>
  <c r="F36" i="98"/>
  <c r="F39" i="98"/>
  <c r="K36" i="98"/>
  <c r="M66" i="96"/>
  <c r="G65" i="96"/>
  <c r="F65" i="96"/>
  <c r="H70" i="96"/>
  <c r="J68" i="96"/>
  <c r="L66" i="96"/>
  <c r="N64" i="96"/>
  <c r="G70" i="96"/>
  <c r="I68" i="96"/>
  <c r="K66" i="96"/>
  <c r="M64" i="96"/>
  <c r="F70" i="96"/>
  <c r="H68" i="96"/>
  <c r="J66" i="96"/>
  <c r="L64" i="96"/>
  <c r="E64" i="96"/>
  <c r="N69" i="96"/>
  <c r="G68" i="96"/>
  <c r="I66" i="96"/>
  <c r="K64" i="96"/>
  <c r="E65" i="96"/>
  <c r="M69" i="96"/>
  <c r="F68" i="96"/>
  <c r="H66" i="96"/>
  <c r="J64" i="96"/>
  <c r="E66" i="96"/>
  <c r="L69" i="96"/>
  <c r="N67" i="96"/>
  <c r="G66" i="96"/>
  <c r="I64" i="96"/>
  <c r="E67" i="96"/>
  <c r="K69" i="96"/>
  <c r="M67" i="96"/>
  <c r="F66" i="96"/>
  <c r="H64" i="96"/>
  <c r="E68" i="96"/>
  <c r="J69" i="96"/>
  <c r="L67" i="96"/>
  <c r="N65" i="96"/>
  <c r="G64" i="96"/>
  <c r="E69" i="96"/>
  <c r="I69" i="96"/>
  <c r="K67" i="96"/>
  <c r="M65" i="96"/>
  <c r="F64" i="96"/>
  <c r="E70" i="96"/>
  <c r="H69" i="96"/>
  <c r="J67" i="96"/>
  <c r="L65" i="96"/>
  <c r="O8" i="96"/>
  <c r="N70" i="96"/>
  <c r="G69" i="96"/>
  <c r="I67" i="96"/>
  <c r="K65" i="96"/>
  <c r="M70" i="96"/>
  <c r="F69" i="96"/>
  <c r="H67" i="96"/>
  <c r="J65" i="96"/>
  <c r="L70" i="96"/>
  <c r="N68" i="96"/>
  <c r="G67" i="96"/>
  <c r="I65" i="96"/>
  <c r="K70" i="96"/>
  <c r="M68" i="96"/>
  <c r="F67" i="96"/>
  <c r="L45" i="95"/>
  <c r="M45" i="95" s="1"/>
  <c r="C32" i="95"/>
  <c r="D32" i="95"/>
  <c r="C33" i="95"/>
  <c r="D33" i="95"/>
  <c r="C34" i="95"/>
  <c r="D34" i="95"/>
  <c r="C35" i="95"/>
  <c r="D35" i="95"/>
  <c r="D31" i="95"/>
  <c r="C31" i="95"/>
  <c r="C26" i="95"/>
  <c r="D26" i="95"/>
  <c r="C27" i="95"/>
  <c r="D27" i="95"/>
  <c r="C28" i="95"/>
  <c r="D28" i="95"/>
  <c r="D25" i="95"/>
  <c r="C25" i="95"/>
  <c r="D22" i="95"/>
  <c r="C22" i="95"/>
  <c r="D21" i="95"/>
  <c r="C21" i="95"/>
  <c r="D20" i="95"/>
  <c r="C20" i="95"/>
  <c r="D19" i="95"/>
  <c r="C19" i="95"/>
  <c r="D18" i="95"/>
  <c r="C18" i="95"/>
  <c r="D13" i="95"/>
  <c r="C13" i="95"/>
  <c r="D16" i="95"/>
  <c r="C16" i="95"/>
  <c r="C9" i="95"/>
  <c r="D9" i="95"/>
  <c r="C10" i="95"/>
  <c r="D10" i="95"/>
  <c r="D8" i="95"/>
  <c r="C8" i="95"/>
  <c r="D6" i="95"/>
  <c r="O11" i="96" s="1"/>
  <c r="C6" i="95"/>
  <c r="Q15" i="121" l="1"/>
  <c r="O31" i="120"/>
  <c r="O23" i="121"/>
  <c r="O28" i="121" s="1"/>
  <c r="Q28" i="121" s="1"/>
  <c r="E25" i="120"/>
  <c r="E31" i="120" s="1"/>
  <c r="F25" i="120"/>
  <c r="F31" i="120" s="1"/>
  <c r="G25" i="120"/>
  <c r="G31" i="120" s="1"/>
  <c r="H25" i="120"/>
  <c r="H31" i="120" s="1"/>
  <c r="I25" i="120"/>
  <c r="I31" i="120" s="1"/>
  <c r="N25" i="120"/>
  <c r="N31" i="120" s="1"/>
  <c r="Q31" i="120"/>
  <c r="L24" i="104"/>
  <c r="L26" i="104" s="1"/>
  <c r="L19" i="104"/>
  <c r="L17" i="103"/>
  <c r="L20" i="103" s="1"/>
  <c r="O18" i="104"/>
  <c r="C19" i="104"/>
  <c r="N53" i="103"/>
  <c r="N43" i="104"/>
  <c r="N44" i="104" s="1"/>
  <c r="N49" i="104" s="1"/>
  <c r="L55" i="103"/>
  <c r="L57" i="103" s="1"/>
  <c r="E19" i="104"/>
  <c r="N12" i="115"/>
  <c r="C12" i="115"/>
  <c r="I12" i="115"/>
  <c r="K12" i="115"/>
  <c r="L12" i="115"/>
  <c r="D12" i="115"/>
  <c r="J12" i="115"/>
  <c r="M12" i="115"/>
  <c r="E12" i="115"/>
  <c r="F12" i="115"/>
  <c r="G12" i="115"/>
  <c r="H12" i="115"/>
  <c r="C7" i="102"/>
  <c r="L48" i="103"/>
  <c r="O12" i="103"/>
  <c r="C17" i="103"/>
  <c r="C20" i="103" s="1"/>
  <c r="O34" i="104"/>
  <c r="H11" i="118"/>
  <c r="H11" i="117"/>
  <c r="H11" i="114"/>
  <c r="J124" i="109"/>
  <c r="J133" i="109" s="1"/>
  <c r="H122" i="110"/>
  <c r="H131" i="110" s="1"/>
  <c r="H149" i="110" s="1"/>
  <c r="E133" i="109"/>
  <c r="I147" i="110"/>
  <c r="O132" i="109"/>
  <c r="G149" i="109"/>
  <c r="F149" i="109" s="1"/>
  <c r="G132" i="109"/>
  <c r="F132" i="109" s="1"/>
  <c r="Q125" i="109"/>
  <c r="F124" i="109"/>
  <c r="G133" i="109"/>
  <c r="F133" i="109" s="1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48" i="103"/>
  <c r="D46" i="104"/>
  <c r="D48" i="104" s="1"/>
  <c r="D41" i="104"/>
  <c r="C41" i="104"/>
  <c r="C46" i="104"/>
  <c r="O40" i="104"/>
  <c r="C26" i="104"/>
  <c r="J46" i="104"/>
  <c r="J48" i="104" s="1"/>
  <c r="J41" i="104"/>
  <c r="N24" i="104"/>
  <c r="N26" i="104" s="1"/>
  <c r="N19" i="104"/>
  <c r="E46" i="104"/>
  <c r="E48" i="104" s="1"/>
  <c r="E41" i="104"/>
  <c r="D48" i="103"/>
  <c r="O47" i="103"/>
  <c r="O48" i="103" s="1"/>
  <c r="D55" i="103"/>
  <c r="E48" i="103"/>
  <c r="E55" i="103"/>
  <c r="E57" i="103" s="1"/>
  <c r="N58" i="103"/>
  <c r="F48" i="103"/>
  <c r="F55" i="103"/>
  <c r="F57" i="103" s="1"/>
  <c r="M51" i="103"/>
  <c r="C57" i="103"/>
  <c r="N25" i="103"/>
  <c r="N27" i="103" s="1"/>
  <c r="N21" i="103"/>
  <c r="M21" i="103" s="1"/>
  <c r="E25" i="103"/>
  <c r="E27" i="103" s="1"/>
  <c r="C25" i="103"/>
  <c r="D25" i="103"/>
  <c r="D18" i="103"/>
  <c r="N18" i="103"/>
  <c r="E18" i="103"/>
  <c r="G18" i="103"/>
  <c r="G25" i="103"/>
  <c r="G27" i="103" s="1"/>
  <c r="L18" i="103"/>
  <c r="L25" i="103"/>
  <c r="L27" i="103" s="1"/>
  <c r="I18" i="103"/>
  <c r="I25" i="103"/>
  <c r="I27" i="103" s="1"/>
  <c r="K18" i="103"/>
  <c r="K25" i="103"/>
  <c r="K27" i="103" s="1"/>
  <c r="F18" i="103"/>
  <c r="F25" i="103"/>
  <c r="F27" i="103" s="1"/>
  <c r="H18" i="103"/>
  <c r="H25" i="103"/>
  <c r="J18" i="103"/>
  <c r="J25" i="103"/>
  <c r="J27" i="103" s="1"/>
  <c r="M18" i="103"/>
  <c r="M25" i="103"/>
  <c r="M27" i="103" s="1"/>
  <c r="O17" i="103"/>
  <c r="O18" i="103" s="1"/>
  <c r="C18" i="103"/>
  <c r="I11" i="96"/>
  <c r="H11" i="96"/>
  <c r="Q11" i="96"/>
  <c r="J11" i="96"/>
  <c r="C11" i="96"/>
  <c r="K11" i="96"/>
  <c r="L11" i="96"/>
  <c r="M11" i="96"/>
  <c r="G11" i="96"/>
  <c r="N11" i="96"/>
  <c r="D11" i="96"/>
  <c r="E11" i="96"/>
  <c r="F11" i="96"/>
  <c r="C36" i="95"/>
  <c r="C29" i="95"/>
  <c r="D29" i="95"/>
  <c r="O47" i="96" s="1"/>
  <c r="D36" i="95"/>
  <c r="O56" i="96" s="1"/>
  <c r="C23" i="95"/>
  <c r="D23" i="95"/>
  <c r="C11" i="95"/>
  <c r="D11" i="95"/>
  <c r="O20" i="96" s="1"/>
  <c r="O38" i="96" l="1"/>
  <c r="C9" i="102"/>
  <c r="D7" i="102"/>
  <c r="D9" i="102" s="1"/>
  <c r="O12" i="115"/>
  <c r="O19" i="104"/>
  <c r="C20" i="105"/>
  <c r="E20" i="105" s="1"/>
  <c r="O41" i="104"/>
  <c r="D20" i="105"/>
  <c r="H21" i="114"/>
  <c r="Q132" i="109"/>
  <c r="P132" i="109" s="1"/>
  <c r="P125" i="109"/>
  <c r="O24" i="104"/>
  <c r="O46" i="104"/>
  <c r="C48" i="104"/>
  <c r="O55" i="103"/>
  <c r="M52" i="103"/>
  <c r="L51" i="103"/>
  <c r="L21" i="103"/>
  <c r="O25" i="103"/>
  <c r="H27" i="103"/>
  <c r="N56" i="96"/>
  <c r="C56" i="96"/>
  <c r="I56" i="96"/>
  <c r="K56" i="96"/>
  <c r="Q56" i="96"/>
  <c r="M56" i="96"/>
  <c r="J56" i="96"/>
  <c r="G56" i="96"/>
  <c r="E56" i="96"/>
  <c r="H56" i="96"/>
  <c r="D56" i="96"/>
  <c r="L56" i="96"/>
  <c r="F56" i="96"/>
  <c r="M20" i="96"/>
  <c r="N20" i="96"/>
  <c r="E20" i="96"/>
  <c r="Q20" i="96"/>
  <c r="H20" i="96"/>
  <c r="L20" i="96"/>
  <c r="D20" i="96"/>
  <c r="C20" i="96"/>
  <c r="I20" i="96"/>
  <c r="G20" i="96"/>
  <c r="J20" i="96"/>
  <c r="K20" i="96"/>
  <c r="F20" i="96"/>
  <c r="E47" i="96"/>
  <c r="F47" i="96"/>
  <c r="G47" i="96"/>
  <c r="C47" i="96"/>
  <c r="J47" i="96"/>
  <c r="H47" i="96"/>
  <c r="I47" i="96"/>
  <c r="K47" i="96"/>
  <c r="M47" i="96"/>
  <c r="D47" i="96"/>
  <c r="Q47" i="96"/>
  <c r="L47" i="96"/>
  <c r="N47" i="96"/>
  <c r="F195" i="94"/>
  <c r="G194" i="94"/>
  <c r="E6" i="95" s="1"/>
  <c r="O14" i="96" s="1"/>
  <c r="H194" i="94"/>
  <c r="J194" i="94"/>
  <c r="L194" i="94"/>
  <c r="J6" i="95" s="1"/>
  <c r="O17" i="96" s="1"/>
  <c r="G193" i="94"/>
  <c r="H193" i="94"/>
  <c r="I193" i="94" s="1"/>
  <c r="J193" i="94"/>
  <c r="K193" i="94" s="1"/>
  <c r="L193" i="94"/>
  <c r="G192" i="94"/>
  <c r="E35" i="95" s="1"/>
  <c r="H192" i="94"/>
  <c r="J192" i="94"/>
  <c r="L192" i="94"/>
  <c r="G191" i="94"/>
  <c r="E32" i="95" s="1"/>
  <c r="H191" i="94"/>
  <c r="J191" i="94"/>
  <c r="L191" i="94"/>
  <c r="J32" i="95" s="1"/>
  <c r="G190" i="94"/>
  <c r="E33" i="95" s="1"/>
  <c r="H190" i="94"/>
  <c r="J190" i="94"/>
  <c r="L190" i="94"/>
  <c r="J33" i="95" s="1"/>
  <c r="G189" i="94"/>
  <c r="E34" i="95" s="1"/>
  <c r="H189" i="94"/>
  <c r="J189" i="94"/>
  <c r="L189" i="94"/>
  <c r="J34" i="95" s="1"/>
  <c r="G188" i="94"/>
  <c r="E31" i="95" s="1"/>
  <c r="H188" i="94"/>
  <c r="J188" i="94"/>
  <c r="L188" i="94"/>
  <c r="J31" i="95" s="1"/>
  <c r="G187" i="94"/>
  <c r="H187" i="94"/>
  <c r="I187" i="94" s="1"/>
  <c r="J187" i="94"/>
  <c r="K187" i="94" s="1"/>
  <c r="L187" i="94"/>
  <c r="G186" i="94"/>
  <c r="H186" i="94"/>
  <c r="I186" i="94" s="1"/>
  <c r="J186" i="94"/>
  <c r="K186" i="94" s="1"/>
  <c r="L186" i="94"/>
  <c r="G185" i="94"/>
  <c r="H185" i="94"/>
  <c r="J185" i="94"/>
  <c r="L185" i="94"/>
  <c r="G150" i="94"/>
  <c r="H150" i="94"/>
  <c r="I150" i="94" s="1"/>
  <c r="J150" i="94"/>
  <c r="K150" i="94" s="1"/>
  <c r="L150" i="94"/>
  <c r="G151" i="94"/>
  <c r="H151" i="94"/>
  <c r="I151" i="94" s="1"/>
  <c r="J151" i="94"/>
  <c r="K151" i="94" s="1"/>
  <c r="L151" i="94"/>
  <c r="G152" i="94"/>
  <c r="H152" i="94"/>
  <c r="I152" i="94" s="1"/>
  <c r="J152" i="94"/>
  <c r="K152" i="94" s="1"/>
  <c r="L152" i="94"/>
  <c r="G153" i="94"/>
  <c r="H153" i="94"/>
  <c r="I153" i="94" s="1"/>
  <c r="J153" i="94"/>
  <c r="K153" i="94" s="1"/>
  <c r="L153" i="94"/>
  <c r="G154" i="94"/>
  <c r="H154" i="94"/>
  <c r="I154" i="94" s="1"/>
  <c r="J154" i="94"/>
  <c r="K154" i="94" s="1"/>
  <c r="L154" i="94"/>
  <c r="G155" i="94"/>
  <c r="H155" i="94"/>
  <c r="J155" i="94"/>
  <c r="L155" i="94"/>
  <c r="G156" i="94"/>
  <c r="H156" i="94"/>
  <c r="I156" i="94" s="1"/>
  <c r="J156" i="94"/>
  <c r="K156" i="94" s="1"/>
  <c r="L156" i="94"/>
  <c r="G157" i="94"/>
  <c r="H157" i="94"/>
  <c r="I157" i="94" s="1"/>
  <c r="J157" i="94"/>
  <c r="K157" i="94" s="1"/>
  <c r="L157" i="94"/>
  <c r="G158" i="94"/>
  <c r="H158" i="94"/>
  <c r="I158" i="94" s="1"/>
  <c r="J158" i="94"/>
  <c r="K158" i="94" s="1"/>
  <c r="L158" i="94"/>
  <c r="G159" i="94"/>
  <c r="H159" i="94"/>
  <c r="I159" i="94" s="1"/>
  <c r="J159" i="94"/>
  <c r="K159" i="94" s="1"/>
  <c r="L159" i="94"/>
  <c r="G160" i="94"/>
  <c r="H160" i="94"/>
  <c r="I160" i="94" s="1"/>
  <c r="J160" i="94"/>
  <c r="K160" i="94" s="1"/>
  <c r="L160" i="94"/>
  <c r="G161" i="94"/>
  <c r="H161" i="94"/>
  <c r="I161" i="94" s="1"/>
  <c r="J161" i="94"/>
  <c r="K161" i="94" s="1"/>
  <c r="L161" i="94"/>
  <c r="G162" i="94"/>
  <c r="H162" i="94"/>
  <c r="I162" i="94" s="1"/>
  <c r="J162" i="94"/>
  <c r="K162" i="94" s="1"/>
  <c r="L162" i="94"/>
  <c r="G163" i="94"/>
  <c r="H163" i="94"/>
  <c r="I163" i="94" s="1"/>
  <c r="J163" i="94"/>
  <c r="K163" i="94" s="1"/>
  <c r="L163" i="94"/>
  <c r="G164" i="94"/>
  <c r="H164" i="94"/>
  <c r="I164" i="94" s="1"/>
  <c r="J164" i="94"/>
  <c r="K164" i="94" s="1"/>
  <c r="L164" i="94"/>
  <c r="G165" i="94"/>
  <c r="H165" i="94"/>
  <c r="I165" i="94" s="1"/>
  <c r="J165" i="94"/>
  <c r="K165" i="94" s="1"/>
  <c r="L165" i="94"/>
  <c r="G166" i="94"/>
  <c r="H166" i="94"/>
  <c r="I166" i="94" s="1"/>
  <c r="J166" i="94"/>
  <c r="K166" i="94" s="1"/>
  <c r="L166" i="94"/>
  <c r="G167" i="94"/>
  <c r="H167" i="94"/>
  <c r="I167" i="94" s="1"/>
  <c r="J167" i="94"/>
  <c r="K167" i="94" s="1"/>
  <c r="L167" i="94"/>
  <c r="G168" i="94"/>
  <c r="H168" i="94"/>
  <c r="I168" i="94" s="1"/>
  <c r="J168" i="94"/>
  <c r="K168" i="94" s="1"/>
  <c r="L168" i="94"/>
  <c r="G169" i="94"/>
  <c r="H169" i="94"/>
  <c r="I169" i="94" s="1"/>
  <c r="J169" i="94"/>
  <c r="K169" i="94" s="1"/>
  <c r="L169" i="94"/>
  <c r="G170" i="94"/>
  <c r="H170" i="94"/>
  <c r="I170" i="94" s="1"/>
  <c r="J170" i="94"/>
  <c r="K170" i="94" s="1"/>
  <c r="L170" i="94"/>
  <c r="G171" i="94"/>
  <c r="H171" i="94"/>
  <c r="I171" i="94" s="1"/>
  <c r="J171" i="94"/>
  <c r="K171" i="94" s="1"/>
  <c r="L171" i="94"/>
  <c r="G172" i="94"/>
  <c r="H172" i="94"/>
  <c r="I172" i="94" s="1"/>
  <c r="J172" i="94"/>
  <c r="K172" i="94" s="1"/>
  <c r="L172" i="94"/>
  <c r="G173" i="94"/>
  <c r="H173" i="94"/>
  <c r="I173" i="94" s="1"/>
  <c r="J173" i="94"/>
  <c r="K173" i="94" s="1"/>
  <c r="L173" i="94"/>
  <c r="G174" i="94"/>
  <c r="H174" i="94"/>
  <c r="I174" i="94" s="1"/>
  <c r="J174" i="94"/>
  <c r="K174" i="94" s="1"/>
  <c r="L174" i="94"/>
  <c r="G175" i="94"/>
  <c r="H175" i="94"/>
  <c r="I175" i="94" s="1"/>
  <c r="J175" i="94"/>
  <c r="K175" i="94" s="1"/>
  <c r="L175" i="94"/>
  <c r="G176" i="94"/>
  <c r="H176" i="94"/>
  <c r="I176" i="94" s="1"/>
  <c r="J176" i="94"/>
  <c r="K176" i="94" s="1"/>
  <c r="L176" i="94"/>
  <c r="G177" i="94"/>
  <c r="H177" i="94"/>
  <c r="I177" i="94" s="1"/>
  <c r="J177" i="94"/>
  <c r="K177" i="94" s="1"/>
  <c r="L177" i="94"/>
  <c r="G178" i="94"/>
  <c r="H178" i="94"/>
  <c r="I178" i="94" s="1"/>
  <c r="J178" i="94"/>
  <c r="K178" i="94" s="1"/>
  <c r="L178" i="94"/>
  <c r="G179" i="94"/>
  <c r="H179" i="94"/>
  <c r="I179" i="94" s="1"/>
  <c r="J179" i="94"/>
  <c r="K179" i="94" s="1"/>
  <c r="L179" i="94"/>
  <c r="G180" i="94"/>
  <c r="H180" i="94"/>
  <c r="I180" i="94" s="1"/>
  <c r="J180" i="94"/>
  <c r="K180" i="94" s="1"/>
  <c r="L180" i="94"/>
  <c r="G181" i="94"/>
  <c r="H181" i="94"/>
  <c r="I181" i="94" s="1"/>
  <c r="J181" i="94"/>
  <c r="K181" i="94" s="1"/>
  <c r="L181" i="94"/>
  <c r="G182" i="94"/>
  <c r="H182" i="94"/>
  <c r="I182" i="94" s="1"/>
  <c r="J182" i="94"/>
  <c r="K182" i="94" s="1"/>
  <c r="L182" i="94"/>
  <c r="G183" i="94"/>
  <c r="H183" i="94"/>
  <c r="I183" i="94" s="1"/>
  <c r="J183" i="94"/>
  <c r="K183" i="94" s="1"/>
  <c r="L183" i="94"/>
  <c r="G184" i="94"/>
  <c r="H184" i="94"/>
  <c r="I184" i="94" s="1"/>
  <c r="J184" i="94"/>
  <c r="K184" i="94" s="1"/>
  <c r="L184" i="94"/>
  <c r="G149" i="94"/>
  <c r="H149" i="94"/>
  <c r="I149" i="94" s="1"/>
  <c r="J149" i="94"/>
  <c r="K149" i="94" s="1"/>
  <c r="L149" i="94"/>
  <c r="G144" i="94"/>
  <c r="H144" i="94"/>
  <c r="I144" i="94" s="1"/>
  <c r="J144" i="94"/>
  <c r="K144" i="94" s="1"/>
  <c r="L144" i="94"/>
  <c r="G145" i="94"/>
  <c r="E19" i="95" s="1"/>
  <c r="H145" i="94"/>
  <c r="J145" i="94"/>
  <c r="L145" i="94"/>
  <c r="J19" i="95" s="1"/>
  <c r="G146" i="94"/>
  <c r="E25" i="95" s="1"/>
  <c r="H146" i="94"/>
  <c r="J146" i="94"/>
  <c r="L146" i="94"/>
  <c r="J25" i="95" s="1"/>
  <c r="G147" i="94"/>
  <c r="H147" i="94"/>
  <c r="J147" i="94"/>
  <c r="L147" i="94"/>
  <c r="G148" i="94"/>
  <c r="H148" i="94"/>
  <c r="I148" i="94" s="1"/>
  <c r="J148" i="94"/>
  <c r="K148" i="94" s="1"/>
  <c r="L148" i="94"/>
  <c r="G143" i="94"/>
  <c r="H143" i="94"/>
  <c r="J143" i="94"/>
  <c r="L143" i="94"/>
  <c r="G142" i="94"/>
  <c r="H142" i="94"/>
  <c r="I142" i="94" s="1"/>
  <c r="J142" i="94"/>
  <c r="K142" i="94" s="1"/>
  <c r="L142" i="94"/>
  <c r="G141" i="94"/>
  <c r="H141" i="94"/>
  <c r="J141" i="94"/>
  <c r="L141" i="94"/>
  <c r="G140" i="94"/>
  <c r="E21" i="95" s="1"/>
  <c r="H140" i="94"/>
  <c r="J140" i="94"/>
  <c r="H21" i="95" s="1"/>
  <c r="L140" i="94"/>
  <c r="J21" i="95" s="1"/>
  <c r="G132" i="94"/>
  <c r="H132" i="94"/>
  <c r="I132" i="94" s="1"/>
  <c r="J132" i="94"/>
  <c r="K132" i="94" s="1"/>
  <c r="L132" i="94"/>
  <c r="G133" i="94"/>
  <c r="H133" i="94"/>
  <c r="I133" i="94" s="1"/>
  <c r="J133" i="94"/>
  <c r="K133" i="94" s="1"/>
  <c r="L133" i="94"/>
  <c r="G134" i="94"/>
  <c r="H134" i="94"/>
  <c r="I134" i="94" s="1"/>
  <c r="J134" i="94"/>
  <c r="K134" i="94" s="1"/>
  <c r="L134" i="94"/>
  <c r="G135" i="94"/>
  <c r="H135" i="94"/>
  <c r="I135" i="94" s="1"/>
  <c r="J135" i="94"/>
  <c r="K135" i="94" s="1"/>
  <c r="L135" i="94"/>
  <c r="G136" i="94"/>
  <c r="H136" i="94"/>
  <c r="I136" i="94" s="1"/>
  <c r="J136" i="94"/>
  <c r="K136" i="94" s="1"/>
  <c r="L136" i="94"/>
  <c r="G137" i="94"/>
  <c r="H137" i="94"/>
  <c r="I137" i="94" s="1"/>
  <c r="J137" i="94"/>
  <c r="K137" i="94" s="1"/>
  <c r="L137" i="94"/>
  <c r="G138" i="94"/>
  <c r="H138" i="94"/>
  <c r="I138" i="94" s="1"/>
  <c r="J138" i="94"/>
  <c r="K138" i="94" s="1"/>
  <c r="L138" i="94"/>
  <c r="G139" i="94"/>
  <c r="H139" i="94"/>
  <c r="I139" i="94" s="1"/>
  <c r="J139" i="94"/>
  <c r="K139" i="94" s="1"/>
  <c r="L139" i="94"/>
  <c r="G128" i="94"/>
  <c r="H128" i="94"/>
  <c r="I128" i="94" s="1"/>
  <c r="J128" i="94"/>
  <c r="K128" i="94" s="1"/>
  <c r="L128" i="94"/>
  <c r="G129" i="94"/>
  <c r="H129" i="94"/>
  <c r="I129" i="94" s="1"/>
  <c r="J129" i="94"/>
  <c r="K129" i="94" s="1"/>
  <c r="L129" i="94"/>
  <c r="G130" i="94"/>
  <c r="H130" i="94"/>
  <c r="I130" i="94" s="1"/>
  <c r="J130" i="94"/>
  <c r="K130" i="94" s="1"/>
  <c r="L130" i="94"/>
  <c r="G131" i="94"/>
  <c r="H131" i="94"/>
  <c r="I131" i="94" s="1"/>
  <c r="J131" i="94"/>
  <c r="K131" i="94" s="1"/>
  <c r="L131" i="94"/>
  <c r="G127" i="94"/>
  <c r="H127" i="94"/>
  <c r="I127" i="94" s="1"/>
  <c r="J127" i="94"/>
  <c r="K127" i="94" s="1"/>
  <c r="L127" i="94"/>
  <c r="G126" i="94"/>
  <c r="H126" i="94"/>
  <c r="I126" i="94" s="1"/>
  <c r="J126" i="94"/>
  <c r="K126" i="94" s="1"/>
  <c r="L126" i="94"/>
  <c r="G125" i="94"/>
  <c r="H125" i="94"/>
  <c r="I125" i="94" s="1"/>
  <c r="J125" i="94"/>
  <c r="K125" i="94" s="1"/>
  <c r="L125" i="94"/>
  <c r="G124" i="94"/>
  <c r="H124" i="94"/>
  <c r="J124" i="94"/>
  <c r="L124" i="94"/>
  <c r="G67" i="94"/>
  <c r="H67" i="94"/>
  <c r="I67" i="94" s="1"/>
  <c r="J67" i="94"/>
  <c r="K67" i="94" s="1"/>
  <c r="L67" i="94"/>
  <c r="G68" i="94"/>
  <c r="H68" i="94"/>
  <c r="I68" i="94" s="1"/>
  <c r="J68" i="94"/>
  <c r="K68" i="94" s="1"/>
  <c r="L68" i="94"/>
  <c r="G69" i="94"/>
  <c r="H69" i="94"/>
  <c r="I69" i="94" s="1"/>
  <c r="J69" i="94"/>
  <c r="K69" i="94" s="1"/>
  <c r="L69" i="94"/>
  <c r="G70" i="94"/>
  <c r="H70" i="94"/>
  <c r="I70" i="94" s="1"/>
  <c r="J70" i="94"/>
  <c r="K70" i="94" s="1"/>
  <c r="L70" i="94"/>
  <c r="G71" i="94"/>
  <c r="H71" i="94"/>
  <c r="I71" i="94" s="1"/>
  <c r="J71" i="94"/>
  <c r="K71" i="94" s="1"/>
  <c r="L71" i="94"/>
  <c r="G72" i="94"/>
  <c r="H72" i="94"/>
  <c r="I72" i="94" s="1"/>
  <c r="J72" i="94"/>
  <c r="K72" i="94" s="1"/>
  <c r="L72" i="94"/>
  <c r="G73" i="94"/>
  <c r="H73" i="94"/>
  <c r="I73" i="94" s="1"/>
  <c r="J73" i="94"/>
  <c r="K73" i="94" s="1"/>
  <c r="L73" i="94"/>
  <c r="G74" i="94"/>
  <c r="H74" i="94"/>
  <c r="I74" i="94" s="1"/>
  <c r="J74" i="94"/>
  <c r="K74" i="94" s="1"/>
  <c r="L74" i="94"/>
  <c r="G75" i="94"/>
  <c r="H75" i="94"/>
  <c r="I75" i="94" s="1"/>
  <c r="J75" i="94"/>
  <c r="K75" i="94" s="1"/>
  <c r="L75" i="94"/>
  <c r="G76" i="94"/>
  <c r="H76" i="94"/>
  <c r="I76" i="94" s="1"/>
  <c r="J76" i="94"/>
  <c r="K76" i="94" s="1"/>
  <c r="L76" i="94"/>
  <c r="G77" i="94"/>
  <c r="H77" i="94"/>
  <c r="I77" i="94" s="1"/>
  <c r="J77" i="94"/>
  <c r="K77" i="94" s="1"/>
  <c r="L77" i="94"/>
  <c r="G78" i="94"/>
  <c r="H78" i="94"/>
  <c r="I78" i="94" s="1"/>
  <c r="J78" i="94"/>
  <c r="K78" i="94" s="1"/>
  <c r="L78" i="94"/>
  <c r="G79" i="94"/>
  <c r="H79" i="94"/>
  <c r="I79" i="94" s="1"/>
  <c r="J79" i="94"/>
  <c r="K79" i="94" s="1"/>
  <c r="L79" i="94"/>
  <c r="G80" i="94"/>
  <c r="H80" i="94"/>
  <c r="I80" i="94" s="1"/>
  <c r="J80" i="94"/>
  <c r="K80" i="94" s="1"/>
  <c r="L80" i="94"/>
  <c r="G81" i="94"/>
  <c r="H81" i="94"/>
  <c r="I81" i="94" s="1"/>
  <c r="J81" i="94"/>
  <c r="K81" i="94" s="1"/>
  <c r="L81" i="94"/>
  <c r="G82" i="94"/>
  <c r="H82" i="94"/>
  <c r="I82" i="94" s="1"/>
  <c r="J82" i="94"/>
  <c r="K82" i="94" s="1"/>
  <c r="L82" i="94"/>
  <c r="G83" i="94"/>
  <c r="H83" i="94"/>
  <c r="I83" i="94" s="1"/>
  <c r="J83" i="94"/>
  <c r="K83" i="94" s="1"/>
  <c r="L83" i="94"/>
  <c r="G84" i="94"/>
  <c r="H84" i="94"/>
  <c r="I84" i="94" s="1"/>
  <c r="J84" i="94"/>
  <c r="K84" i="94" s="1"/>
  <c r="L84" i="94"/>
  <c r="G85" i="94"/>
  <c r="H85" i="94"/>
  <c r="I85" i="94" s="1"/>
  <c r="J85" i="94"/>
  <c r="K85" i="94" s="1"/>
  <c r="L85" i="94"/>
  <c r="G86" i="94"/>
  <c r="H86" i="94"/>
  <c r="I86" i="94" s="1"/>
  <c r="J86" i="94"/>
  <c r="K86" i="94" s="1"/>
  <c r="L86" i="94"/>
  <c r="G87" i="94"/>
  <c r="H87" i="94"/>
  <c r="I87" i="94" s="1"/>
  <c r="J87" i="94"/>
  <c r="K87" i="94" s="1"/>
  <c r="L87" i="94"/>
  <c r="G88" i="94"/>
  <c r="H88" i="94"/>
  <c r="I88" i="94" s="1"/>
  <c r="J88" i="94"/>
  <c r="K88" i="94" s="1"/>
  <c r="L88" i="94"/>
  <c r="G89" i="94"/>
  <c r="H89" i="94"/>
  <c r="I89" i="94" s="1"/>
  <c r="J89" i="94"/>
  <c r="K89" i="94" s="1"/>
  <c r="L89" i="94"/>
  <c r="G90" i="94"/>
  <c r="H90" i="94"/>
  <c r="I90" i="94" s="1"/>
  <c r="J90" i="94"/>
  <c r="K90" i="94" s="1"/>
  <c r="L90" i="94"/>
  <c r="G91" i="94"/>
  <c r="H91" i="94"/>
  <c r="I91" i="94" s="1"/>
  <c r="J91" i="94"/>
  <c r="K91" i="94" s="1"/>
  <c r="L91" i="94"/>
  <c r="G92" i="94"/>
  <c r="H92" i="94"/>
  <c r="I92" i="94" s="1"/>
  <c r="J92" i="94"/>
  <c r="K92" i="94" s="1"/>
  <c r="L92" i="94"/>
  <c r="G93" i="94"/>
  <c r="H93" i="94"/>
  <c r="I93" i="94" s="1"/>
  <c r="J93" i="94"/>
  <c r="K93" i="94" s="1"/>
  <c r="L93" i="94"/>
  <c r="G94" i="94"/>
  <c r="H94" i="94"/>
  <c r="I94" i="94" s="1"/>
  <c r="J94" i="94"/>
  <c r="K94" i="94" s="1"/>
  <c r="L94" i="94"/>
  <c r="G95" i="94"/>
  <c r="H95" i="94"/>
  <c r="I95" i="94" s="1"/>
  <c r="J95" i="94"/>
  <c r="K95" i="94" s="1"/>
  <c r="L95" i="94"/>
  <c r="G96" i="94"/>
  <c r="H96" i="94"/>
  <c r="I96" i="94" s="1"/>
  <c r="J96" i="94"/>
  <c r="K96" i="94" s="1"/>
  <c r="L96" i="94"/>
  <c r="G97" i="94"/>
  <c r="H97" i="94"/>
  <c r="I97" i="94" s="1"/>
  <c r="J97" i="94"/>
  <c r="K97" i="94" s="1"/>
  <c r="L97" i="94"/>
  <c r="G98" i="94"/>
  <c r="H98" i="94"/>
  <c r="I98" i="94" s="1"/>
  <c r="J98" i="94"/>
  <c r="K98" i="94" s="1"/>
  <c r="L98" i="94"/>
  <c r="G99" i="94"/>
  <c r="H99" i="94"/>
  <c r="I99" i="94" s="1"/>
  <c r="J99" i="94"/>
  <c r="K99" i="94" s="1"/>
  <c r="L99" i="94"/>
  <c r="G100" i="94"/>
  <c r="H100" i="94"/>
  <c r="I100" i="94" s="1"/>
  <c r="J100" i="94"/>
  <c r="K100" i="94" s="1"/>
  <c r="L100" i="94"/>
  <c r="G101" i="94"/>
  <c r="H101" i="94"/>
  <c r="I101" i="94" s="1"/>
  <c r="J101" i="94"/>
  <c r="K101" i="94" s="1"/>
  <c r="L101" i="94"/>
  <c r="G102" i="94"/>
  <c r="H102" i="94"/>
  <c r="I102" i="94" s="1"/>
  <c r="J102" i="94"/>
  <c r="K102" i="94" s="1"/>
  <c r="L102" i="94"/>
  <c r="G103" i="94"/>
  <c r="H103" i="94"/>
  <c r="I103" i="94" s="1"/>
  <c r="J103" i="94"/>
  <c r="K103" i="94" s="1"/>
  <c r="L103" i="94"/>
  <c r="G104" i="94"/>
  <c r="H104" i="94"/>
  <c r="I104" i="94" s="1"/>
  <c r="J104" i="94"/>
  <c r="K104" i="94" s="1"/>
  <c r="L104" i="94"/>
  <c r="G105" i="94"/>
  <c r="H105" i="94"/>
  <c r="I105" i="94" s="1"/>
  <c r="J105" i="94"/>
  <c r="K105" i="94" s="1"/>
  <c r="L105" i="94"/>
  <c r="G106" i="94"/>
  <c r="H106" i="94"/>
  <c r="I106" i="94" s="1"/>
  <c r="J106" i="94"/>
  <c r="K106" i="94" s="1"/>
  <c r="L106" i="94"/>
  <c r="G107" i="94"/>
  <c r="H107" i="94"/>
  <c r="I107" i="94" s="1"/>
  <c r="J107" i="94"/>
  <c r="K107" i="94" s="1"/>
  <c r="L107" i="94"/>
  <c r="G108" i="94"/>
  <c r="H108" i="94"/>
  <c r="I108" i="94" s="1"/>
  <c r="J108" i="94"/>
  <c r="K108" i="94" s="1"/>
  <c r="L108" i="94"/>
  <c r="G109" i="94"/>
  <c r="H109" i="94"/>
  <c r="I109" i="94" s="1"/>
  <c r="J109" i="94"/>
  <c r="K109" i="94" s="1"/>
  <c r="L109" i="94"/>
  <c r="G110" i="94"/>
  <c r="H110" i="94"/>
  <c r="I110" i="94" s="1"/>
  <c r="J110" i="94"/>
  <c r="K110" i="94" s="1"/>
  <c r="L110" i="94"/>
  <c r="G111" i="94"/>
  <c r="H111" i="94"/>
  <c r="I111" i="94" s="1"/>
  <c r="J111" i="94"/>
  <c r="K111" i="94" s="1"/>
  <c r="L111" i="94"/>
  <c r="G112" i="94"/>
  <c r="H112" i="94"/>
  <c r="I112" i="94" s="1"/>
  <c r="J112" i="94"/>
  <c r="K112" i="94" s="1"/>
  <c r="L112" i="94"/>
  <c r="G113" i="94"/>
  <c r="H113" i="94"/>
  <c r="I113" i="94" s="1"/>
  <c r="J113" i="94"/>
  <c r="K113" i="94" s="1"/>
  <c r="L113" i="94"/>
  <c r="G114" i="94"/>
  <c r="H114" i="94"/>
  <c r="I114" i="94" s="1"/>
  <c r="J114" i="94"/>
  <c r="K114" i="94" s="1"/>
  <c r="L114" i="94"/>
  <c r="G115" i="94"/>
  <c r="H115" i="94"/>
  <c r="I115" i="94" s="1"/>
  <c r="J115" i="94"/>
  <c r="K115" i="94" s="1"/>
  <c r="L115" i="94"/>
  <c r="G116" i="94"/>
  <c r="H116" i="94"/>
  <c r="I116" i="94" s="1"/>
  <c r="J116" i="94"/>
  <c r="K116" i="94" s="1"/>
  <c r="L116" i="94"/>
  <c r="G117" i="94"/>
  <c r="H117" i="94"/>
  <c r="I117" i="94" s="1"/>
  <c r="J117" i="94"/>
  <c r="K117" i="94" s="1"/>
  <c r="L117" i="94"/>
  <c r="G118" i="94"/>
  <c r="H118" i="94"/>
  <c r="I118" i="94" s="1"/>
  <c r="J118" i="94"/>
  <c r="K118" i="94" s="1"/>
  <c r="L118" i="94"/>
  <c r="G119" i="94"/>
  <c r="H119" i="94"/>
  <c r="I119" i="94" s="1"/>
  <c r="J119" i="94"/>
  <c r="K119" i="94" s="1"/>
  <c r="L119" i="94"/>
  <c r="G120" i="94"/>
  <c r="H120" i="94"/>
  <c r="I120" i="94" s="1"/>
  <c r="J120" i="94"/>
  <c r="K120" i="94" s="1"/>
  <c r="L120" i="94"/>
  <c r="G121" i="94"/>
  <c r="H121" i="94"/>
  <c r="I121" i="94" s="1"/>
  <c r="J121" i="94"/>
  <c r="K121" i="94" s="1"/>
  <c r="L121" i="94"/>
  <c r="G122" i="94"/>
  <c r="H122" i="94"/>
  <c r="I122" i="94" s="1"/>
  <c r="J122" i="94"/>
  <c r="K122" i="94" s="1"/>
  <c r="L122" i="94"/>
  <c r="G123" i="94"/>
  <c r="H123" i="94"/>
  <c r="I123" i="94" s="1"/>
  <c r="J123" i="94"/>
  <c r="K123" i="94" s="1"/>
  <c r="L123" i="94"/>
  <c r="G54" i="94"/>
  <c r="H54" i="94"/>
  <c r="I54" i="94" s="1"/>
  <c r="J54" i="94"/>
  <c r="K54" i="94" s="1"/>
  <c r="L54" i="94"/>
  <c r="G55" i="94"/>
  <c r="H55" i="94"/>
  <c r="I55" i="94" s="1"/>
  <c r="J55" i="94"/>
  <c r="K55" i="94" s="1"/>
  <c r="L55" i="94"/>
  <c r="G56" i="94"/>
  <c r="H56" i="94"/>
  <c r="I56" i="94" s="1"/>
  <c r="J56" i="94"/>
  <c r="K56" i="94" s="1"/>
  <c r="L56" i="94"/>
  <c r="G57" i="94"/>
  <c r="H57" i="94"/>
  <c r="I57" i="94" s="1"/>
  <c r="J57" i="94"/>
  <c r="K57" i="94" s="1"/>
  <c r="L57" i="94"/>
  <c r="G58" i="94"/>
  <c r="H58" i="94"/>
  <c r="I58" i="94" s="1"/>
  <c r="J58" i="94"/>
  <c r="K58" i="94" s="1"/>
  <c r="L58" i="94"/>
  <c r="G59" i="94"/>
  <c r="H59" i="94"/>
  <c r="I59" i="94" s="1"/>
  <c r="J59" i="94"/>
  <c r="K59" i="94" s="1"/>
  <c r="L59" i="94"/>
  <c r="G60" i="94"/>
  <c r="H60" i="94"/>
  <c r="I60" i="94" s="1"/>
  <c r="J60" i="94"/>
  <c r="K60" i="94" s="1"/>
  <c r="L60" i="94"/>
  <c r="G61" i="94"/>
  <c r="H61" i="94"/>
  <c r="I61" i="94" s="1"/>
  <c r="J61" i="94"/>
  <c r="K61" i="94" s="1"/>
  <c r="L61" i="94"/>
  <c r="G62" i="94"/>
  <c r="H62" i="94"/>
  <c r="I62" i="94" s="1"/>
  <c r="J62" i="94"/>
  <c r="K62" i="94" s="1"/>
  <c r="L62" i="94"/>
  <c r="G63" i="94"/>
  <c r="H63" i="94"/>
  <c r="I63" i="94" s="1"/>
  <c r="J63" i="94"/>
  <c r="K63" i="94" s="1"/>
  <c r="L63" i="94"/>
  <c r="G64" i="94"/>
  <c r="H64" i="94"/>
  <c r="I64" i="94" s="1"/>
  <c r="J64" i="94"/>
  <c r="K64" i="94" s="1"/>
  <c r="L64" i="94"/>
  <c r="G65" i="94"/>
  <c r="H65" i="94"/>
  <c r="I65" i="94" s="1"/>
  <c r="J65" i="94"/>
  <c r="K65" i="94" s="1"/>
  <c r="L65" i="94"/>
  <c r="G66" i="94"/>
  <c r="H66" i="94"/>
  <c r="I66" i="94" s="1"/>
  <c r="J66" i="94"/>
  <c r="K66" i="94" s="1"/>
  <c r="L66" i="94"/>
  <c r="G11" i="94"/>
  <c r="E9" i="95" s="1"/>
  <c r="H11" i="94"/>
  <c r="J11" i="94"/>
  <c r="L11" i="94"/>
  <c r="J9" i="95" s="1"/>
  <c r="G12" i="94"/>
  <c r="E10" i="95" s="1"/>
  <c r="H12" i="94"/>
  <c r="J12" i="94"/>
  <c r="L12" i="94"/>
  <c r="J10" i="95" s="1"/>
  <c r="G13" i="94"/>
  <c r="E16" i="95" s="1"/>
  <c r="H13" i="94"/>
  <c r="J13" i="94"/>
  <c r="L13" i="94"/>
  <c r="J16" i="95" s="1"/>
  <c r="G14" i="94"/>
  <c r="H14" i="94"/>
  <c r="J14" i="94"/>
  <c r="L14" i="94"/>
  <c r="G15" i="94"/>
  <c r="H15" i="94"/>
  <c r="I15" i="94" s="1"/>
  <c r="J15" i="94"/>
  <c r="K15" i="94" s="1"/>
  <c r="L15" i="94"/>
  <c r="G16" i="94"/>
  <c r="H16" i="94"/>
  <c r="I16" i="94" s="1"/>
  <c r="J16" i="94"/>
  <c r="K16" i="94" s="1"/>
  <c r="L16" i="94"/>
  <c r="G17" i="94"/>
  <c r="H17" i="94"/>
  <c r="I17" i="94" s="1"/>
  <c r="J17" i="94"/>
  <c r="K17" i="94" s="1"/>
  <c r="L17" i="94"/>
  <c r="G18" i="94"/>
  <c r="H18" i="94"/>
  <c r="I18" i="94" s="1"/>
  <c r="J18" i="94"/>
  <c r="K18" i="94" s="1"/>
  <c r="L18" i="94"/>
  <c r="G19" i="94"/>
  <c r="H19" i="94"/>
  <c r="I19" i="94" s="1"/>
  <c r="J19" i="94"/>
  <c r="K19" i="94" s="1"/>
  <c r="L19" i="94"/>
  <c r="G20" i="94"/>
  <c r="H20" i="94"/>
  <c r="I20" i="94" s="1"/>
  <c r="J20" i="94"/>
  <c r="K20" i="94" s="1"/>
  <c r="L20" i="94"/>
  <c r="G21" i="94"/>
  <c r="H21" i="94"/>
  <c r="I21" i="94" s="1"/>
  <c r="J21" i="94"/>
  <c r="K21" i="94" s="1"/>
  <c r="L21" i="94"/>
  <c r="G22" i="94"/>
  <c r="H22" i="94"/>
  <c r="I22" i="94" s="1"/>
  <c r="J22" i="94"/>
  <c r="K22" i="94" s="1"/>
  <c r="L22" i="94"/>
  <c r="G23" i="94"/>
  <c r="H23" i="94"/>
  <c r="I23" i="94" s="1"/>
  <c r="J23" i="94"/>
  <c r="K23" i="94" s="1"/>
  <c r="L23" i="94"/>
  <c r="G24" i="94"/>
  <c r="H24" i="94"/>
  <c r="I24" i="94" s="1"/>
  <c r="J24" i="94"/>
  <c r="K24" i="94" s="1"/>
  <c r="L24" i="94"/>
  <c r="G25" i="94"/>
  <c r="H25" i="94"/>
  <c r="I25" i="94" s="1"/>
  <c r="J25" i="94"/>
  <c r="K25" i="94" s="1"/>
  <c r="L25" i="94"/>
  <c r="G26" i="94"/>
  <c r="H26" i="94"/>
  <c r="I26" i="94" s="1"/>
  <c r="J26" i="94"/>
  <c r="K26" i="94" s="1"/>
  <c r="L26" i="94"/>
  <c r="G27" i="94"/>
  <c r="H27" i="94"/>
  <c r="I27" i="94" s="1"/>
  <c r="J27" i="94"/>
  <c r="K27" i="94" s="1"/>
  <c r="L27" i="94"/>
  <c r="G28" i="94"/>
  <c r="H28" i="94"/>
  <c r="I28" i="94" s="1"/>
  <c r="J28" i="94"/>
  <c r="K28" i="94" s="1"/>
  <c r="L28" i="94"/>
  <c r="G29" i="94"/>
  <c r="H29" i="94"/>
  <c r="I29" i="94" s="1"/>
  <c r="J29" i="94"/>
  <c r="K29" i="94" s="1"/>
  <c r="L29" i="94"/>
  <c r="G30" i="94"/>
  <c r="H30" i="94"/>
  <c r="I30" i="94" s="1"/>
  <c r="J30" i="94"/>
  <c r="K30" i="94" s="1"/>
  <c r="L30" i="94"/>
  <c r="G31" i="94"/>
  <c r="H31" i="94"/>
  <c r="I31" i="94" s="1"/>
  <c r="J31" i="94"/>
  <c r="K31" i="94" s="1"/>
  <c r="L31" i="94"/>
  <c r="G32" i="94"/>
  <c r="H32" i="94"/>
  <c r="I32" i="94" s="1"/>
  <c r="J32" i="94"/>
  <c r="K32" i="94" s="1"/>
  <c r="L32" i="94"/>
  <c r="G33" i="94"/>
  <c r="H33" i="94"/>
  <c r="I33" i="94" s="1"/>
  <c r="J33" i="94"/>
  <c r="K33" i="94" s="1"/>
  <c r="L33" i="94"/>
  <c r="G34" i="94"/>
  <c r="H34" i="94"/>
  <c r="I34" i="94" s="1"/>
  <c r="J34" i="94"/>
  <c r="K34" i="94" s="1"/>
  <c r="L34" i="94"/>
  <c r="G35" i="94"/>
  <c r="H35" i="94"/>
  <c r="I35" i="94" s="1"/>
  <c r="J35" i="94"/>
  <c r="K35" i="94" s="1"/>
  <c r="L35" i="94"/>
  <c r="G36" i="94"/>
  <c r="H36" i="94"/>
  <c r="I36" i="94" s="1"/>
  <c r="J36" i="94"/>
  <c r="K36" i="94" s="1"/>
  <c r="L36" i="94"/>
  <c r="G37" i="94"/>
  <c r="H37" i="94"/>
  <c r="I37" i="94" s="1"/>
  <c r="J37" i="94"/>
  <c r="K37" i="94" s="1"/>
  <c r="L37" i="94"/>
  <c r="G38" i="94"/>
  <c r="H38" i="94"/>
  <c r="I38" i="94" s="1"/>
  <c r="J38" i="94"/>
  <c r="K38" i="94" s="1"/>
  <c r="L38" i="94"/>
  <c r="G39" i="94"/>
  <c r="H39" i="94"/>
  <c r="I39" i="94" s="1"/>
  <c r="J39" i="94"/>
  <c r="K39" i="94" s="1"/>
  <c r="L39" i="94"/>
  <c r="G40" i="94"/>
  <c r="H40" i="94"/>
  <c r="I40" i="94" s="1"/>
  <c r="J40" i="94"/>
  <c r="K40" i="94" s="1"/>
  <c r="L40" i="94"/>
  <c r="G41" i="94"/>
  <c r="H41" i="94"/>
  <c r="I41" i="94" s="1"/>
  <c r="J41" i="94"/>
  <c r="K41" i="94" s="1"/>
  <c r="L41" i="94"/>
  <c r="G42" i="94"/>
  <c r="H42" i="94"/>
  <c r="I42" i="94" s="1"/>
  <c r="J42" i="94"/>
  <c r="K42" i="94" s="1"/>
  <c r="L42" i="94"/>
  <c r="G43" i="94"/>
  <c r="H43" i="94"/>
  <c r="I43" i="94" s="1"/>
  <c r="J43" i="94"/>
  <c r="K43" i="94" s="1"/>
  <c r="L43" i="94"/>
  <c r="G44" i="94"/>
  <c r="H44" i="94"/>
  <c r="I44" i="94" s="1"/>
  <c r="J44" i="94"/>
  <c r="K44" i="94" s="1"/>
  <c r="L44" i="94"/>
  <c r="G45" i="94"/>
  <c r="H45" i="94"/>
  <c r="I45" i="94" s="1"/>
  <c r="J45" i="94"/>
  <c r="K45" i="94" s="1"/>
  <c r="L45" i="94"/>
  <c r="G46" i="94"/>
  <c r="H46" i="94"/>
  <c r="I46" i="94" s="1"/>
  <c r="J46" i="94"/>
  <c r="K46" i="94" s="1"/>
  <c r="L46" i="94"/>
  <c r="G47" i="94"/>
  <c r="H47" i="94"/>
  <c r="I47" i="94" s="1"/>
  <c r="J47" i="94"/>
  <c r="K47" i="94" s="1"/>
  <c r="L47" i="94"/>
  <c r="G48" i="94"/>
  <c r="H48" i="94"/>
  <c r="I48" i="94" s="1"/>
  <c r="J48" i="94"/>
  <c r="K48" i="94" s="1"/>
  <c r="L48" i="94"/>
  <c r="G49" i="94"/>
  <c r="H49" i="94"/>
  <c r="I49" i="94" s="1"/>
  <c r="J49" i="94"/>
  <c r="K49" i="94" s="1"/>
  <c r="L49" i="94"/>
  <c r="G50" i="94"/>
  <c r="H50" i="94"/>
  <c r="I50" i="94" s="1"/>
  <c r="J50" i="94"/>
  <c r="K50" i="94" s="1"/>
  <c r="L50" i="94"/>
  <c r="G51" i="94"/>
  <c r="H51" i="94"/>
  <c r="I51" i="94" s="1"/>
  <c r="J51" i="94"/>
  <c r="K51" i="94" s="1"/>
  <c r="L51" i="94"/>
  <c r="G52" i="94"/>
  <c r="H52" i="94"/>
  <c r="I52" i="94" s="1"/>
  <c r="J52" i="94"/>
  <c r="K52" i="94" s="1"/>
  <c r="L52" i="94"/>
  <c r="G53" i="94"/>
  <c r="H53" i="94"/>
  <c r="I53" i="94" s="1"/>
  <c r="J53" i="94"/>
  <c r="K53" i="94" s="1"/>
  <c r="L53" i="94"/>
  <c r="G10" i="94"/>
  <c r="E8" i="95" s="1"/>
  <c r="E5" i="94"/>
  <c r="L10" i="94"/>
  <c r="J8" i="95" s="1"/>
  <c r="J10" i="94"/>
  <c r="H10" i="94"/>
  <c r="G38" i="96" l="1"/>
  <c r="I38" i="96"/>
  <c r="K38" i="96"/>
  <c r="J38" i="96"/>
  <c r="N38" i="96"/>
  <c r="C38" i="96"/>
  <c r="F38" i="96"/>
  <c r="M38" i="96"/>
  <c r="L38" i="96"/>
  <c r="E38" i="96"/>
  <c r="Q38" i="96"/>
  <c r="D38" i="96"/>
  <c r="H38" i="96"/>
  <c r="M53" i="103"/>
  <c r="M58" i="103" s="1"/>
  <c r="M43" i="104"/>
  <c r="M44" i="104" s="1"/>
  <c r="M49" i="104" s="1"/>
  <c r="O48" i="104"/>
  <c r="L52" i="103"/>
  <c r="K51" i="103"/>
  <c r="K21" i="103"/>
  <c r="J21" i="103" s="1"/>
  <c r="I21" i="103" s="1"/>
  <c r="H21" i="103" s="1"/>
  <c r="G21" i="103" s="1"/>
  <c r="F21" i="103" s="1"/>
  <c r="E21" i="103" s="1"/>
  <c r="F72" i="96"/>
  <c r="L72" i="96"/>
  <c r="H72" i="96"/>
  <c r="E72" i="96"/>
  <c r="G72" i="96"/>
  <c r="J72" i="96"/>
  <c r="M72" i="96"/>
  <c r="K72" i="96"/>
  <c r="I72" i="96"/>
  <c r="N72" i="96"/>
  <c r="H14" i="96"/>
  <c r="I14" i="96"/>
  <c r="L14" i="96"/>
  <c r="M14" i="96"/>
  <c r="J14" i="96"/>
  <c r="K14" i="96"/>
  <c r="N14" i="96"/>
  <c r="G14" i="96"/>
  <c r="C14" i="96"/>
  <c r="D14" i="96"/>
  <c r="F14" i="96"/>
  <c r="Q14" i="96"/>
  <c r="E14" i="96"/>
  <c r="Q17" i="96"/>
  <c r="G17" i="96"/>
  <c r="E17" i="96"/>
  <c r="H17" i="96"/>
  <c r="I17" i="96"/>
  <c r="K17" i="96"/>
  <c r="F17" i="96"/>
  <c r="J17" i="96"/>
  <c r="M17" i="96"/>
  <c r="L17" i="96"/>
  <c r="N17" i="96"/>
  <c r="C17" i="96"/>
  <c r="D17" i="96"/>
  <c r="J22" i="95"/>
  <c r="J27" i="95"/>
  <c r="J26" i="95"/>
  <c r="J28" i="95"/>
  <c r="E26" i="95"/>
  <c r="E27" i="95"/>
  <c r="K188" i="94"/>
  <c r="I31" i="95" s="1"/>
  <c r="H31" i="95"/>
  <c r="K192" i="94"/>
  <c r="I35" i="95" s="1"/>
  <c r="H35" i="95"/>
  <c r="I188" i="94"/>
  <c r="G31" i="95" s="1"/>
  <c r="F31" i="95"/>
  <c r="I192" i="94"/>
  <c r="G35" i="95" s="1"/>
  <c r="F35" i="95"/>
  <c r="E36" i="95"/>
  <c r="O59" i="96" s="1"/>
  <c r="K147" i="94"/>
  <c r="I26" i="95" s="1"/>
  <c r="H26" i="95"/>
  <c r="K185" i="94"/>
  <c r="I27" i="95" s="1"/>
  <c r="H27" i="95"/>
  <c r="K189" i="94"/>
  <c r="I34" i="95" s="1"/>
  <c r="H34" i="95"/>
  <c r="I147" i="94"/>
  <c r="G26" i="95" s="1"/>
  <c r="F26" i="95"/>
  <c r="I185" i="94"/>
  <c r="G27" i="95" s="1"/>
  <c r="F27" i="95"/>
  <c r="I189" i="94"/>
  <c r="G34" i="95" s="1"/>
  <c r="F34" i="95"/>
  <c r="K146" i="94"/>
  <c r="I25" i="95" s="1"/>
  <c r="H25" i="95"/>
  <c r="K190" i="94"/>
  <c r="I33" i="95" s="1"/>
  <c r="H33" i="95"/>
  <c r="I146" i="94"/>
  <c r="G25" i="95" s="1"/>
  <c r="F25" i="95"/>
  <c r="I190" i="94"/>
  <c r="G33" i="95" s="1"/>
  <c r="F33" i="95"/>
  <c r="K145" i="94"/>
  <c r="I19" i="95" s="1"/>
  <c r="H19" i="95"/>
  <c r="K155" i="94"/>
  <c r="I28" i="95" s="1"/>
  <c r="H28" i="95"/>
  <c r="K191" i="94"/>
  <c r="I32" i="95" s="1"/>
  <c r="H32" i="95"/>
  <c r="I145" i="94"/>
  <c r="G19" i="95" s="1"/>
  <c r="F19" i="95"/>
  <c r="I155" i="94"/>
  <c r="G28" i="95" s="1"/>
  <c r="F28" i="95"/>
  <c r="I191" i="94"/>
  <c r="G32" i="95" s="1"/>
  <c r="F32" i="95"/>
  <c r="E28" i="95"/>
  <c r="J35" i="95"/>
  <c r="J36" i="95" s="1"/>
  <c r="O62" i="96" s="1"/>
  <c r="K140" i="94"/>
  <c r="I21" i="95" s="1"/>
  <c r="J20" i="95"/>
  <c r="E11" i="95"/>
  <c r="O23" i="96" s="1"/>
  <c r="K14" i="94"/>
  <c r="I13" i="95" s="1"/>
  <c r="H13" i="95"/>
  <c r="K141" i="94"/>
  <c r="I22" i="95" s="1"/>
  <c r="H22" i="95"/>
  <c r="I14" i="94"/>
  <c r="G13" i="95" s="1"/>
  <c r="F13" i="95"/>
  <c r="I141" i="94"/>
  <c r="G22" i="95" s="1"/>
  <c r="F22" i="95"/>
  <c r="J13" i="95"/>
  <c r="E22" i="95"/>
  <c r="E13" i="95"/>
  <c r="K13" i="94"/>
  <c r="I16" i="95" s="1"/>
  <c r="H16" i="95"/>
  <c r="I13" i="94"/>
  <c r="G16" i="95" s="1"/>
  <c r="F16" i="95"/>
  <c r="K194" i="94"/>
  <c r="I6" i="95" s="1"/>
  <c r="O16" i="96" s="1"/>
  <c r="H6" i="95"/>
  <c r="O13" i="96" s="1"/>
  <c r="K12" i="94"/>
  <c r="I10" i="95" s="1"/>
  <c r="H10" i="95"/>
  <c r="K143" i="94"/>
  <c r="I20" i="95" s="1"/>
  <c r="H20" i="95"/>
  <c r="I194" i="94"/>
  <c r="G6" i="95" s="1"/>
  <c r="O15" i="96" s="1"/>
  <c r="F6" i="95"/>
  <c r="O12" i="96" s="1"/>
  <c r="I12" i="94"/>
  <c r="G10" i="95" s="1"/>
  <c r="F10" i="95"/>
  <c r="I143" i="94"/>
  <c r="G20" i="95" s="1"/>
  <c r="F20" i="95"/>
  <c r="J18" i="95"/>
  <c r="E20" i="95"/>
  <c r="I10" i="94"/>
  <c r="G8" i="95" s="1"/>
  <c r="F8" i="95"/>
  <c r="K124" i="94"/>
  <c r="I18" i="95" s="1"/>
  <c r="H18" i="95"/>
  <c r="K10" i="94"/>
  <c r="I8" i="95" s="1"/>
  <c r="H8" i="95"/>
  <c r="K11" i="94"/>
  <c r="I9" i="95" s="1"/>
  <c r="H9" i="95"/>
  <c r="I124" i="94"/>
  <c r="G18" i="95" s="1"/>
  <c r="F18" i="95"/>
  <c r="J11" i="95"/>
  <c r="O26" i="96" s="1"/>
  <c r="I11" i="94"/>
  <c r="G9" i="95" s="1"/>
  <c r="F9" i="95"/>
  <c r="E18" i="95"/>
  <c r="I140" i="94"/>
  <c r="G21" i="95" s="1"/>
  <c r="F21" i="95"/>
  <c r="L195" i="94"/>
  <c r="G195" i="94"/>
  <c r="M187" i="94"/>
  <c r="M142" i="94"/>
  <c r="J195" i="94"/>
  <c r="H195" i="94"/>
  <c r="M42" i="94"/>
  <c r="M158" i="94"/>
  <c r="M48" i="94"/>
  <c r="M193" i="94"/>
  <c r="M192" i="94"/>
  <c r="M125" i="94"/>
  <c r="M182" i="94"/>
  <c r="M169" i="94"/>
  <c r="M165" i="94"/>
  <c r="M162" i="94"/>
  <c r="M75" i="94"/>
  <c r="M183" i="94"/>
  <c r="M50" i="94"/>
  <c r="M77" i="94"/>
  <c r="M171" i="94"/>
  <c r="M174" i="94"/>
  <c r="M128" i="94"/>
  <c r="M133" i="94"/>
  <c r="M151" i="94"/>
  <c r="M180" i="94"/>
  <c r="M186" i="94"/>
  <c r="M181" i="94"/>
  <c r="M135" i="94"/>
  <c r="M126" i="94"/>
  <c r="M127" i="94"/>
  <c r="M167" i="94"/>
  <c r="M18" i="94"/>
  <c r="M144" i="94"/>
  <c r="M161" i="94"/>
  <c r="M175" i="94"/>
  <c r="M172" i="94"/>
  <c r="M166" i="94"/>
  <c r="M156" i="94"/>
  <c r="M131" i="94"/>
  <c r="M149" i="94"/>
  <c r="M177" i="94"/>
  <c r="M160" i="94"/>
  <c r="M163" i="94"/>
  <c r="M53" i="94"/>
  <c r="M100" i="94"/>
  <c r="M113" i="94"/>
  <c r="M176" i="94"/>
  <c r="M173" i="94"/>
  <c r="M179" i="94"/>
  <c r="M129" i="94"/>
  <c r="M164" i="94"/>
  <c r="M153" i="94"/>
  <c r="M150" i="94"/>
  <c r="M178" i="94"/>
  <c r="M159" i="94"/>
  <c r="M152" i="94"/>
  <c r="M154" i="94"/>
  <c r="M168" i="94"/>
  <c r="M184" i="94"/>
  <c r="M170" i="94"/>
  <c r="M157" i="94"/>
  <c r="M148" i="94"/>
  <c r="M137" i="94"/>
  <c r="M139" i="94"/>
  <c r="M138" i="94"/>
  <c r="M136" i="94"/>
  <c r="M134" i="94"/>
  <c r="M132" i="94"/>
  <c r="M130" i="94"/>
  <c r="M123" i="94"/>
  <c r="M93" i="94"/>
  <c r="M34" i="94"/>
  <c r="M82" i="94"/>
  <c r="M62" i="94"/>
  <c r="M88" i="94"/>
  <c r="M98" i="94"/>
  <c r="M79" i="94"/>
  <c r="M26" i="94"/>
  <c r="M32" i="94"/>
  <c r="M66" i="94"/>
  <c r="M111" i="94"/>
  <c r="M118" i="94"/>
  <c r="M97" i="94"/>
  <c r="M90" i="94"/>
  <c r="M116" i="94"/>
  <c r="M106" i="94"/>
  <c r="M55" i="94"/>
  <c r="M95" i="94"/>
  <c r="M57" i="94"/>
  <c r="M68" i="94"/>
  <c r="M109" i="94"/>
  <c r="M61" i="94"/>
  <c r="M51" i="94"/>
  <c r="M122" i="94"/>
  <c r="M114" i="94"/>
  <c r="M89" i="94"/>
  <c r="M46" i="94"/>
  <c r="M39" i="94"/>
  <c r="M102" i="94"/>
  <c r="M94" i="94"/>
  <c r="M28" i="94"/>
  <c r="M30" i="94"/>
  <c r="M107" i="94"/>
  <c r="M37" i="94"/>
  <c r="M23" i="94"/>
  <c r="M104" i="94"/>
  <c r="M84" i="94"/>
  <c r="M44" i="94"/>
  <c r="M120" i="94"/>
  <c r="M81" i="94"/>
  <c r="M86" i="94"/>
  <c r="M91" i="94"/>
  <c r="M74" i="94"/>
  <c r="M73" i="94"/>
  <c r="M121" i="94"/>
  <c r="M80" i="94"/>
  <c r="M83" i="94"/>
  <c r="M105" i="94"/>
  <c r="M70" i="94"/>
  <c r="M67" i="94"/>
  <c r="M112" i="94"/>
  <c r="M96" i="94"/>
  <c r="M115" i="94"/>
  <c r="M99" i="94"/>
  <c r="M69" i="94"/>
  <c r="M101" i="94"/>
  <c r="M72" i="94"/>
  <c r="M119" i="94"/>
  <c r="M117" i="94"/>
  <c r="M85" i="94"/>
  <c r="M103" i="94"/>
  <c r="M71" i="94"/>
  <c r="M87" i="94"/>
  <c r="M78" i="94"/>
  <c r="M108" i="94"/>
  <c r="M92" i="94"/>
  <c r="M110" i="94"/>
  <c r="M76" i="94"/>
  <c r="M59" i="94"/>
  <c r="M64" i="94"/>
  <c r="M60" i="94"/>
  <c r="M54" i="94"/>
  <c r="M25" i="94"/>
  <c r="M41" i="94"/>
  <c r="M35" i="94"/>
  <c r="M49" i="94"/>
  <c r="M27" i="94"/>
  <c r="M40" i="94"/>
  <c r="M24" i="94"/>
  <c r="M43" i="94"/>
  <c r="M22" i="94"/>
  <c r="M21" i="94"/>
  <c r="M16" i="94"/>
  <c r="M56" i="94"/>
  <c r="M58" i="94"/>
  <c r="M65" i="94"/>
  <c r="M63" i="94"/>
  <c r="M15" i="94"/>
  <c r="M45" i="94"/>
  <c r="M38" i="94"/>
  <c r="M29" i="94"/>
  <c r="M31" i="94"/>
  <c r="M52" i="94"/>
  <c r="M47" i="94"/>
  <c r="M20" i="94"/>
  <c r="M17" i="94"/>
  <c r="M36" i="94"/>
  <c r="M33" i="94"/>
  <c r="M19" i="94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C43" i="92"/>
  <c r="C36" i="92"/>
  <c r="C29" i="92"/>
  <c r="C22" i="92"/>
  <c r="C15" i="92"/>
  <c r="C8" i="92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F69" i="90" s="1"/>
  <c r="E67" i="90"/>
  <c r="D68" i="90" s="1"/>
  <c r="E66" i="90" s="1"/>
  <c r="E69" i="90" s="1"/>
  <c r="D67" i="90"/>
  <c r="C67" i="90"/>
  <c r="C64" i="90"/>
  <c r="C68" i="90" s="1"/>
  <c r="D66" i="90" s="1"/>
  <c r="C63" i="90"/>
  <c r="C62" i="90"/>
  <c r="C66" i="90" s="1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F60" i="90" s="1"/>
  <c r="E58" i="90"/>
  <c r="D59" i="90" s="1"/>
  <c r="E57" i="90" s="1"/>
  <c r="E60" i="90" s="1"/>
  <c r="D58" i="90"/>
  <c r="C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N49" i="90"/>
  <c r="M49" i="90"/>
  <c r="L49" i="90"/>
  <c r="K49" i="90"/>
  <c r="J49" i="90"/>
  <c r="I49" i="90"/>
  <c r="H49" i="90"/>
  <c r="F49" i="90"/>
  <c r="E49" i="90"/>
  <c r="D49" i="90"/>
  <c r="C49" i="90"/>
  <c r="C46" i="90"/>
  <c r="C45" i="90"/>
  <c r="C44" i="90"/>
  <c r="C48" i="90" s="1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40" i="90"/>
  <c r="C37" i="90"/>
  <c r="C36" i="90"/>
  <c r="C35" i="90"/>
  <c r="C39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1" i="90"/>
  <c r="C28" i="90"/>
  <c r="C27" i="90"/>
  <c r="C26" i="90"/>
  <c r="C30" i="90" s="1"/>
  <c r="N22" i="90"/>
  <c r="M23" i="90" s="1"/>
  <c r="M22" i="90"/>
  <c r="L23" i="90" s="1"/>
  <c r="L22" i="90"/>
  <c r="K22" i="90"/>
  <c r="J22" i="90"/>
  <c r="I22" i="90"/>
  <c r="H22" i="90"/>
  <c r="G22" i="90"/>
  <c r="F22" i="90"/>
  <c r="E22" i="90"/>
  <c r="D22" i="90"/>
  <c r="C22" i="90"/>
  <c r="C19" i="90"/>
  <c r="C18" i="90"/>
  <c r="C17" i="90"/>
  <c r="C21" i="90" s="1"/>
  <c r="D13" i="90"/>
  <c r="E13" i="90"/>
  <c r="F13" i="90"/>
  <c r="G13" i="90"/>
  <c r="H13" i="90"/>
  <c r="I13" i="90"/>
  <c r="J13" i="90"/>
  <c r="K13" i="90"/>
  <c r="L13" i="90"/>
  <c r="M13" i="90"/>
  <c r="N13" i="90"/>
  <c r="C13" i="90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C25" i="89"/>
  <c r="C12" i="89"/>
  <c r="C23" i="89"/>
  <c r="K34" i="87"/>
  <c r="H34" i="87"/>
  <c r="E34" i="87"/>
  <c r="R33" i="87"/>
  <c r="P32" i="87"/>
  <c r="E32" i="87" s="1"/>
  <c r="R12" i="86"/>
  <c r="R11" i="86" s="1"/>
  <c r="S12" i="86"/>
  <c r="S11" i="86" s="1"/>
  <c r="Q11" i="86"/>
  <c r="Q12" i="86"/>
  <c r="Q8" i="86"/>
  <c r="S7" i="86"/>
  <c r="R7" i="86"/>
  <c r="Q7" i="86"/>
  <c r="C10" i="89"/>
  <c r="D36" i="108" l="1"/>
  <c r="D33" i="106"/>
  <c r="K33" i="87"/>
  <c r="L53" i="103"/>
  <c r="L43" i="104"/>
  <c r="L44" i="104" s="1"/>
  <c r="J11" i="92"/>
  <c r="D69" i="90"/>
  <c r="L18" i="92"/>
  <c r="K33" i="92"/>
  <c r="L49" i="104"/>
  <c r="K52" i="103"/>
  <c r="J51" i="103"/>
  <c r="L58" i="103"/>
  <c r="D21" i="103"/>
  <c r="C21" i="103" s="1"/>
  <c r="I62" i="96"/>
  <c r="E62" i="96"/>
  <c r="H62" i="96"/>
  <c r="C62" i="96"/>
  <c r="M62" i="96"/>
  <c r="F62" i="96"/>
  <c r="N62" i="96"/>
  <c r="D62" i="96"/>
  <c r="L62" i="96"/>
  <c r="Q62" i="96"/>
  <c r="J62" i="96"/>
  <c r="K62" i="96"/>
  <c r="G62" i="96"/>
  <c r="I23" i="96"/>
  <c r="K23" i="96"/>
  <c r="J23" i="96"/>
  <c r="N23" i="96"/>
  <c r="E23" i="96"/>
  <c r="Q23" i="96"/>
  <c r="D23" i="96"/>
  <c r="G23" i="96"/>
  <c r="C23" i="96"/>
  <c r="H23" i="96"/>
  <c r="M23" i="96"/>
  <c r="L23" i="96"/>
  <c r="F23" i="96"/>
  <c r="M59" i="96"/>
  <c r="N59" i="96"/>
  <c r="F59" i="96"/>
  <c r="Q59" i="96"/>
  <c r="J59" i="96"/>
  <c r="I59" i="96"/>
  <c r="E59" i="96"/>
  <c r="H59" i="96"/>
  <c r="K59" i="96"/>
  <c r="C59" i="96"/>
  <c r="G59" i="96"/>
  <c r="L59" i="96"/>
  <c r="D59" i="96"/>
  <c r="J29" i="95"/>
  <c r="O53" i="96" s="1"/>
  <c r="E26" i="96"/>
  <c r="F26" i="96"/>
  <c r="G26" i="96"/>
  <c r="D26" i="96"/>
  <c r="J26" i="96"/>
  <c r="N26" i="96"/>
  <c r="I26" i="96"/>
  <c r="C26" i="96"/>
  <c r="H26" i="96"/>
  <c r="K26" i="96"/>
  <c r="M26" i="96"/>
  <c r="Q26" i="96"/>
  <c r="L26" i="96"/>
  <c r="D13" i="96"/>
  <c r="E13" i="96"/>
  <c r="G13" i="96"/>
  <c r="F13" i="96"/>
  <c r="H13" i="96"/>
  <c r="I13" i="96"/>
  <c r="J13" i="96"/>
  <c r="K13" i="96"/>
  <c r="L13" i="96"/>
  <c r="C13" i="96"/>
  <c r="M13" i="96"/>
  <c r="N13" i="96"/>
  <c r="Q13" i="96"/>
  <c r="M15" i="96"/>
  <c r="N15" i="96"/>
  <c r="K15" i="96"/>
  <c r="D15" i="96"/>
  <c r="E15" i="96"/>
  <c r="F15" i="96"/>
  <c r="G15" i="96"/>
  <c r="C15" i="96"/>
  <c r="H15" i="96"/>
  <c r="L15" i="96"/>
  <c r="I15" i="96"/>
  <c r="J15" i="96"/>
  <c r="Q15" i="96"/>
  <c r="F16" i="96"/>
  <c r="J16" i="96"/>
  <c r="D16" i="96"/>
  <c r="L16" i="96"/>
  <c r="E16" i="96"/>
  <c r="G16" i="96"/>
  <c r="H16" i="96"/>
  <c r="I16" i="96"/>
  <c r="K16" i="96"/>
  <c r="N16" i="96"/>
  <c r="M16" i="96"/>
  <c r="C16" i="96"/>
  <c r="Q16" i="96"/>
  <c r="N12" i="96"/>
  <c r="M12" i="96"/>
  <c r="H12" i="96"/>
  <c r="F12" i="96"/>
  <c r="C12" i="96"/>
  <c r="D12" i="96"/>
  <c r="E12" i="96"/>
  <c r="G12" i="96"/>
  <c r="Q12" i="96"/>
  <c r="I12" i="96"/>
  <c r="J12" i="96"/>
  <c r="K12" i="96"/>
  <c r="L12" i="96"/>
  <c r="O18" i="96"/>
  <c r="K31" i="95"/>
  <c r="L31" i="95" s="1"/>
  <c r="K27" i="95"/>
  <c r="L27" i="95" s="1"/>
  <c r="M188" i="94"/>
  <c r="M147" i="94"/>
  <c r="K26" i="95"/>
  <c r="L26" i="95" s="1"/>
  <c r="K34" i="95"/>
  <c r="L34" i="95" s="1"/>
  <c r="K33" i="95"/>
  <c r="L33" i="95" s="1"/>
  <c r="K35" i="95"/>
  <c r="L35" i="95" s="1"/>
  <c r="K19" i="95"/>
  <c r="L19" i="95" s="1"/>
  <c r="K32" i="95"/>
  <c r="L32" i="95" s="1"/>
  <c r="M191" i="94"/>
  <c r="M145" i="94"/>
  <c r="I29" i="95"/>
  <c r="O52" i="96" s="1"/>
  <c r="H29" i="95"/>
  <c r="O49" i="96" s="1"/>
  <c r="M146" i="94"/>
  <c r="F36" i="95"/>
  <c r="O57" i="96" s="1"/>
  <c r="M155" i="94"/>
  <c r="G36" i="95"/>
  <c r="O60" i="96" s="1"/>
  <c r="G29" i="95"/>
  <c r="O51" i="96" s="1"/>
  <c r="K22" i="95"/>
  <c r="L22" i="95" s="1"/>
  <c r="K28" i="95"/>
  <c r="L28" i="95" s="1"/>
  <c r="E29" i="95"/>
  <c r="O50" i="96" s="1"/>
  <c r="K25" i="95"/>
  <c r="M190" i="94"/>
  <c r="M194" i="94"/>
  <c r="M189" i="94"/>
  <c r="H36" i="95"/>
  <c r="O58" i="96" s="1"/>
  <c r="M185" i="94"/>
  <c r="F29" i="95"/>
  <c r="O48" i="96" s="1"/>
  <c r="I36" i="95"/>
  <c r="O61" i="96" s="1"/>
  <c r="K13" i="95"/>
  <c r="L13" i="95" s="1"/>
  <c r="I23" i="95"/>
  <c r="K21" i="95"/>
  <c r="L21" i="95" s="1"/>
  <c r="K10" i="95"/>
  <c r="K6" i="95"/>
  <c r="J23" i="95"/>
  <c r="M140" i="94"/>
  <c r="K9" i="95"/>
  <c r="L9" i="95" s="1"/>
  <c r="I11" i="95"/>
  <c r="O25" i="96" s="1"/>
  <c r="E23" i="95"/>
  <c r="I195" i="94"/>
  <c r="K16" i="95"/>
  <c r="K18" i="95"/>
  <c r="L18" i="95" s="1"/>
  <c r="M13" i="94"/>
  <c r="F11" i="95"/>
  <c r="O21" i="96" s="1"/>
  <c r="M10" i="94"/>
  <c r="M11" i="94"/>
  <c r="F23" i="95"/>
  <c r="K20" i="95"/>
  <c r="L20" i="95" s="1"/>
  <c r="M14" i="94"/>
  <c r="M143" i="94"/>
  <c r="G23" i="95"/>
  <c r="K8" i="95"/>
  <c r="H11" i="95"/>
  <c r="O22" i="96" s="1"/>
  <c r="K195" i="94"/>
  <c r="G11" i="95"/>
  <c r="O24" i="96" s="1"/>
  <c r="M12" i="94"/>
  <c r="M124" i="94"/>
  <c r="M141" i="94"/>
  <c r="H23" i="95"/>
  <c r="M18" i="92"/>
  <c r="N18" i="92"/>
  <c r="J25" i="92"/>
  <c r="K25" i="92"/>
  <c r="L25" i="92"/>
  <c r="M26" i="92"/>
  <c r="I25" i="92"/>
  <c r="M25" i="92"/>
  <c r="I39" i="92"/>
  <c r="C17" i="92"/>
  <c r="I53" i="92"/>
  <c r="J53" i="92"/>
  <c r="L53" i="92"/>
  <c r="F18" i="92"/>
  <c r="M53" i="92"/>
  <c r="G18" i="92"/>
  <c r="I46" i="92"/>
  <c r="K32" i="92"/>
  <c r="I18" i="92"/>
  <c r="L32" i="92"/>
  <c r="K46" i="92"/>
  <c r="J39" i="92"/>
  <c r="J18" i="92"/>
  <c r="M32" i="92"/>
  <c r="L46" i="92"/>
  <c r="E18" i="92"/>
  <c r="I32" i="92"/>
  <c r="J32" i="92"/>
  <c r="L19" i="92"/>
  <c r="K18" i="92"/>
  <c r="N32" i="92"/>
  <c r="M46" i="92"/>
  <c r="K39" i="92"/>
  <c r="C18" i="92"/>
  <c r="D18" i="92"/>
  <c r="K53" i="92"/>
  <c r="N53" i="92"/>
  <c r="H18" i="92"/>
  <c r="J46" i="92"/>
  <c r="N46" i="92"/>
  <c r="F54" i="92"/>
  <c r="E54" i="92"/>
  <c r="C53" i="92"/>
  <c r="F53" i="92"/>
  <c r="I54" i="92"/>
  <c r="C52" i="92"/>
  <c r="G53" i="92"/>
  <c r="D54" i="92"/>
  <c r="D53" i="92"/>
  <c r="E53" i="92"/>
  <c r="H53" i="92"/>
  <c r="F46" i="92"/>
  <c r="E47" i="92"/>
  <c r="C46" i="92"/>
  <c r="C45" i="92"/>
  <c r="G46" i="92"/>
  <c r="F47" i="92"/>
  <c r="D46" i="92"/>
  <c r="E46" i="92"/>
  <c r="H46" i="92"/>
  <c r="M39" i="92"/>
  <c r="N39" i="92"/>
  <c r="C39" i="92"/>
  <c r="D39" i="92"/>
  <c r="E39" i="92"/>
  <c r="L39" i="92"/>
  <c r="F39" i="92"/>
  <c r="C38" i="92"/>
  <c r="G39" i="92"/>
  <c r="H39" i="92"/>
  <c r="C32" i="92"/>
  <c r="D32" i="92"/>
  <c r="E32" i="92"/>
  <c r="F32" i="92"/>
  <c r="C31" i="92"/>
  <c r="G32" i="92"/>
  <c r="H32" i="92"/>
  <c r="N25" i="92"/>
  <c r="C25" i="92"/>
  <c r="D25" i="92"/>
  <c r="E25" i="92"/>
  <c r="F25" i="92"/>
  <c r="C24" i="92"/>
  <c r="G25" i="92"/>
  <c r="H25" i="92"/>
  <c r="I11" i="92"/>
  <c r="F11" i="92"/>
  <c r="E11" i="92"/>
  <c r="G11" i="92"/>
  <c r="H11" i="92"/>
  <c r="N11" i="92"/>
  <c r="C11" i="92"/>
  <c r="M11" i="92"/>
  <c r="L11" i="92"/>
  <c r="K11" i="92"/>
  <c r="D11" i="92"/>
  <c r="C10" i="92"/>
  <c r="C69" i="90"/>
  <c r="C54" i="92" s="1"/>
  <c r="H66" i="90"/>
  <c r="G69" i="90"/>
  <c r="G54" i="92" s="1"/>
  <c r="H69" i="90"/>
  <c r="H54" i="92" s="1"/>
  <c r="I66" i="90"/>
  <c r="I69" i="90"/>
  <c r="J66" i="90"/>
  <c r="K66" i="90"/>
  <c r="J69" i="90"/>
  <c r="J54" i="92" s="1"/>
  <c r="L66" i="90"/>
  <c r="L69" i="90" s="1"/>
  <c r="L54" i="92" s="1"/>
  <c r="K69" i="90"/>
  <c r="K54" i="92" s="1"/>
  <c r="O67" i="90"/>
  <c r="M69" i="90"/>
  <c r="M54" i="92" s="1"/>
  <c r="H59" i="90"/>
  <c r="I57" i="90" s="1"/>
  <c r="I60" i="90" s="1"/>
  <c r="I47" i="92" s="1"/>
  <c r="C59" i="90"/>
  <c r="D57" i="90" s="1"/>
  <c r="D60" i="90" s="1"/>
  <c r="D47" i="92" s="1"/>
  <c r="O58" i="90"/>
  <c r="J57" i="90"/>
  <c r="J60" i="90" s="1"/>
  <c r="J47" i="92" s="1"/>
  <c r="K57" i="90"/>
  <c r="L57" i="90"/>
  <c r="K60" i="90"/>
  <c r="K47" i="92" s="1"/>
  <c r="M57" i="90"/>
  <c r="L60" i="90"/>
  <c r="L47" i="92" s="1"/>
  <c r="M60" i="90"/>
  <c r="M47" i="92" s="1"/>
  <c r="N57" i="90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E50" i="90"/>
  <c r="F48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H41" i="90"/>
  <c r="I39" i="90" s="1"/>
  <c r="I42" i="90" s="1"/>
  <c r="I33" i="92" s="1"/>
  <c r="D41" i="90"/>
  <c r="E39" i="90" s="1"/>
  <c r="F41" i="90"/>
  <c r="G39" i="90" s="1"/>
  <c r="J50" i="90"/>
  <c r="K50" i="90"/>
  <c r="L50" i="90"/>
  <c r="M48" i="90" s="1"/>
  <c r="M50" i="90"/>
  <c r="N48" i="90" s="1"/>
  <c r="H50" i="90"/>
  <c r="I48" i="90" s="1"/>
  <c r="K48" i="90"/>
  <c r="L48" i="90"/>
  <c r="O49" i="90"/>
  <c r="F50" i="90"/>
  <c r="G50" i="90"/>
  <c r="I23" i="90"/>
  <c r="J21" i="90" s="1"/>
  <c r="C23" i="90"/>
  <c r="D21" i="90" s="1"/>
  <c r="M41" i="90"/>
  <c r="N39" i="90" s="1"/>
  <c r="J39" i="90"/>
  <c r="J42" i="90" s="1"/>
  <c r="J33" i="92" s="1"/>
  <c r="L39" i="90"/>
  <c r="K39" i="90"/>
  <c r="K42" i="90" s="1"/>
  <c r="O40" i="90"/>
  <c r="K23" i="90"/>
  <c r="L21" i="90" s="1"/>
  <c r="L24" i="90" s="1"/>
  <c r="E23" i="90"/>
  <c r="F21" i="90" s="1"/>
  <c r="E32" i="90"/>
  <c r="F30" i="90" s="1"/>
  <c r="H23" i="90"/>
  <c r="I21" i="90" s="1"/>
  <c r="J23" i="90"/>
  <c r="O31" i="90"/>
  <c r="D32" i="90"/>
  <c r="E30" i="90" s="1"/>
  <c r="C32" i="90"/>
  <c r="D30" i="90" s="1"/>
  <c r="D33" i="90" s="1"/>
  <c r="D26" i="92" s="1"/>
  <c r="I30" i="90"/>
  <c r="K30" i="90"/>
  <c r="K33" i="90" s="1"/>
  <c r="K26" i="92" s="1"/>
  <c r="L30" i="90"/>
  <c r="L33" i="90" s="1"/>
  <c r="L26" i="92" s="1"/>
  <c r="M30" i="90"/>
  <c r="M33" i="90" s="1"/>
  <c r="N30" i="90"/>
  <c r="I32" i="90"/>
  <c r="N21" i="90"/>
  <c r="O22" i="90"/>
  <c r="M21" i="90"/>
  <c r="M24" i="90" s="1"/>
  <c r="M19" i="92" s="1"/>
  <c r="F8" i="56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O39" i="96" l="1"/>
  <c r="O43" i="96"/>
  <c r="O40" i="96"/>
  <c r="O42" i="96"/>
  <c r="J42" i="96" s="1"/>
  <c r="F23" i="115"/>
  <c r="L23" i="115"/>
  <c r="G23" i="115"/>
  <c r="D23" i="115"/>
  <c r="C23" i="115"/>
  <c r="N23" i="115"/>
  <c r="E23" i="115"/>
  <c r="J23" i="115"/>
  <c r="K23" i="115"/>
  <c r="M23" i="115"/>
  <c r="H23" i="115"/>
  <c r="I23" i="115"/>
  <c r="L10" i="95"/>
  <c r="I13" i="115"/>
  <c r="M13" i="115"/>
  <c r="E13" i="115"/>
  <c r="J13" i="115"/>
  <c r="C13" i="115"/>
  <c r="K13" i="115"/>
  <c r="G13" i="115"/>
  <c r="L13" i="115"/>
  <c r="D13" i="115"/>
  <c r="H13" i="115"/>
  <c r="F13" i="115"/>
  <c r="N13" i="115"/>
  <c r="D35" i="106"/>
  <c r="D36" i="106"/>
  <c r="D39" i="108"/>
  <c r="D40" i="108"/>
  <c r="B5" i="77"/>
  <c r="F5" i="77"/>
  <c r="J12" i="77"/>
  <c r="C14" i="77"/>
  <c r="I7" i="77"/>
  <c r="D14" i="77"/>
  <c r="B7" i="77"/>
  <c r="M7" i="77"/>
  <c r="L7" i="77"/>
  <c r="K7" i="77"/>
  <c r="K53" i="103"/>
  <c r="K58" i="103" s="1"/>
  <c r="K43" i="104"/>
  <c r="K44" i="104" s="1"/>
  <c r="D51" i="90"/>
  <c r="D40" i="92" s="1"/>
  <c r="L42" i="90"/>
  <c r="L33" i="92" s="1"/>
  <c r="K49" i="104"/>
  <c r="J52" i="103"/>
  <c r="I51" i="103"/>
  <c r="M49" i="96"/>
  <c r="N49" i="96"/>
  <c r="D49" i="96"/>
  <c r="G49" i="96"/>
  <c r="E49" i="96"/>
  <c r="L49" i="96"/>
  <c r="H49" i="96"/>
  <c r="K49" i="96"/>
  <c r="Q49" i="96"/>
  <c r="C49" i="96"/>
  <c r="I49" i="96"/>
  <c r="J49" i="96"/>
  <c r="F49" i="96"/>
  <c r="E51" i="96"/>
  <c r="F51" i="96"/>
  <c r="D51" i="96"/>
  <c r="C51" i="96"/>
  <c r="I51" i="96"/>
  <c r="J51" i="96"/>
  <c r="N51" i="96"/>
  <c r="G51" i="96"/>
  <c r="L51" i="96"/>
  <c r="M51" i="96"/>
  <c r="H51" i="96"/>
  <c r="Q51" i="96"/>
  <c r="K51" i="96"/>
  <c r="I48" i="96"/>
  <c r="K48" i="96"/>
  <c r="J48" i="96"/>
  <c r="D48" i="96"/>
  <c r="G48" i="96"/>
  <c r="H48" i="96"/>
  <c r="M48" i="96"/>
  <c r="L48" i="96"/>
  <c r="F48" i="96"/>
  <c r="N48" i="96"/>
  <c r="E48" i="96"/>
  <c r="Q48" i="96"/>
  <c r="C48" i="96"/>
  <c r="O54" i="96"/>
  <c r="K36" i="95"/>
  <c r="L36" i="95" s="1"/>
  <c r="M53" i="96"/>
  <c r="N53" i="96"/>
  <c r="C53" i="96"/>
  <c r="E53" i="96"/>
  <c r="L53" i="96"/>
  <c r="D53" i="96"/>
  <c r="I53" i="96"/>
  <c r="H53" i="96"/>
  <c r="K53" i="96"/>
  <c r="Q53" i="96"/>
  <c r="G53" i="96"/>
  <c r="J53" i="96"/>
  <c r="F53" i="96"/>
  <c r="O44" i="96"/>
  <c r="E57" i="96"/>
  <c r="F57" i="96"/>
  <c r="G57" i="96"/>
  <c r="M57" i="96"/>
  <c r="D57" i="96"/>
  <c r="H57" i="96"/>
  <c r="J57" i="96"/>
  <c r="N57" i="96"/>
  <c r="K57" i="96"/>
  <c r="I57" i="96"/>
  <c r="L57" i="96"/>
  <c r="Q57" i="96"/>
  <c r="C57" i="96"/>
  <c r="O63" i="96"/>
  <c r="I52" i="96"/>
  <c r="J52" i="96"/>
  <c r="H52" i="96"/>
  <c r="K52" i="96"/>
  <c r="M52" i="96"/>
  <c r="G52" i="96"/>
  <c r="Q52" i="96"/>
  <c r="D52" i="96"/>
  <c r="C52" i="96"/>
  <c r="L52" i="96"/>
  <c r="F52" i="96"/>
  <c r="E52" i="96"/>
  <c r="N52" i="96"/>
  <c r="Q60" i="96"/>
  <c r="C60" i="96"/>
  <c r="F60" i="96"/>
  <c r="J60" i="96"/>
  <c r="H60" i="96"/>
  <c r="L60" i="96"/>
  <c r="M60" i="96"/>
  <c r="K60" i="96"/>
  <c r="I60" i="96"/>
  <c r="D60" i="96"/>
  <c r="N60" i="96"/>
  <c r="G60" i="96"/>
  <c r="E60" i="96"/>
  <c r="M21" i="96"/>
  <c r="C21" i="96"/>
  <c r="I21" i="96"/>
  <c r="D21" i="96"/>
  <c r="L21" i="96"/>
  <c r="K21" i="96"/>
  <c r="F21" i="96"/>
  <c r="J21" i="96"/>
  <c r="G21" i="96"/>
  <c r="E21" i="96"/>
  <c r="N21" i="96"/>
  <c r="H21" i="96"/>
  <c r="Q21" i="96"/>
  <c r="O27" i="96"/>
  <c r="Q18" i="96"/>
  <c r="M24" i="96"/>
  <c r="N24" i="96"/>
  <c r="F24" i="96"/>
  <c r="D24" i="96"/>
  <c r="J24" i="96"/>
  <c r="E24" i="96"/>
  <c r="K24" i="96"/>
  <c r="C24" i="96"/>
  <c r="Q24" i="96"/>
  <c r="L24" i="96"/>
  <c r="H24" i="96"/>
  <c r="I24" i="96"/>
  <c r="G24" i="96"/>
  <c r="O41" i="96"/>
  <c r="H42" i="96"/>
  <c r="E22" i="96"/>
  <c r="F22" i="96"/>
  <c r="G22" i="96"/>
  <c r="J22" i="96"/>
  <c r="N22" i="96"/>
  <c r="C22" i="96"/>
  <c r="M22" i="96"/>
  <c r="H22" i="96"/>
  <c r="D22" i="96"/>
  <c r="Q22" i="96"/>
  <c r="I22" i="96"/>
  <c r="L22" i="96"/>
  <c r="K22" i="96"/>
  <c r="Q61" i="96"/>
  <c r="E61" i="96"/>
  <c r="I61" i="96"/>
  <c r="C61" i="96"/>
  <c r="K61" i="96"/>
  <c r="J61" i="96"/>
  <c r="N61" i="96"/>
  <c r="L61" i="96"/>
  <c r="G61" i="96"/>
  <c r="M61" i="96"/>
  <c r="F61" i="96"/>
  <c r="D61" i="96"/>
  <c r="H61" i="96"/>
  <c r="I58" i="96"/>
  <c r="K58" i="96"/>
  <c r="J58" i="96"/>
  <c r="N58" i="96"/>
  <c r="E58" i="96"/>
  <c r="D58" i="96"/>
  <c r="G58" i="96"/>
  <c r="C58" i="96"/>
  <c r="H58" i="96"/>
  <c r="L58" i="96"/>
  <c r="F58" i="96"/>
  <c r="Q58" i="96"/>
  <c r="M58" i="96"/>
  <c r="M25" i="96"/>
  <c r="C25" i="96"/>
  <c r="Q25" i="96"/>
  <c r="N25" i="96"/>
  <c r="E25" i="96"/>
  <c r="G25" i="96"/>
  <c r="K25" i="96"/>
  <c r="F25" i="96"/>
  <c r="J25" i="96"/>
  <c r="I25" i="96"/>
  <c r="D25" i="96"/>
  <c r="L25" i="96"/>
  <c r="H25" i="96"/>
  <c r="N50" i="96"/>
  <c r="E50" i="96"/>
  <c r="H50" i="96"/>
  <c r="Q50" i="96"/>
  <c r="D50" i="96"/>
  <c r="L50" i="96"/>
  <c r="K50" i="96"/>
  <c r="M50" i="96"/>
  <c r="J50" i="96"/>
  <c r="F50" i="96"/>
  <c r="I50" i="96"/>
  <c r="C50" i="96"/>
  <c r="G50" i="96"/>
  <c r="K18" i="96"/>
  <c r="K21" i="115" s="1"/>
  <c r="F18" i="96"/>
  <c r="F21" i="115" s="1"/>
  <c r="H18" i="96"/>
  <c r="H21" i="115" s="1"/>
  <c r="G18" i="96"/>
  <c r="G21" i="115" s="1"/>
  <c r="I18" i="96"/>
  <c r="I21" i="115" s="1"/>
  <c r="J18" i="96"/>
  <c r="J21" i="115" s="1"/>
  <c r="L18" i="96"/>
  <c r="L21" i="115" s="1"/>
  <c r="M18" i="96"/>
  <c r="M21" i="115" s="1"/>
  <c r="N18" i="96"/>
  <c r="N21" i="115" s="1"/>
  <c r="D18" i="96"/>
  <c r="D21" i="115" s="1"/>
  <c r="C18" i="96"/>
  <c r="C21" i="115" s="1"/>
  <c r="E18" i="96"/>
  <c r="E21" i="115" s="1"/>
  <c r="L25" i="95"/>
  <c r="K29" i="95"/>
  <c r="L29" i="95" s="1"/>
  <c r="L6" i="95"/>
  <c r="M195" i="94"/>
  <c r="L8" i="95"/>
  <c r="K11" i="95"/>
  <c r="L11" i="95" s="1"/>
  <c r="L16" i="95"/>
  <c r="K23" i="95"/>
  <c r="L23" i="95" s="1"/>
  <c r="J59" i="92"/>
  <c r="F59" i="92"/>
  <c r="M59" i="92"/>
  <c r="O18" i="92"/>
  <c r="C59" i="92"/>
  <c r="I59" i="92"/>
  <c r="N59" i="92"/>
  <c r="H59" i="92"/>
  <c r="D52" i="92"/>
  <c r="C58" i="92"/>
  <c r="D59" i="92"/>
  <c r="G59" i="92"/>
  <c r="K59" i="92"/>
  <c r="L59" i="92"/>
  <c r="E59" i="92"/>
  <c r="O53" i="92"/>
  <c r="O46" i="92"/>
  <c r="O39" i="92"/>
  <c r="O32" i="92"/>
  <c r="O25" i="92"/>
  <c r="O11" i="92"/>
  <c r="C60" i="90"/>
  <c r="C47" i="92" s="1"/>
  <c r="D45" i="92" s="1"/>
  <c r="H57" i="90"/>
  <c r="H60" i="90" s="1"/>
  <c r="H47" i="92" s="1"/>
  <c r="G60" i="90"/>
  <c r="K51" i="90"/>
  <c r="K40" i="92" s="1"/>
  <c r="G33" i="90"/>
  <c r="G26" i="92" s="1"/>
  <c r="J51" i="90"/>
  <c r="J40" i="92" s="1"/>
  <c r="C51" i="90"/>
  <c r="C40" i="92" s="1"/>
  <c r="D38" i="92" s="1"/>
  <c r="F42" i="90"/>
  <c r="F33" i="92" s="1"/>
  <c r="I51" i="90"/>
  <c r="I40" i="92" s="1"/>
  <c r="E24" i="90"/>
  <c r="E19" i="92" s="1"/>
  <c r="I24" i="90"/>
  <c r="I19" i="92" s="1"/>
  <c r="E42" i="90"/>
  <c r="E33" i="92" s="1"/>
  <c r="F33" i="90"/>
  <c r="F26" i="92" s="1"/>
  <c r="L51" i="90"/>
  <c r="L40" i="92" s="1"/>
  <c r="H33" i="90"/>
  <c r="H26" i="92" s="1"/>
  <c r="D24" i="90"/>
  <c r="D19" i="92" s="1"/>
  <c r="C42" i="90"/>
  <c r="C33" i="92" s="1"/>
  <c r="H42" i="90"/>
  <c r="H33" i="92" s="1"/>
  <c r="D42" i="90"/>
  <c r="D33" i="92" s="1"/>
  <c r="F24" i="90"/>
  <c r="F19" i="92" s="1"/>
  <c r="M42" i="90"/>
  <c r="M33" i="92" s="1"/>
  <c r="G42" i="90"/>
  <c r="G33" i="92" s="1"/>
  <c r="E51" i="90"/>
  <c r="E40" i="92" s="1"/>
  <c r="M51" i="90"/>
  <c r="M40" i="92" s="1"/>
  <c r="G48" i="90"/>
  <c r="G51" i="90" s="1"/>
  <c r="G40" i="92" s="1"/>
  <c r="F51" i="90"/>
  <c r="F40" i="92" s="1"/>
  <c r="J24" i="90"/>
  <c r="J19" i="92" s="1"/>
  <c r="H48" i="90"/>
  <c r="H51" i="90" s="1"/>
  <c r="H40" i="92" s="1"/>
  <c r="K21" i="90"/>
  <c r="K24" i="90" s="1"/>
  <c r="K19" i="92" s="1"/>
  <c r="E33" i="90"/>
  <c r="E26" i="92" s="1"/>
  <c r="C33" i="90"/>
  <c r="C26" i="92" s="1"/>
  <c r="D24" i="92" s="1"/>
  <c r="I33" i="90"/>
  <c r="I26" i="92" s="1"/>
  <c r="J30" i="90"/>
  <c r="J33" i="90" s="1"/>
  <c r="J26" i="92" s="1"/>
  <c r="C24" i="90"/>
  <c r="C19" i="92" s="1"/>
  <c r="D17" i="92" s="1"/>
  <c r="G24" i="90"/>
  <c r="G19" i="92" s="1"/>
  <c r="H21" i="90"/>
  <c r="H24" i="90" s="1"/>
  <c r="H19" i="92" s="1"/>
  <c r="O28" i="89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54" i="109" s="1"/>
  <c r="D16" i="86"/>
  <c r="C30" i="85"/>
  <c r="D11" i="86"/>
  <c r="H8" i="87" s="1"/>
  <c r="H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E42" i="96" l="1"/>
  <c r="D42" i="96"/>
  <c r="G42" i="96"/>
  <c r="Q42" i="96"/>
  <c r="F42" i="96"/>
  <c r="N43" i="96"/>
  <c r="C43" i="96"/>
  <c r="H43" i="96"/>
  <c r="K43" i="96"/>
  <c r="Q43" i="96"/>
  <c r="G43" i="96"/>
  <c r="M43" i="96"/>
  <c r="L43" i="96"/>
  <c r="E43" i="96"/>
  <c r="F43" i="96"/>
  <c r="I43" i="96"/>
  <c r="D43" i="96"/>
  <c r="J43" i="96"/>
  <c r="K40" i="96"/>
  <c r="G40" i="96"/>
  <c r="H40" i="96"/>
  <c r="F40" i="96"/>
  <c r="J40" i="96"/>
  <c r="M40" i="96"/>
  <c r="D40" i="96"/>
  <c r="C40" i="96"/>
  <c r="I40" i="96"/>
  <c r="L40" i="96"/>
  <c r="E40" i="96"/>
  <c r="N40" i="96"/>
  <c r="Q40" i="96"/>
  <c r="E39" i="96"/>
  <c r="Q39" i="96"/>
  <c r="D39" i="96"/>
  <c r="G39" i="96"/>
  <c r="J39" i="96"/>
  <c r="C39" i="96"/>
  <c r="F39" i="96"/>
  <c r="M39" i="96"/>
  <c r="N39" i="96"/>
  <c r="L39" i="96"/>
  <c r="K39" i="96"/>
  <c r="H39" i="96"/>
  <c r="I39" i="96"/>
  <c r="K42" i="96"/>
  <c r="C42" i="96"/>
  <c r="M42" i="96"/>
  <c r="N42" i="96"/>
  <c r="I42" i="96"/>
  <c r="M63" i="96"/>
  <c r="L42" i="96"/>
  <c r="L14" i="95"/>
  <c r="J27" i="96"/>
  <c r="O23" i="115"/>
  <c r="O13" i="115"/>
  <c r="O21" i="115"/>
  <c r="D20" i="92"/>
  <c r="E17" i="92" s="1"/>
  <c r="D27" i="92"/>
  <c r="E24" i="92" s="1"/>
  <c r="D41" i="92"/>
  <c r="E38" i="92" s="1"/>
  <c r="E41" i="92" s="1"/>
  <c r="F38" i="92" s="1"/>
  <c r="D48" i="92"/>
  <c r="E45" i="92" s="1"/>
  <c r="D55" i="92"/>
  <c r="E52" i="92" s="1"/>
  <c r="E6" i="87"/>
  <c r="H6" i="87"/>
  <c r="C6" i="87"/>
  <c r="C154" i="109"/>
  <c r="F7" i="87"/>
  <c r="D135" i="109"/>
  <c r="D151" i="109" s="1"/>
  <c r="F6" i="87"/>
  <c r="C135" i="109"/>
  <c r="N63" i="96"/>
  <c r="H54" i="96"/>
  <c r="H14" i="115" s="1"/>
  <c r="H15" i="115" s="1"/>
  <c r="H18" i="115" s="1"/>
  <c r="G54" i="96"/>
  <c r="G14" i="115" s="1"/>
  <c r="G15" i="115" s="1"/>
  <c r="G18" i="115" s="1"/>
  <c r="H63" i="96"/>
  <c r="D63" i="96"/>
  <c r="H27" i="96"/>
  <c r="O59" i="92"/>
  <c r="J53" i="103"/>
  <c r="J43" i="104"/>
  <c r="J44" i="104" s="1"/>
  <c r="G47" i="92"/>
  <c r="D31" i="92"/>
  <c r="J49" i="104"/>
  <c r="I52" i="103"/>
  <c r="H51" i="103"/>
  <c r="J58" i="103"/>
  <c r="D54" i="96"/>
  <c r="D14" i="115" s="1"/>
  <c r="D15" i="115" s="1"/>
  <c r="D18" i="115" s="1"/>
  <c r="E27" i="96"/>
  <c r="F63" i="96"/>
  <c r="G27" i="96"/>
  <c r="E63" i="96"/>
  <c r="J63" i="96"/>
  <c r="Q27" i="96"/>
  <c r="M44" i="96"/>
  <c r="D44" i="96"/>
  <c r="Q44" i="96"/>
  <c r="L44" i="96"/>
  <c r="G44" i="96"/>
  <c r="F44" i="96"/>
  <c r="J44" i="96"/>
  <c r="I44" i="96"/>
  <c r="E44" i="96"/>
  <c r="C44" i="96"/>
  <c r="K44" i="96"/>
  <c r="N44" i="96"/>
  <c r="H44" i="96"/>
  <c r="J54" i="96"/>
  <c r="J14" i="115" s="1"/>
  <c r="J15" i="115" s="1"/>
  <c r="J18" i="115" s="1"/>
  <c r="N27" i="96"/>
  <c r="C54" i="96"/>
  <c r="C14" i="115" s="1"/>
  <c r="Q54" i="96"/>
  <c r="Q41" i="96"/>
  <c r="K41" i="96"/>
  <c r="G41" i="96"/>
  <c r="I41" i="96"/>
  <c r="L41" i="96"/>
  <c r="F41" i="96"/>
  <c r="H41" i="96"/>
  <c r="M41" i="96"/>
  <c r="E41" i="96"/>
  <c r="D41" i="96"/>
  <c r="J41" i="96"/>
  <c r="N41" i="96"/>
  <c r="C41" i="96"/>
  <c r="G63" i="96"/>
  <c r="I54" i="96"/>
  <c r="I14" i="115" s="1"/>
  <c r="I15" i="115" s="1"/>
  <c r="I18" i="115" s="1"/>
  <c r="O45" i="96"/>
  <c r="K54" i="96"/>
  <c r="K14" i="115" s="1"/>
  <c r="K15" i="115" s="1"/>
  <c r="K18" i="115" s="1"/>
  <c r="F27" i="96"/>
  <c r="K27" i="96"/>
  <c r="L27" i="96"/>
  <c r="C63" i="96"/>
  <c r="E54" i="96"/>
  <c r="E14" i="115" s="1"/>
  <c r="E15" i="115" s="1"/>
  <c r="E18" i="115" s="1"/>
  <c r="D27" i="96"/>
  <c r="Q63" i="96"/>
  <c r="N54" i="96"/>
  <c r="N14" i="115" s="1"/>
  <c r="N15" i="115" s="1"/>
  <c r="N18" i="115" s="1"/>
  <c r="I27" i="96"/>
  <c r="L63" i="96"/>
  <c r="F54" i="96"/>
  <c r="F14" i="115" s="1"/>
  <c r="F15" i="115" s="1"/>
  <c r="F18" i="115" s="1"/>
  <c r="C27" i="96"/>
  <c r="I63" i="96"/>
  <c r="L54" i="96"/>
  <c r="L14" i="115" s="1"/>
  <c r="L15" i="115" s="1"/>
  <c r="L18" i="115" s="1"/>
  <c r="M27" i="96"/>
  <c r="K63" i="96"/>
  <c r="M54" i="96"/>
  <c r="M14" i="115" s="1"/>
  <c r="M15" i="115" s="1"/>
  <c r="M18" i="115" s="1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M33" i="120" l="1"/>
  <c r="M33" i="119"/>
  <c r="M30" i="121"/>
  <c r="K33" i="119"/>
  <c r="K33" i="120"/>
  <c r="K30" i="121"/>
  <c r="I33" i="119"/>
  <c r="I30" i="121"/>
  <c r="I33" i="120"/>
  <c r="L33" i="119"/>
  <c r="L33" i="120"/>
  <c r="L30" i="121"/>
  <c r="J33" i="119"/>
  <c r="J33" i="120"/>
  <c r="J30" i="121"/>
  <c r="G33" i="119"/>
  <c r="G30" i="121"/>
  <c r="G33" i="120"/>
  <c r="F33" i="119"/>
  <c r="F33" i="120"/>
  <c r="F30" i="121"/>
  <c r="H33" i="119"/>
  <c r="H30" i="121"/>
  <c r="H33" i="120"/>
  <c r="D30" i="121"/>
  <c r="D33" i="120"/>
  <c r="D33" i="119"/>
  <c r="E30" i="121"/>
  <c r="E33" i="119"/>
  <c r="E33" i="120"/>
  <c r="N33" i="120"/>
  <c r="N33" i="119"/>
  <c r="N30" i="121"/>
  <c r="C45" i="96"/>
  <c r="K45" i="96"/>
  <c r="D45" i="96"/>
  <c r="J45" i="96"/>
  <c r="N45" i="96"/>
  <c r="I45" i="96"/>
  <c r="M45" i="96"/>
  <c r="O14" i="115"/>
  <c r="C15" i="115"/>
  <c r="H45" i="96"/>
  <c r="E45" i="96"/>
  <c r="E20" i="92"/>
  <c r="F17" i="92" s="1"/>
  <c r="F20" i="92" s="1"/>
  <c r="G17" i="92" s="1"/>
  <c r="E27" i="92"/>
  <c r="F24" i="92" s="1"/>
  <c r="D34" i="92"/>
  <c r="E31" i="92" s="1"/>
  <c r="F41" i="92"/>
  <c r="G38" i="92" s="1"/>
  <c r="E48" i="92"/>
  <c r="F45" i="92" s="1"/>
  <c r="E55" i="92"/>
  <c r="F52" i="92" s="1"/>
  <c r="K27" i="87"/>
  <c r="C151" i="109"/>
  <c r="E135" i="109"/>
  <c r="G45" i="96"/>
  <c r="L45" i="96"/>
  <c r="F45" i="96"/>
  <c r="Q45" i="96"/>
  <c r="I53" i="103"/>
  <c r="I58" i="103" s="1"/>
  <c r="I43" i="104"/>
  <c r="I44" i="104" s="1"/>
  <c r="I49" i="104"/>
  <c r="H52" i="103"/>
  <c r="G51" i="103"/>
  <c r="O38" i="95"/>
  <c r="G12" i="86"/>
  <c r="L12" i="86" s="1"/>
  <c r="E16" i="87"/>
  <c r="L11" i="86"/>
  <c r="K6" i="87"/>
  <c r="C156" i="109" s="1"/>
  <c r="N8" i="87"/>
  <c r="K7" i="87"/>
  <c r="D156" i="109" s="1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O15" i="115" l="1"/>
  <c r="O18" i="115" s="1"/>
  <c r="C18" i="115"/>
  <c r="G20" i="92"/>
  <c r="H17" i="92" s="1"/>
  <c r="F27" i="92"/>
  <c r="G24" i="92" s="1"/>
  <c r="E34" i="92"/>
  <c r="F31" i="92" s="1"/>
  <c r="G41" i="92"/>
  <c r="H38" i="92" s="1"/>
  <c r="F48" i="92"/>
  <c r="G45" i="92" s="1"/>
  <c r="G48" i="92" s="1"/>
  <c r="H45" i="92" s="1"/>
  <c r="F55" i="92"/>
  <c r="G52" i="92" s="1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E151" i="109"/>
  <c r="G135" i="109"/>
  <c r="G151" i="109" s="1"/>
  <c r="Q10" i="52"/>
  <c r="S10" i="52"/>
  <c r="R10" i="52"/>
  <c r="P10" i="52"/>
  <c r="H53" i="103"/>
  <c r="H58" i="103" s="1"/>
  <c r="H43" i="104"/>
  <c r="H44" i="104" s="1"/>
  <c r="H49" i="104" s="1"/>
  <c r="G52" i="103"/>
  <c r="F51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H15" i="87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C33" i="120" l="1"/>
  <c r="C30" i="121"/>
  <c r="C33" i="119"/>
  <c r="O33" i="119" s="1"/>
  <c r="G25" i="118"/>
  <c r="G25" i="117"/>
  <c r="G25" i="114"/>
  <c r="H20" i="92"/>
  <c r="I17" i="92" s="1"/>
  <c r="G27" i="92"/>
  <c r="H24" i="92" s="1"/>
  <c r="F34" i="92"/>
  <c r="G31" i="92" s="1"/>
  <c r="H41" i="92"/>
  <c r="I38" i="92" s="1"/>
  <c r="H48" i="92"/>
  <c r="I45" i="92" s="1"/>
  <c r="G55" i="92"/>
  <c r="H52" i="92" s="1"/>
  <c r="G121" i="110"/>
  <c r="G105" i="110"/>
  <c r="G89" i="110"/>
  <c r="G73" i="110"/>
  <c r="G57" i="110"/>
  <c r="G46" i="110"/>
  <c r="G30" i="110"/>
  <c r="G14" i="110"/>
  <c r="G35" i="110"/>
  <c r="G21" i="110"/>
  <c r="G90" i="110"/>
  <c r="G9" i="110"/>
  <c r="G110" i="110"/>
  <c r="G94" i="110"/>
  <c r="G78" i="110"/>
  <c r="G62" i="110"/>
  <c r="G51" i="110"/>
  <c r="G19" i="110"/>
  <c r="G15" i="110"/>
  <c r="G115" i="110"/>
  <c r="G99" i="110"/>
  <c r="G83" i="110"/>
  <c r="G67" i="110"/>
  <c r="G40" i="110"/>
  <c r="G24" i="110"/>
  <c r="G8" i="110"/>
  <c r="G74" i="110"/>
  <c r="G120" i="110"/>
  <c r="G104" i="110"/>
  <c r="G88" i="110"/>
  <c r="G72" i="110"/>
  <c r="G56" i="110"/>
  <c r="G45" i="110"/>
  <c r="G29" i="110"/>
  <c r="G13" i="110"/>
  <c r="G42" i="110"/>
  <c r="G109" i="110"/>
  <c r="G93" i="110"/>
  <c r="G77" i="110"/>
  <c r="G61" i="110"/>
  <c r="G50" i="110"/>
  <c r="G34" i="110"/>
  <c r="G18" i="110"/>
  <c r="G114" i="110"/>
  <c r="G98" i="110"/>
  <c r="G82" i="110"/>
  <c r="G66" i="110"/>
  <c r="G39" i="110"/>
  <c r="G23" i="110"/>
  <c r="G7" i="110"/>
  <c r="G58" i="110"/>
  <c r="G119" i="110"/>
  <c r="G103" i="110"/>
  <c r="G87" i="110"/>
  <c r="G71" i="110"/>
  <c r="G55" i="110"/>
  <c r="G44" i="110"/>
  <c r="G28" i="110"/>
  <c r="G12" i="110"/>
  <c r="G108" i="110"/>
  <c r="G92" i="110"/>
  <c r="G76" i="110"/>
  <c r="G60" i="110"/>
  <c r="G49" i="110"/>
  <c r="G33" i="110"/>
  <c r="G17" i="110"/>
  <c r="G79" i="110"/>
  <c r="G113" i="110"/>
  <c r="G97" i="110"/>
  <c r="G81" i="110"/>
  <c r="G65" i="110"/>
  <c r="G38" i="110"/>
  <c r="G22" i="110"/>
  <c r="G63" i="110"/>
  <c r="G118" i="110"/>
  <c r="G102" i="110"/>
  <c r="G86" i="110"/>
  <c r="G70" i="110"/>
  <c r="G54" i="110"/>
  <c r="G43" i="110"/>
  <c r="G27" i="110"/>
  <c r="G11" i="110"/>
  <c r="G52" i="110"/>
  <c r="G107" i="110"/>
  <c r="G91" i="110"/>
  <c r="G75" i="110"/>
  <c r="G59" i="110"/>
  <c r="G48" i="110"/>
  <c r="G32" i="110"/>
  <c r="G16" i="110"/>
  <c r="G26" i="110"/>
  <c r="G36" i="110"/>
  <c r="G25" i="110"/>
  <c r="G112" i="110"/>
  <c r="G96" i="110"/>
  <c r="G80" i="110"/>
  <c r="G64" i="110"/>
  <c r="G37" i="110"/>
  <c r="G106" i="110"/>
  <c r="G117" i="110"/>
  <c r="G101" i="110"/>
  <c r="G85" i="110"/>
  <c r="G69" i="110"/>
  <c r="G10" i="110"/>
  <c r="G47" i="110"/>
  <c r="G31" i="110"/>
  <c r="G95" i="110"/>
  <c r="G111" i="110"/>
  <c r="G20" i="110"/>
  <c r="G116" i="110"/>
  <c r="G100" i="110"/>
  <c r="G84" i="110"/>
  <c r="G68" i="110"/>
  <c r="G41" i="110"/>
  <c r="G53" i="110"/>
  <c r="F151" i="109"/>
  <c r="F10" i="52"/>
  <c r="D10" i="52"/>
  <c r="B10" i="52"/>
  <c r="E10" i="52"/>
  <c r="C10" i="52"/>
  <c r="G10" i="52"/>
  <c r="M10" i="52"/>
  <c r="I10" i="52"/>
  <c r="N27" i="87"/>
  <c r="I135" i="109"/>
  <c r="K142" i="109"/>
  <c r="J135" i="109"/>
  <c r="L10" i="52"/>
  <c r="L17" i="52"/>
  <c r="K10" i="52"/>
  <c r="D17" i="52"/>
  <c r="C17" i="52"/>
  <c r="J154" i="109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3" i="103"/>
  <c r="G43" i="104"/>
  <c r="G44" i="104" s="1"/>
  <c r="G49" i="104" s="1"/>
  <c r="F52" i="103"/>
  <c r="E51" i="103"/>
  <c r="G58" i="103"/>
  <c r="C15" i="87"/>
  <c r="N15" i="87"/>
  <c r="N26" i="87" s="1"/>
  <c r="C32" i="87"/>
  <c r="N32" i="87"/>
  <c r="C33" i="87"/>
  <c r="N33" i="87"/>
  <c r="N14" i="87"/>
  <c r="C14" i="87"/>
  <c r="S7" i="87"/>
  <c r="M7" i="87"/>
  <c r="S6" i="87"/>
  <c r="M6" i="87"/>
  <c r="O30" i="121" l="1"/>
  <c r="O33" i="120"/>
  <c r="O25" i="114"/>
  <c r="H25" i="114"/>
  <c r="O25" i="117"/>
  <c r="H25" i="117"/>
  <c r="O25" i="118"/>
  <c r="H25" i="118"/>
  <c r="I20" i="92"/>
  <c r="J17" i="92" s="1"/>
  <c r="H27" i="92"/>
  <c r="I24" i="92" s="1"/>
  <c r="I27" i="92" s="1"/>
  <c r="J24" i="92" s="1"/>
  <c r="G34" i="92"/>
  <c r="H31" i="92" s="1"/>
  <c r="I41" i="92"/>
  <c r="J38" i="92" s="1"/>
  <c r="I48" i="92"/>
  <c r="J45" i="92" s="1"/>
  <c r="H55" i="92"/>
  <c r="I52" i="92" s="1"/>
  <c r="K135" i="109"/>
  <c r="O135" i="109" s="1"/>
  <c r="I78" i="110"/>
  <c r="I80" i="109"/>
  <c r="K80" i="109" s="1"/>
  <c r="I72" i="110"/>
  <c r="I74" i="109"/>
  <c r="K74" i="109" s="1"/>
  <c r="I100" i="109"/>
  <c r="K100" i="109" s="1"/>
  <c r="I98" i="110"/>
  <c r="I112" i="109"/>
  <c r="K112" i="109" s="1"/>
  <c r="I110" i="110"/>
  <c r="I82" i="109"/>
  <c r="K82" i="109" s="1"/>
  <c r="I80" i="110"/>
  <c r="I94" i="110"/>
  <c r="I96" i="109"/>
  <c r="K96" i="109" s="1"/>
  <c r="I38" i="109"/>
  <c r="K38" i="109" s="1"/>
  <c r="M38" i="109" s="1"/>
  <c r="I36" i="110"/>
  <c r="I116" i="109"/>
  <c r="K116" i="109" s="1"/>
  <c r="M116" i="109" s="1"/>
  <c r="I114" i="110"/>
  <c r="I120" i="110"/>
  <c r="I122" i="109"/>
  <c r="K122" i="109" s="1"/>
  <c r="I9" i="110"/>
  <c r="I11" i="109"/>
  <c r="K11" i="109" s="1"/>
  <c r="I102" i="109"/>
  <c r="K102" i="109" s="1"/>
  <c r="I100" i="110"/>
  <c r="I118" i="109"/>
  <c r="K118" i="109" s="1"/>
  <c r="I116" i="110"/>
  <c r="I74" i="110"/>
  <c r="I76" i="109"/>
  <c r="K76" i="109" s="1"/>
  <c r="M76" i="109" s="1"/>
  <c r="I92" i="109"/>
  <c r="K92" i="109" s="1"/>
  <c r="M92" i="109" s="1"/>
  <c r="I90" i="110"/>
  <c r="I84" i="110"/>
  <c r="I86" i="109"/>
  <c r="K86" i="109" s="1"/>
  <c r="M86" i="109" s="1"/>
  <c r="I56" i="109"/>
  <c r="K56" i="109" s="1"/>
  <c r="M56" i="109" s="1"/>
  <c r="I54" i="110"/>
  <c r="I22" i="109"/>
  <c r="K22" i="109" s="1"/>
  <c r="I20" i="110"/>
  <c r="I104" i="109"/>
  <c r="K104" i="109" s="1"/>
  <c r="I102" i="110"/>
  <c r="I28" i="110"/>
  <c r="I30" i="109"/>
  <c r="K30" i="109" s="1"/>
  <c r="I36" i="109"/>
  <c r="K36" i="109" s="1"/>
  <c r="I34" i="110"/>
  <c r="I8" i="110"/>
  <c r="I10" i="109"/>
  <c r="K10" i="109" s="1"/>
  <c r="I21" i="110"/>
  <c r="I23" i="109"/>
  <c r="K23" i="109" s="1"/>
  <c r="M23" i="109" s="1"/>
  <c r="I60" i="110"/>
  <c r="I62" i="109"/>
  <c r="K62" i="109" s="1"/>
  <c r="M62" i="109" s="1"/>
  <c r="I92" i="110"/>
  <c r="I94" i="109"/>
  <c r="K94" i="109" s="1"/>
  <c r="O94" i="109" s="1"/>
  <c r="I20" i="109"/>
  <c r="K20" i="109" s="1"/>
  <c r="I18" i="110"/>
  <c r="I49" i="109"/>
  <c r="K49" i="109" s="1"/>
  <c r="I47" i="110"/>
  <c r="I34" i="109"/>
  <c r="K34" i="109" s="1"/>
  <c r="I32" i="110"/>
  <c r="I24" i="109"/>
  <c r="K24" i="109" s="1"/>
  <c r="I22" i="110"/>
  <c r="I46" i="109"/>
  <c r="K46" i="109" s="1"/>
  <c r="I44" i="110"/>
  <c r="I52" i="109"/>
  <c r="K52" i="109" s="1"/>
  <c r="M52" i="109" s="1"/>
  <c r="I50" i="110"/>
  <c r="I24" i="110"/>
  <c r="I26" i="109"/>
  <c r="K26" i="109" s="1"/>
  <c r="M26" i="109" s="1"/>
  <c r="I35" i="110"/>
  <c r="I37" i="109"/>
  <c r="K37" i="109" s="1"/>
  <c r="M37" i="109" s="1"/>
  <c r="I12" i="109"/>
  <c r="K12" i="109" s="1"/>
  <c r="I10" i="110"/>
  <c r="I48" i="110"/>
  <c r="I50" i="109"/>
  <c r="K50" i="109" s="1"/>
  <c r="I40" i="109"/>
  <c r="K40" i="109" s="1"/>
  <c r="I38" i="110"/>
  <c r="I57" i="109"/>
  <c r="K57" i="109" s="1"/>
  <c r="I55" i="110"/>
  <c r="I63" i="109"/>
  <c r="K63" i="109" s="1"/>
  <c r="O63" i="109" s="1"/>
  <c r="I61" i="110"/>
  <c r="I42" i="109"/>
  <c r="K42" i="109" s="1"/>
  <c r="M42" i="109" s="1"/>
  <c r="I40" i="110"/>
  <c r="I14" i="110"/>
  <c r="I16" i="109"/>
  <c r="K16" i="109" s="1"/>
  <c r="M16" i="109" s="1"/>
  <c r="I88" i="110"/>
  <c r="I90" i="109"/>
  <c r="K90" i="109" s="1"/>
  <c r="O90" i="109" s="1"/>
  <c r="I71" i="109"/>
  <c r="K71" i="109" s="1"/>
  <c r="I69" i="110"/>
  <c r="I61" i="109"/>
  <c r="K61" i="109" s="1"/>
  <c r="I59" i="110"/>
  <c r="I67" i="109"/>
  <c r="K67" i="109" s="1"/>
  <c r="I65" i="110"/>
  <c r="I71" i="110"/>
  <c r="I73" i="109"/>
  <c r="K73" i="109" s="1"/>
  <c r="I79" i="109"/>
  <c r="K79" i="109" s="1"/>
  <c r="I77" i="110"/>
  <c r="I67" i="110"/>
  <c r="I69" i="109"/>
  <c r="K69" i="109" s="1"/>
  <c r="I32" i="109"/>
  <c r="K32" i="109" s="1"/>
  <c r="M32" i="109" s="1"/>
  <c r="I30" i="110"/>
  <c r="I49" i="110"/>
  <c r="I51" i="109"/>
  <c r="K51" i="109" s="1"/>
  <c r="O51" i="109" s="1"/>
  <c r="I84" i="109"/>
  <c r="K84" i="109" s="1"/>
  <c r="I82" i="110"/>
  <c r="I108" i="110"/>
  <c r="I110" i="109"/>
  <c r="K110" i="109" s="1"/>
  <c r="I33" i="109"/>
  <c r="K33" i="109" s="1"/>
  <c r="I31" i="110"/>
  <c r="I87" i="109"/>
  <c r="K87" i="109" s="1"/>
  <c r="I85" i="110"/>
  <c r="I75" i="110"/>
  <c r="I77" i="109"/>
  <c r="K77" i="109" s="1"/>
  <c r="M77" i="109" s="1"/>
  <c r="I83" i="109"/>
  <c r="K83" i="109" s="1"/>
  <c r="M83" i="109" s="1"/>
  <c r="I81" i="110"/>
  <c r="I89" i="109"/>
  <c r="K89" i="109" s="1"/>
  <c r="M89" i="109" s="1"/>
  <c r="I87" i="110"/>
  <c r="I95" i="109"/>
  <c r="K95" i="109" s="1"/>
  <c r="M95" i="109" s="1"/>
  <c r="I93" i="110"/>
  <c r="I85" i="109"/>
  <c r="K85" i="109" s="1"/>
  <c r="I83" i="110"/>
  <c r="I46" i="110"/>
  <c r="I48" i="109"/>
  <c r="K48" i="109" s="1"/>
  <c r="I56" i="110"/>
  <c r="I58" i="109"/>
  <c r="K58" i="109" s="1"/>
  <c r="O58" i="109" s="1"/>
  <c r="I76" i="110"/>
  <c r="I78" i="109"/>
  <c r="K78" i="109" s="1"/>
  <c r="O78" i="109" s="1"/>
  <c r="I111" i="110"/>
  <c r="I113" i="109"/>
  <c r="K113" i="109" s="1"/>
  <c r="M113" i="109" s="1"/>
  <c r="I18" i="109"/>
  <c r="K18" i="109" s="1"/>
  <c r="M18" i="109" s="1"/>
  <c r="I16" i="110"/>
  <c r="I103" i="109"/>
  <c r="K103" i="109" s="1"/>
  <c r="M103" i="109" s="1"/>
  <c r="I101" i="110"/>
  <c r="I93" i="109"/>
  <c r="K93" i="109" s="1"/>
  <c r="M93" i="109" s="1"/>
  <c r="I91" i="110"/>
  <c r="I97" i="110"/>
  <c r="I99" i="109"/>
  <c r="K99" i="109" s="1"/>
  <c r="I105" i="109"/>
  <c r="K105" i="109" s="1"/>
  <c r="I103" i="110"/>
  <c r="I109" i="110"/>
  <c r="I111" i="109"/>
  <c r="K111" i="109" s="1"/>
  <c r="M111" i="109" s="1"/>
  <c r="I99" i="110"/>
  <c r="I101" i="109"/>
  <c r="K101" i="109" s="1"/>
  <c r="M101" i="109" s="1"/>
  <c r="I57" i="110"/>
  <c r="I59" i="109"/>
  <c r="K59" i="109" s="1"/>
  <c r="M59" i="109" s="1"/>
  <c r="I41" i="109"/>
  <c r="K41" i="109" s="1"/>
  <c r="O41" i="109" s="1"/>
  <c r="I39" i="110"/>
  <c r="I88" i="109"/>
  <c r="K88" i="109" s="1"/>
  <c r="O88" i="109" s="1"/>
  <c r="I86" i="110"/>
  <c r="I26" i="110"/>
  <c r="I28" i="109"/>
  <c r="K28" i="109" s="1"/>
  <c r="O28" i="109" s="1"/>
  <c r="I119" i="109"/>
  <c r="K119" i="109" s="1"/>
  <c r="I117" i="110"/>
  <c r="I109" i="109"/>
  <c r="K109" i="109" s="1"/>
  <c r="I107" i="110"/>
  <c r="I113" i="110"/>
  <c r="I115" i="109"/>
  <c r="K115" i="109" s="1"/>
  <c r="O115" i="109" s="1"/>
  <c r="I119" i="110"/>
  <c r="I121" i="109"/>
  <c r="K121" i="109" s="1"/>
  <c r="M121" i="109" s="1"/>
  <c r="I44" i="109"/>
  <c r="K44" i="109" s="1"/>
  <c r="M44" i="109" s="1"/>
  <c r="I42" i="110"/>
  <c r="I115" i="110"/>
  <c r="I117" i="109"/>
  <c r="K117" i="109" s="1"/>
  <c r="O117" i="109" s="1"/>
  <c r="I75" i="109"/>
  <c r="K75" i="109" s="1"/>
  <c r="O75" i="109" s="1"/>
  <c r="I73" i="110"/>
  <c r="I62" i="110"/>
  <c r="I64" i="109"/>
  <c r="K64" i="109" s="1"/>
  <c r="M64" i="109" s="1"/>
  <c r="I114" i="109"/>
  <c r="K114" i="109" s="1"/>
  <c r="I112" i="110"/>
  <c r="I120" i="109"/>
  <c r="K120" i="109" s="1"/>
  <c r="I118" i="110"/>
  <c r="I65" i="109"/>
  <c r="K65" i="109" s="1"/>
  <c r="I63" i="110"/>
  <c r="I55" i="109"/>
  <c r="K55" i="109" s="1"/>
  <c r="I53" i="110"/>
  <c r="I106" i="110"/>
  <c r="I108" i="109"/>
  <c r="K108" i="109" s="1"/>
  <c r="O108" i="109" s="1"/>
  <c r="I52" i="110"/>
  <c r="I54" i="109"/>
  <c r="K54" i="109" s="1"/>
  <c r="M54" i="109" s="1"/>
  <c r="I81" i="109"/>
  <c r="K81" i="109" s="1"/>
  <c r="M81" i="109" s="1"/>
  <c r="I79" i="110"/>
  <c r="I58" i="110"/>
  <c r="I60" i="109"/>
  <c r="K60" i="109" s="1"/>
  <c r="M60" i="109" s="1"/>
  <c r="I13" i="110"/>
  <c r="I15" i="109"/>
  <c r="K15" i="109" s="1"/>
  <c r="I17" i="109"/>
  <c r="K17" i="109" s="1"/>
  <c r="I15" i="110"/>
  <c r="I91" i="109"/>
  <c r="K91" i="109" s="1"/>
  <c r="I89" i="110"/>
  <c r="I45" i="109"/>
  <c r="K45" i="109" s="1"/>
  <c r="M45" i="109" s="1"/>
  <c r="I43" i="110"/>
  <c r="I98" i="109"/>
  <c r="K98" i="109" s="1"/>
  <c r="M98" i="109" s="1"/>
  <c r="I96" i="110"/>
  <c r="I72" i="109"/>
  <c r="K72" i="109" s="1"/>
  <c r="M72" i="109" s="1"/>
  <c r="I70" i="110"/>
  <c r="I25" i="110"/>
  <c r="I27" i="109"/>
  <c r="K27" i="109" s="1"/>
  <c r="M27" i="109" s="1"/>
  <c r="I14" i="109"/>
  <c r="K14" i="109" s="1"/>
  <c r="O14" i="109" s="1"/>
  <c r="I12" i="110"/>
  <c r="I43" i="109"/>
  <c r="K43" i="109" s="1"/>
  <c r="I41" i="110"/>
  <c r="I39" i="109"/>
  <c r="K39" i="109" s="1"/>
  <c r="I37" i="110"/>
  <c r="I13" i="109"/>
  <c r="K13" i="109" s="1"/>
  <c r="I11" i="110"/>
  <c r="I17" i="110"/>
  <c r="I19" i="109"/>
  <c r="K19" i="109" s="1"/>
  <c r="M19" i="109" s="1"/>
  <c r="I9" i="109"/>
  <c r="K9" i="109" s="1"/>
  <c r="O9" i="109" s="1"/>
  <c r="I7" i="110"/>
  <c r="G122" i="110"/>
  <c r="G131" i="110" s="1"/>
  <c r="G149" i="110" s="1"/>
  <c r="I29" i="110"/>
  <c r="I31" i="109"/>
  <c r="K31" i="109" s="1"/>
  <c r="M31" i="109" s="1"/>
  <c r="I19" i="110"/>
  <c r="I21" i="109"/>
  <c r="K21" i="109" s="1"/>
  <c r="I105" i="110"/>
  <c r="I107" i="109"/>
  <c r="K107" i="109" s="1"/>
  <c r="I68" i="109"/>
  <c r="K68" i="109" s="1"/>
  <c r="I66" i="110"/>
  <c r="I104" i="110"/>
  <c r="I106" i="109"/>
  <c r="K106" i="109" s="1"/>
  <c r="I95" i="110"/>
  <c r="I97" i="109"/>
  <c r="K97" i="109" s="1"/>
  <c r="O97" i="109" s="1"/>
  <c r="I68" i="110"/>
  <c r="I70" i="109"/>
  <c r="K70" i="109" s="1"/>
  <c r="I66" i="109"/>
  <c r="K66" i="109" s="1"/>
  <c r="O66" i="109" s="1"/>
  <c r="I64" i="110"/>
  <c r="I29" i="109"/>
  <c r="K29" i="109" s="1"/>
  <c r="M29" i="109" s="1"/>
  <c r="I27" i="110"/>
  <c r="I33" i="110"/>
  <c r="I35" i="109"/>
  <c r="K35" i="109" s="1"/>
  <c r="M35" i="109" s="1"/>
  <c r="I25" i="109"/>
  <c r="K25" i="109" s="1"/>
  <c r="O25" i="109" s="1"/>
  <c r="I23" i="110"/>
  <c r="I47" i="109"/>
  <c r="K47" i="109" s="1"/>
  <c r="I45" i="110"/>
  <c r="I51" i="110"/>
  <c r="I53" i="109"/>
  <c r="K53" i="109" s="1"/>
  <c r="I121" i="110"/>
  <c r="I123" i="109"/>
  <c r="K123" i="109" s="1"/>
  <c r="M142" i="109"/>
  <c r="O142" i="109"/>
  <c r="M119" i="109"/>
  <c r="O119" i="109"/>
  <c r="M68" i="109"/>
  <c r="O68" i="109"/>
  <c r="M91" i="109"/>
  <c r="O91" i="109"/>
  <c r="M43" i="109"/>
  <c r="O43" i="109"/>
  <c r="M71" i="109"/>
  <c r="O71" i="109"/>
  <c r="M20" i="109"/>
  <c r="O20" i="109"/>
  <c r="M112" i="109"/>
  <c r="O112" i="109"/>
  <c r="M80" i="109"/>
  <c r="O80" i="109"/>
  <c r="M11" i="109"/>
  <c r="O11" i="109"/>
  <c r="M36" i="109"/>
  <c r="O36" i="109"/>
  <c r="M30" i="109"/>
  <c r="O30" i="109"/>
  <c r="M122" i="109"/>
  <c r="O122" i="109"/>
  <c r="M96" i="109"/>
  <c r="O96" i="109"/>
  <c r="M106" i="109"/>
  <c r="O106" i="109"/>
  <c r="M123" i="109"/>
  <c r="O123" i="109"/>
  <c r="M51" i="109"/>
  <c r="M84" i="109"/>
  <c r="O84" i="109"/>
  <c r="M63" i="109"/>
  <c r="M61" i="109"/>
  <c r="O61" i="109"/>
  <c r="M39" i="109"/>
  <c r="O39" i="109"/>
  <c r="M90" i="109"/>
  <c r="M85" i="109"/>
  <c r="O85" i="109"/>
  <c r="M50" i="109"/>
  <c r="O50" i="109"/>
  <c r="M79" i="109"/>
  <c r="O79" i="109"/>
  <c r="M41" i="109"/>
  <c r="M74" i="109"/>
  <c r="O74" i="109"/>
  <c r="M118" i="109"/>
  <c r="O118" i="109"/>
  <c r="M82" i="109"/>
  <c r="O82" i="109"/>
  <c r="M47" i="109"/>
  <c r="O47" i="109"/>
  <c r="M17" i="109"/>
  <c r="O17" i="109"/>
  <c r="M24" i="109"/>
  <c r="O24" i="109"/>
  <c r="O76" i="109"/>
  <c r="M58" i="109"/>
  <c r="M22" i="109"/>
  <c r="O22" i="109"/>
  <c r="M69" i="109"/>
  <c r="O69" i="109"/>
  <c r="M67" i="109"/>
  <c r="O67" i="109"/>
  <c r="M109" i="109"/>
  <c r="O109" i="109"/>
  <c r="M48" i="109"/>
  <c r="O48" i="109"/>
  <c r="M33" i="109"/>
  <c r="O33" i="109"/>
  <c r="M15" i="109"/>
  <c r="O15" i="109"/>
  <c r="M120" i="109"/>
  <c r="O120" i="109"/>
  <c r="M105" i="109"/>
  <c r="O105" i="109"/>
  <c r="M13" i="109"/>
  <c r="O13" i="109"/>
  <c r="M99" i="109"/>
  <c r="O99" i="109"/>
  <c r="M53" i="109"/>
  <c r="O53" i="109"/>
  <c r="M100" i="109"/>
  <c r="O100" i="109"/>
  <c r="M34" i="109"/>
  <c r="O34" i="109"/>
  <c r="M94" i="109"/>
  <c r="M65" i="109"/>
  <c r="O65" i="109"/>
  <c r="O77" i="109"/>
  <c r="M104" i="109"/>
  <c r="O104" i="109"/>
  <c r="M57" i="109"/>
  <c r="O57" i="109"/>
  <c r="M55" i="109"/>
  <c r="O55" i="109"/>
  <c r="M70" i="109"/>
  <c r="O70" i="109"/>
  <c r="M40" i="109"/>
  <c r="O40" i="109"/>
  <c r="M46" i="109"/>
  <c r="O46" i="109"/>
  <c r="O26" i="109"/>
  <c r="M107" i="109"/>
  <c r="O107" i="109"/>
  <c r="M114" i="109"/>
  <c r="O114" i="109"/>
  <c r="M110" i="109"/>
  <c r="O110" i="109"/>
  <c r="M97" i="109"/>
  <c r="M49" i="109"/>
  <c r="O49" i="109"/>
  <c r="M73" i="109"/>
  <c r="O73" i="109"/>
  <c r="M102" i="109"/>
  <c r="O102" i="109"/>
  <c r="M87" i="109"/>
  <c r="O87" i="109"/>
  <c r="M12" i="109"/>
  <c r="O12" i="109"/>
  <c r="M10" i="109"/>
  <c r="O10" i="109"/>
  <c r="M9" i="109"/>
  <c r="Q9" i="109" s="1"/>
  <c r="P9" i="109" s="1"/>
  <c r="K138" i="109"/>
  <c r="K144" i="109"/>
  <c r="K139" i="109"/>
  <c r="H16" i="52"/>
  <c r="K143" i="109"/>
  <c r="K141" i="109"/>
  <c r="F16" i="52"/>
  <c r="E16" i="52"/>
  <c r="C16" i="52"/>
  <c r="F9" i="52"/>
  <c r="F52" i="53" s="1"/>
  <c r="F54" i="53" s="1"/>
  <c r="K9" i="52"/>
  <c r="K52" i="53" s="1"/>
  <c r="K54" i="53" s="1"/>
  <c r="K140" i="109"/>
  <c r="K147" i="109"/>
  <c r="K137" i="109"/>
  <c r="O137" i="109" s="1"/>
  <c r="I149" i="109"/>
  <c r="J149" i="109"/>
  <c r="C9" i="52"/>
  <c r="C52" i="53" s="1"/>
  <c r="C54" i="53" s="1"/>
  <c r="K148" i="109"/>
  <c r="B16" i="52"/>
  <c r="L16" i="52"/>
  <c r="H9" i="52"/>
  <c r="H52" i="53" s="1"/>
  <c r="H54" i="53" s="1"/>
  <c r="K145" i="109"/>
  <c r="D16" i="52"/>
  <c r="D9" i="52"/>
  <c r="D52" i="53" s="1"/>
  <c r="D54" i="53" s="1"/>
  <c r="G16" i="52"/>
  <c r="J9" i="52"/>
  <c r="J52" i="53" s="1"/>
  <c r="J54" i="53" s="1"/>
  <c r="K146" i="109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M135" i="109"/>
  <c r="Q135" i="109" s="1"/>
  <c r="P135" i="109" s="1"/>
  <c r="L33" i="87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3" i="103"/>
  <c r="F43" i="104"/>
  <c r="F44" i="104" s="1"/>
  <c r="F49" i="104"/>
  <c r="E52" i="103"/>
  <c r="D51" i="103"/>
  <c r="F58" i="103"/>
  <c r="B54" i="53"/>
  <c r="S33" i="87"/>
  <c r="M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J20" i="92" l="1"/>
  <c r="K17" i="92" s="1"/>
  <c r="J27" i="92"/>
  <c r="K24" i="92" s="1"/>
  <c r="H34" i="92"/>
  <c r="I31" i="92" s="1"/>
  <c r="J41" i="92"/>
  <c r="K38" i="92" s="1"/>
  <c r="J48" i="92"/>
  <c r="K45" i="92" s="1"/>
  <c r="I55" i="92"/>
  <c r="J52" i="92" s="1"/>
  <c r="O31" i="109"/>
  <c r="O81" i="109"/>
  <c r="O23" i="109"/>
  <c r="O86" i="109"/>
  <c r="M115" i="109"/>
  <c r="M88" i="109"/>
  <c r="O93" i="109"/>
  <c r="Q93" i="109" s="1"/>
  <c r="P93" i="109" s="1"/>
  <c r="O83" i="109"/>
  <c r="O95" i="109"/>
  <c r="O38" i="109"/>
  <c r="Q38" i="109" s="1"/>
  <c r="P38" i="109" s="1"/>
  <c r="O16" i="109"/>
  <c r="O19" i="109"/>
  <c r="O121" i="109"/>
  <c r="Q121" i="109" s="1"/>
  <c r="P121" i="109" s="1"/>
  <c r="O32" i="109"/>
  <c r="Q32" i="109" s="1"/>
  <c r="P32" i="109" s="1"/>
  <c r="M66" i="109"/>
  <c r="M108" i="109"/>
  <c r="Q108" i="109" s="1"/>
  <c r="P108" i="109" s="1"/>
  <c r="O18" i="109"/>
  <c r="M78" i="109"/>
  <c r="O42" i="109"/>
  <c r="O92" i="109"/>
  <c r="O101" i="109"/>
  <c r="O62" i="109"/>
  <c r="O89" i="109"/>
  <c r="O52" i="109"/>
  <c r="O111" i="109"/>
  <c r="M117" i="109"/>
  <c r="Q117" i="109" s="1"/>
  <c r="P117" i="109" s="1"/>
  <c r="O44" i="109"/>
  <c r="Q44" i="109" s="1"/>
  <c r="P44" i="109" s="1"/>
  <c r="O54" i="109"/>
  <c r="Q54" i="109" s="1"/>
  <c r="P54" i="109" s="1"/>
  <c r="M75" i="109"/>
  <c r="Q75" i="109" s="1"/>
  <c r="P75" i="109" s="1"/>
  <c r="O60" i="109"/>
  <c r="Q60" i="109" s="1"/>
  <c r="P60" i="109" s="1"/>
  <c r="M25" i="109"/>
  <c r="Q25" i="109" s="1"/>
  <c r="P25" i="109" s="1"/>
  <c r="I122" i="110"/>
  <c r="I131" i="110" s="1"/>
  <c r="I149" i="110" s="1"/>
  <c r="O35" i="109"/>
  <c r="K124" i="109"/>
  <c r="K133" i="109" s="1"/>
  <c r="O45" i="109"/>
  <c r="Q45" i="109" s="1"/>
  <c r="P45" i="109" s="1"/>
  <c r="M28" i="109"/>
  <c r="Q28" i="109" s="1"/>
  <c r="P28" i="109" s="1"/>
  <c r="M14" i="109"/>
  <c r="O56" i="109"/>
  <c r="Q56" i="109" s="1"/>
  <c r="P56" i="109" s="1"/>
  <c r="O113" i="109"/>
  <c r="Q113" i="109" s="1"/>
  <c r="P113" i="109" s="1"/>
  <c r="O72" i="109"/>
  <c r="Q72" i="109" s="1"/>
  <c r="P72" i="109" s="1"/>
  <c r="O103" i="109"/>
  <c r="Q103" i="109" s="1"/>
  <c r="P103" i="109" s="1"/>
  <c r="O27" i="109"/>
  <c r="Q27" i="109" s="1"/>
  <c r="P27" i="109" s="1"/>
  <c r="O59" i="109"/>
  <c r="Q59" i="109" s="1"/>
  <c r="P59" i="109" s="1"/>
  <c r="I124" i="109"/>
  <c r="I133" i="109" s="1"/>
  <c r="I154" i="109" s="1"/>
  <c r="O37" i="109"/>
  <c r="Q37" i="109" s="1"/>
  <c r="P37" i="109" s="1"/>
  <c r="O98" i="109"/>
  <c r="Q98" i="109" s="1"/>
  <c r="P98" i="109" s="1"/>
  <c r="O116" i="109"/>
  <c r="Q116" i="109" s="1"/>
  <c r="P116" i="109" s="1"/>
  <c r="O64" i="109"/>
  <c r="Q64" i="109" s="1"/>
  <c r="P64" i="109" s="1"/>
  <c r="O29" i="109"/>
  <c r="M145" i="109"/>
  <c r="O145" i="109"/>
  <c r="M139" i="109"/>
  <c r="O139" i="109"/>
  <c r="M138" i="109"/>
  <c r="O138" i="109"/>
  <c r="M143" i="109"/>
  <c r="O143" i="109"/>
  <c r="M144" i="109"/>
  <c r="O144" i="109"/>
  <c r="M141" i="109"/>
  <c r="O141" i="109"/>
  <c r="M146" i="109"/>
  <c r="O146" i="109"/>
  <c r="M148" i="109"/>
  <c r="O148" i="109"/>
  <c r="M140" i="109"/>
  <c r="O140" i="109"/>
  <c r="M147" i="109"/>
  <c r="O147" i="109"/>
  <c r="Q142" i="109"/>
  <c r="P142" i="109" s="1"/>
  <c r="Q53" i="109"/>
  <c r="P53" i="109" s="1"/>
  <c r="Q15" i="109"/>
  <c r="P15" i="109" s="1"/>
  <c r="Q58" i="109"/>
  <c r="P58" i="109" s="1"/>
  <c r="Q47" i="109"/>
  <c r="P47" i="109" s="1"/>
  <c r="Q79" i="109"/>
  <c r="P79" i="109" s="1"/>
  <c r="Q63" i="109"/>
  <c r="P63" i="109" s="1"/>
  <c r="Q18" i="109"/>
  <c r="P18" i="109" s="1"/>
  <c r="Q66" i="109"/>
  <c r="P66" i="109" s="1"/>
  <c r="Q20" i="109"/>
  <c r="P20" i="109" s="1"/>
  <c r="Q35" i="109"/>
  <c r="P35" i="109" s="1"/>
  <c r="Q42" i="109"/>
  <c r="P42" i="109" s="1"/>
  <c r="Q33" i="109"/>
  <c r="P33" i="109" s="1"/>
  <c r="Q76" i="109"/>
  <c r="P76" i="109" s="1"/>
  <c r="Q81" i="109"/>
  <c r="P81" i="109" s="1"/>
  <c r="Q50" i="109"/>
  <c r="P50" i="109" s="1"/>
  <c r="Q14" i="109"/>
  <c r="P14" i="109" s="1"/>
  <c r="Q101" i="109"/>
  <c r="P101" i="109" s="1"/>
  <c r="Q36" i="109"/>
  <c r="P36" i="109" s="1"/>
  <c r="Q71" i="109"/>
  <c r="P71" i="109" s="1"/>
  <c r="Q111" i="109"/>
  <c r="P111" i="109" s="1"/>
  <c r="Q52" i="109"/>
  <c r="P52" i="109" s="1"/>
  <c r="Q16" i="109"/>
  <c r="P16" i="109" s="1"/>
  <c r="Q89" i="109"/>
  <c r="P89" i="109" s="1"/>
  <c r="Q82" i="109"/>
  <c r="P82" i="109" s="1"/>
  <c r="Q12" i="109"/>
  <c r="P12" i="109" s="1"/>
  <c r="Q49" i="109"/>
  <c r="P49" i="109" s="1"/>
  <c r="Q65" i="109"/>
  <c r="P65" i="109" s="1"/>
  <c r="Q99" i="109"/>
  <c r="P99" i="109" s="1"/>
  <c r="Q109" i="109"/>
  <c r="P109" i="109" s="1"/>
  <c r="Q29" i="109"/>
  <c r="P29" i="109" s="1"/>
  <c r="Q118" i="109"/>
  <c r="P118" i="109" s="1"/>
  <c r="Q84" i="109"/>
  <c r="P84" i="109" s="1"/>
  <c r="Q122" i="109"/>
  <c r="P122" i="109" s="1"/>
  <c r="Q11" i="109"/>
  <c r="P11" i="109" s="1"/>
  <c r="Q85" i="109"/>
  <c r="P85" i="109" s="1"/>
  <c r="Q46" i="109"/>
  <c r="P46" i="109" s="1"/>
  <c r="Q97" i="109"/>
  <c r="P97" i="109" s="1"/>
  <c r="Q40" i="109"/>
  <c r="P40" i="109" s="1"/>
  <c r="Q94" i="109"/>
  <c r="P94" i="109" s="1"/>
  <c r="Q13" i="109"/>
  <c r="P13" i="109" s="1"/>
  <c r="Q67" i="109"/>
  <c r="P67" i="109" s="1"/>
  <c r="Q24" i="109"/>
  <c r="P24" i="109" s="1"/>
  <c r="Q74" i="109"/>
  <c r="P74" i="109" s="1"/>
  <c r="Q90" i="109"/>
  <c r="P90" i="109" s="1"/>
  <c r="Q51" i="109"/>
  <c r="P51" i="109" s="1"/>
  <c r="Q30" i="109"/>
  <c r="P30" i="109" s="1"/>
  <c r="Q78" i="109"/>
  <c r="P78" i="109" s="1"/>
  <c r="Q115" i="109"/>
  <c r="P115" i="109" s="1"/>
  <c r="Q26" i="109"/>
  <c r="P26" i="109" s="1"/>
  <c r="Q77" i="109"/>
  <c r="P77" i="109" s="1"/>
  <c r="Q110" i="109"/>
  <c r="P110" i="109" s="1"/>
  <c r="Q70" i="109"/>
  <c r="P70" i="109" s="1"/>
  <c r="Q34" i="109"/>
  <c r="P34" i="109" s="1"/>
  <c r="Q105" i="109"/>
  <c r="P105" i="109" s="1"/>
  <c r="Q69" i="109"/>
  <c r="P69" i="109" s="1"/>
  <c r="Q92" i="109"/>
  <c r="P92" i="109" s="1"/>
  <c r="Q123" i="109"/>
  <c r="P123" i="109" s="1"/>
  <c r="Q62" i="109"/>
  <c r="P62" i="109" s="1"/>
  <c r="Q83" i="109"/>
  <c r="P83" i="109" s="1"/>
  <c r="Q91" i="109"/>
  <c r="P91" i="109" s="1"/>
  <c r="Q88" i="109"/>
  <c r="P88" i="109" s="1"/>
  <c r="Q114" i="109"/>
  <c r="P114" i="109" s="1"/>
  <c r="Q55" i="109"/>
  <c r="P55" i="109" s="1"/>
  <c r="Q19" i="109"/>
  <c r="P19" i="109" s="1"/>
  <c r="Q23" i="109"/>
  <c r="P23" i="109" s="1"/>
  <c r="Q86" i="109"/>
  <c r="P86" i="109" s="1"/>
  <c r="Q17" i="109"/>
  <c r="P17" i="109" s="1"/>
  <c r="Q39" i="109"/>
  <c r="P39" i="109" s="1"/>
  <c r="Q106" i="109"/>
  <c r="P106" i="109" s="1"/>
  <c r="Q80" i="109"/>
  <c r="P80" i="109" s="1"/>
  <c r="Q68" i="109"/>
  <c r="P68" i="109" s="1"/>
  <c r="Q104" i="109"/>
  <c r="P104" i="109" s="1"/>
  <c r="Q87" i="109"/>
  <c r="P87" i="109" s="1"/>
  <c r="Q102" i="109"/>
  <c r="P102" i="109" s="1"/>
  <c r="Q48" i="109"/>
  <c r="P48" i="109" s="1"/>
  <c r="M21" i="109"/>
  <c r="O21" i="109"/>
  <c r="Q10" i="109"/>
  <c r="P10" i="109" s="1"/>
  <c r="Q73" i="109"/>
  <c r="P73" i="109" s="1"/>
  <c r="Q107" i="109"/>
  <c r="P107" i="109" s="1"/>
  <c r="Q57" i="109"/>
  <c r="P57" i="109" s="1"/>
  <c r="Q100" i="109"/>
  <c r="P100" i="109" s="1"/>
  <c r="Q120" i="109"/>
  <c r="P120" i="109" s="1"/>
  <c r="Q22" i="109"/>
  <c r="P22" i="109" s="1"/>
  <c r="Q31" i="109"/>
  <c r="P31" i="109" s="1"/>
  <c r="Q41" i="109"/>
  <c r="P41" i="109" s="1"/>
  <c r="Q61" i="109"/>
  <c r="P61" i="109" s="1"/>
  <c r="Q96" i="109"/>
  <c r="P96" i="109" s="1"/>
  <c r="Q95" i="109"/>
  <c r="P95" i="109" s="1"/>
  <c r="Q112" i="109"/>
  <c r="P112" i="109" s="1"/>
  <c r="Q43" i="109"/>
  <c r="P43" i="109" s="1"/>
  <c r="Q119" i="109"/>
  <c r="P119" i="109" s="1"/>
  <c r="J156" i="109"/>
  <c r="J151" i="109"/>
  <c r="I156" i="109"/>
  <c r="M137" i="109"/>
  <c r="K149" i="109"/>
  <c r="N54" i="53"/>
  <c r="N52" i="53"/>
  <c r="Q27" i="89"/>
  <c r="Q14" i="89"/>
  <c r="E53" i="103"/>
  <c r="E43" i="104"/>
  <c r="E44" i="104" s="1"/>
  <c r="E49" i="104" s="1"/>
  <c r="C51" i="103"/>
  <c r="E58" i="103"/>
  <c r="T12" i="86"/>
  <c r="K20" i="92" l="1"/>
  <c r="L17" i="92" s="1"/>
  <c r="K27" i="92"/>
  <c r="L24" i="92" s="1"/>
  <c r="I34" i="92"/>
  <c r="J31" i="92" s="1"/>
  <c r="K41" i="92"/>
  <c r="L38" i="92" s="1"/>
  <c r="K48" i="92"/>
  <c r="L45" i="92" s="1"/>
  <c r="J55" i="92"/>
  <c r="K52" i="92" s="1"/>
  <c r="I151" i="109"/>
  <c r="M124" i="109"/>
  <c r="M133" i="109" s="1"/>
  <c r="L133" i="109" s="1"/>
  <c r="O124" i="109"/>
  <c r="O133" i="109" s="1"/>
  <c r="O151" i="109" s="1"/>
  <c r="K151" i="109"/>
  <c r="O149" i="109"/>
  <c r="Q148" i="109"/>
  <c r="P148" i="109" s="1"/>
  <c r="M149" i="109"/>
  <c r="M151" i="109" s="1"/>
  <c r="L151" i="109" s="1"/>
  <c r="Q137" i="109"/>
  <c r="P137" i="109" s="1"/>
  <c r="Q146" i="109"/>
  <c r="P146" i="109" s="1"/>
  <c r="Q141" i="109"/>
  <c r="P141" i="109" s="1"/>
  <c r="Q144" i="109"/>
  <c r="P144" i="109" s="1"/>
  <c r="Q143" i="109"/>
  <c r="P143" i="109" s="1"/>
  <c r="Q138" i="109"/>
  <c r="P138" i="109" s="1"/>
  <c r="Q147" i="109"/>
  <c r="P147" i="109" s="1"/>
  <c r="Q139" i="109"/>
  <c r="P139" i="109" s="1"/>
  <c r="Q140" i="109"/>
  <c r="P140" i="109" s="1"/>
  <c r="Q145" i="109"/>
  <c r="P145" i="109" s="1"/>
  <c r="Q21" i="109"/>
  <c r="N53" i="53"/>
  <c r="C53" i="104"/>
  <c r="C56" i="104"/>
  <c r="D53" i="104"/>
  <c r="C62" i="103"/>
  <c r="O51" i="103"/>
  <c r="L20" i="92" l="1"/>
  <c r="M17" i="92" s="1"/>
  <c r="L27" i="92"/>
  <c r="M24" i="92" s="1"/>
  <c r="J34" i="92"/>
  <c r="K31" i="92" s="1"/>
  <c r="L41" i="92"/>
  <c r="M38" i="92" s="1"/>
  <c r="L48" i="92"/>
  <c r="M45" i="92" s="1"/>
  <c r="K55" i="92"/>
  <c r="L52" i="92" s="1"/>
  <c r="N32" i="111"/>
  <c r="E32" i="111"/>
  <c r="H32" i="111"/>
  <c r="F32" i="111"/>
  <c r="D32" i="111"/>
  <c r="G32" i="111"/>
  <c r="M32" i="111"/>
  <c r="J32" i="111"/>
  <c r="K32" i="111"/>
  <c r="I32" i="111"/>
  <c r="L32" i="111"/>
  <c r="E15" i="111"/>
  <c r="I15" i="111"/>
  <c r="D15" i="111"/>
  <c r="J15" i="111"/>
  <c r="K15" i="111"/>
  <c r="L15" i="111"/>
  <c r="M15" i="111"/>
  <c r="N15" i="111"/>
  <c r="C15" i="111"/>
  <c r="F15" i="111"/>
  <c r="G15" i="111"/>
  <c r="H15" i="111"/>
  <c r="L124" i="109"/>
  <c r="Q124" i="109"/>
  <c r="Q133" i="109" s="1"/>
  <c r="P133" i="109" s="1"/>
  <c r="P21" i="109"/>
  <c r="L149" i="109"/>
  <c r="Q149" i="109"/>
  <c r="D56" i="104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C65" i="103"/>
  <c r="C52" i="103" s="1"/>
  <c r="D62" i="103"/>
  <c r="M20" i="92" l="1"/>
  <c r="N17" i="92" s="1"/>
  <c r="N20" i="92" s="1"/>
  <c r="M27" i="92"/>
  <c r="N24" i="92" s="1"/>
  <c r="N27" i="92" s="1"/>
  <c r="K34" i="92"/>
  <c r="L31" i="92" s="1"/>
  <c r="M41" i="92"/>
  <c r="N38" i="92" s="1"/>
  <c r="N41" i="92" s="1"/>
  <c r="M48" i="92"/>
  <c r="N45" i="92" s="1"/>
  <c r="N48" i="92" s="1"/>
  <c r="L55" i="92"/>
  <c r="M52" i="92" s="1"/>
  <c r="C32" i="111"/>
  <c r="O29" i="111"/>
  <c r="O32" i="111" s="1"/>
  <c r="Q32" i="111" s="1"/>
  <c r="D17" i="111"/>
  <c r="D18" i="111" s="1"/>
  <c r="E17" i="111"/>
  <c r="F17" i="111"/>
  <c r="F18" i="111" s="1"/>
  <c r="L17" i="111"/>
  <c r="M17" i="111"/>
  <c r="J17" i="111"/>
  <c r="J18" i="111" s="1"/>
  <c r="N17" i="111"/>
  <c r="K17" i="111"/>
  <c r="I17" i="111"/>
  <c r="I18" i="111" s="1"/>
  <c r="H17" i="111"/>
  <c r="C17" i="111"/>
  <c r="C18" i="111" s="1"/>
  <c r="G17" i="111"/>
  <c r="G18" i="111" s="1"/>
  <c r="O15" i="111"/>
  <c r="D25" i="111"/>
  <c r="F25" i="111"/>
  <c r="J25" i="111"/>
  <c r="I25" i="111"/>
  <c r="G25" i="111"/>
  <c r="M25" i="111"/>
  <c r="E25" i="111"/>
  <c r="E18" i="111"/>
  <c r="P124" i="109"/>
  <c r="Q151" i="109"/>
  <c r="P151" i="109" s="1"/>
  <c r="P149" i="109"/>
  <c r="C53" i="103"/>
  <c r="C43" i="104"/>
  <c r="D65" i="103"/>
  <c r="D52" i="103" s="1"/>
  <c r="D43" i="104" s="1"/>
  <c r="D44" i="104" s="1"/>
  <c r="D49" i="104" s="1"/>
  <c r="E62" i="103"/>
  <c r="F62" i="103" s="1"/>
  <c r="G62" i="103" s="1"/>
  <c r="H62" i="103" s="1"/>
  <c r="I62" i="103" s="1"/>
  <c r="J62" i="103" s="1"/>
  <c r="K62" i="103" s="1"/>
  <c r="L62" i="103" s="1"/>
  <c r="M62" i="103" s="1"/>
  <c r="N62" i="103" s="1"/>
  <c r="C63" i="103"/>
  <c r="L34" i="92" l="1"/>
  <c r="M31" i="92" s="1"/>
  <c r="M55" i="92"/>
  <c r="N52" i="92" s="1"/>
  <c r="N55" i="92" s="1"/>
  <c r="L18" i="111"/>
  <c r="N18" i="111"/>
  <c r="L25" i="111"/>
  <c r="K18" i="111"/>
  <c r="O22" i="111"/>
  <c r="O24" i="111"/>
  <c r="O17" i="111"/>
  <c r="O18" i="111" s="1"/>
  <c r="Q18" i="111" s="1"/>
  <c r="N25" i="111"/>
  <c r="H25" i="111"/>
  <c r="H18" i="111"/>
  <c r="K25" i="111"/>
  <c r="M18" i="11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C44" i="104"/>
  <c r="C49" i="104" s="1"/>
  <c r="O49" i="104" s="1"/>
  <c r="C54" i="104"/>
  <c r="O43" i="104"/>
  <c r="D21" i="105" s="1"/>
  <c r="O52" i="103"/>
  <c r="D53" i="103"/>
  <c r="C58" i="103"/>
  <c r="D63" i="103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D25" i="106" l="1"/>
  <c r="D28" i="108"/>
  <c r="O44" i="104"/>
  <c r="M34" i="92"/>
  <c r="N31" i="92" s="1"/>
  <c r="N34" i="92" s="1"/>
  <c r="C25" i="111"/>
  <c r="O25" i="111"/>
  <c r="Q25" i="111" s="1"/>
  <c r="O56" i="103"/>
  <c r="D57" i="103"/>
  <c r="O53" i="103"/>
  <c r="D29" i="108" l="1"/>
  <c r="D26" i="106"/>
  <c r="D42" i="108"/>
  <c r="E42" i="108" s="1"/>
  <c r="E28" i="108"/>
  <c r="D39" i="106"/>
  <c r="D22" i="105"/>
  <c r="D43" i="108"/>
  <c r="D38" i="106"/>
  <c r="E38" i="106" s="1"/>
  <c r="E25" i="106"/>
  <c r="O25" i="104"/>
  <c r="D26" i="104"/>
  <c r="D58" i="103"/>
  <c r="O58" i="103" s="1"/>
  <c r="O57" i="103"/>
  <c r="D23" i="108" l="1"/>
  <c r="D20" i="106"/>
  <c r="D45" i="108"/>
  <c r="D46" i="108"/>
  <c r="D41" i="106"/>
  <c r="D42" i="106"/>
  <c r="O26" i="104"/>
  <c r="C36" i="108" l="1"/>
  <c r="C33" i="106"/>
  <c r="D22" i="106"/>
  <c r="D23" i="106"/>
  <c r="C13" i="106" s="1"/>
  <c r="C35" i="106" l="1"/>
  <c r="E33" i="106"/>
  <c r="C36" i="106"/>
  <c r="E35" i="117"/>
  <c r="E36" i="117" s="1"/>
  <c r="E36" i="118"/>
  <c r="C15" i="108"/>
  <c r="C14" i="106"/>
  <c r="D29" i="106"/>
  <c r="D44" i="106" s="1"/>
  <c r="D28" i="106"/>
  <c r="E36" i="108"/>
  <c r="C40" i="108"/>
  <c r="C39" i="108"/>
  <c r="E13" i="117" l="1"/>
  <c r="F39" i="116"/>
  <c r="C37" i="116"/>
  <c r="H38" i="116"/>
  <c r="M39" i="116"/>
  <c r="L39" i="116"/>
  <c r="G39" i="116"/>
  <c r="M38" i="116"/>
  <c r="L38" i="116"/>
  <c r="I38" i="116"/>
  <c r="K38" i="116"/>
  <c r="J39" i="116"/>
  <c r="G38" i="116"/>
  <c r="H39" i="116"/>
  <c r="N39" i="116"/>
  <c r="E38" i="116"/>
  <c r="C38" i="116"/>
  <c r="E39" i="116"/>
  <c r="J38" i="116"/>
  <c r="D38" i="116"/>
  <c r="D39" i="116"/>
  <c r="F38" i="116"/>
  <c r="I39" i="116"/>
  <c r="N38" i="116"/>
  <c r="C39" i="116"/>
  <c r="O39" i="116" s="1"/>
  <c r="M13" i="117" s="1"/>
  <c r="K39" i="116"/>
  <c r="E17" i="117"/>
  <c r="E39" i="108"/>
  <c r="E40" i="108"/>
  <c r="C40" i="116" l="1"/>
  <c r="D37" i="116" s="1"/>
  <c r="D40" i="116" s="1"/>
  <c r="E37" i="116" s="1"/>
  <c r="E40" i="116" s="1"/>
  <c r="F37" i="116" s="1"/>
  <c r="F40" i="116" s="1"/>
  <c r="G37" i="116" s="1"/>
  <c r="G40" i="116" s="1"/>
  <c r="H37" i="116" s="1"/>
  <c r="H40" i="116" s="1"/>
  <c r="I37" i="116" s="1"/>
  <c r="I40" i="116" s="1"/>
  <c r="J37" i="116" s="1"/>
  <c r="J40" i="116" s="1"/>
  <c r="K37" i="116" s="1"/>
  <c r="K40" i="116" s="1"/>
  <c r="L37" i="116" s="1"/>
  <c r="L40" i="116" s="1"/>
  <c r="M37" i="116" s="1"/>
  <c r="M40" i="116" s="1"/>
  <c r="N37" i="116" s="1"/>
  <c r="N40" i="116" s="1"/>
  <c r="M17" i="117"/>
  <c r="F17" i="117"/>
  <c r="O38" i="116"/>
  <c r="F13" i="117"/>
  <c r="E15" i="117"/>
  <c r="E19" i="117" l="1"/>
  <c r="F19" i="117" s="1"/>
  <c r="F15" i="117"/>
  <c r="M10" i="117"/>
  <c r="E37" i="117"/>
  <c r="E38" i="117" s="1"/>
  <c r="E40" i="117" s="1"/>
  <c r="M11" i="117" l="1"/>
  <c r="N10" i="117"/>
  <c r="N9" i="117" l="1"/>
  <c r="N8" i="117"/>
  <c r="M15" i="117"/>
  <c r="N11" i="117"/>
  <c r="N13" i="117"/>
  <c r="N17" i="117"/>
  <c r="N15" i="117" l="1"/>
  <c r="M19" i="117"/>
  <c r="N19" i="117" s="1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N26" i="89" s="1"/>
  <c r="L18" i="52"/>
  <c r="M26" i="89" s="1"/>
  <c r="K18" i="52"/>
  <c r="L26" i="89" s="1"/>
  <c r="J18" i="52"/>
  <c r="K26" i="89" s="1"/>
  <c r="I18" i="52"/>
  <c r="J26" i="89" s="1"/>
  <c r="H18" i="52"/>
  <c r="I26" i="89" s="1"/>
  <c r="G18" i="52"/>
  <c r="H26" i="89" s="1"/>
  <c r="F18" i="52"/>
  <c r="G26" i="89" s="1"/>
  <c r="E18" i="52"/>
  <c r="F26" i="89" s="1"/>
  <c r="D18" i="52"/>
  <c r="E26" i="89" s="1"/>
  <c r="C18" i="52"/>
  <c r="D26" i="89" s="1"/>
  <c r="B18" i="52"/>
  <c r="C26" i="89" s="1"/>
  <c r="C11" i="52"/>
  <c r="D13" i="89" s="1"/>
  <c r="D11" i="52"/>
  <c r="E13" i="89" s="1"/>
  <c r="E11" i="52"/>
  <c r="F13" i="89" s="1"/>
  <c r="F11" i="52"/>
  <c r="G13" i="89" s="1"/>
  <c r="G11" i="52"/>
  <c r="H13" i="89" s="1"/>
  <c r="H11" i="52"/>
  <c r="I13" i="89" s="1"/>
  <c r="I11" i="52"/>
  <c r="J13" i="89" s="1"/>
  <c r="J11" i="52"/>
  <c r="K13" i="89" s="1"/>
  <c r="K11" i="52"/>
  <c r="L13" i="89" s="1"/>
  <c r="L11" i="52"/>
  <c r="M13" i="89" s="1"/>
  <c r="M11" i="52"/>
  <c r="N13" i="89" s="1"/>
  <c r="N8" i="52"/>
  <c r="N9" i="52"/>
  <c r="B11" i="52"/>
  <c r="C13" i="89" s="1"/>
  <c r="C14" i="89" s="1"/>
  <c r="E33" i="51" l="1"/>
  <c r="C27" i="89"/>
  <c r="D25" i="89" s="1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O26" i="89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42" i="93"/>
  <c r="K39" i="93"/>
  <c r="K42" i="93" s="1"/>
  <c r="R23" i="51"/>
  <c r="R11" i="93"/>
  <c r="O18" i="93"/>
  <c r="Q15" i="93"/>
  <c r="Q18" i="93" s="1"/>
  <c r="P18" i="93" s="1"/>
  <c r="R45" i="93"/>
  <c r="R36" i="93"/>
  <c r="T33" i="93"/>
  <c r="E39" i="93"/>
  <c r="U39" i="93"/>
  <c r="C42" i="93"/>
  <c r="O23" i="51"/>
  <c r="O11" i="93"/>
  <c r="N11" i="93"/>
  <c r="N23" i="93" s="1"/>
  <c r="L23" i="93"/>
  <c r="L24" i="93" s="1"/>
  <c r="U17" i="93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C36" i="93" s="1"/>
  <c r="N15" i="93"/>
  <c r="N18" i="93" s="1"/>
  <c r="L18" i="93"/>
  <c r="F46" i="51"/>
  <c r="F48" i="51" s="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E33" i="93"/>
  <c r="C45" i="93"/>
  <c r="U16" i="93"/>
  <c r="Y40" i="93" s="1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N10" i="93"/>
  <c r="N22" i="93" s="1"/>
  <c r="L22" i="93"/>
  <c r="R42" i="93"/>
  <c r="T39" i="93"/>
  <c r="T42" i="93" s="1"/>
  <c r="E15" i="93"/>
  <c r="U15" i="93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U33" i="93" s="1"/>
  <c r="Q35" i="93"/>
  <c r="Q47" i="93" s="1"/>
  <c r="O47" i="93"/>
  <c r="L42" i="93"/>
  <c r="N39" i="93"/>
  <c r="N42" i="93" s="1"/>
  <c r="M42" i="93" s="1"/>
  <c r="U40" i="93"/>
  <c r="E40" i="93"/>
  <c r="R22" i="93"/>
  <c r="T10" i="93"/>
  <c r="T22" i="93" s="1"/>
  <c r="S22" i="93" s="1"/>
  <c r="H11" i="93"/>
  <c r="H23" i="93" s="1"/>
  <c r="F23" i="93"/>
  <c r="F22" i="93"/>
  <c r="H10" i="93"/>
  <c r="H22" i="93" s="1"/>
  <c r="G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I48" i="51" s="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Q21" i="51" s="1"/>
  <c r="O12" i="51"/>
  <c r="N54" i="54"/>
  <c r="I56" i="54"/>
  <c r="L42" i="51"/>
  <c r="L12" i="51"/>
  <c r="T40" i="51"/>
  <c r="O18" i="51"/>
  <c r="I36" i="51"/>
  <c r="K11" i="51"/>
  <c r="N11" i="52"/>
  <c r="H10" i="51"/>
  <c r="H22" i="51" s="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Y41" i="93" l="1"/>
  <c r="F24" i="51"/>
  <c r="H45" i="51"/>
  <c r="G45" i="51" s="1"/>
  <c r="I24" i="93"/>
  <c r="J23" i="93"/>
  <c r="P22" i="93"/>
  <c r="U18" i="93"/>
  <c r="J42" i="93"/>
  <c r="V16" i="93"/>
  <c r="W15" i="93"/>
  <c r="E18" i="93"/>
  <c r="D18" i="93" s="1"/>
  <c r="J18" i="93"/>
  <c r="V17" i="93"/>
  <c r="AA41" i="93"/>
  <c r="Z41" i="93" s="1"/>
  <c r="M47" i="93"/>
  <c r="P42" i="93"/>
  <c r="S42" i="93"/>
  <c r="F46" i="93"/>
  <c r="H34" i="93"/>
  <c r="H46" i="93" s="1"/>
  <c r="T21" i="93"/>
  <c r="M23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E34" i="93"/>
  <c r="U34" i="93"/>
  <c r="Y34" i="93" s="1"/>
  <c r="E23" i="93"/>
  <c r="F45" i="93"/>
  <c r="F36" i="93"/>
  <c r="H33" i="93"/>
  <c r="I36" i="93"/>
  <c r="K33" i="93"/>
  <c r="I45" i="93"/>
  <c r="Y39" i="93"/>
  <c r="Y42" i="93" s="1"/>
  <c r="E12" i="93"/>
  <c r="W10" i="93"/>
  <c r="E22" i="93"/>
  <c r="E42" i="93"/>
  <c r="D42" i="93" s="1"/>
  <c r="W40" i="93"/>
  <c r="V40" i="93" s="1"/>
  <c r="U11" i="93"/>
  <c r="F12" i="93"/>
  <c r="F21" i="93"/>
  <c r="F24" i="93" s="1"/>
  <c r="H9" i="93"/>
  <c r="W39" i="93"/>
  <c r="C12" i="93"/>
  <c r="E9" i="93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J21" i="51" s="1"/>
  <c r="O12" i="93"/>
  <c r="K34" i="93"/>
  <c r="K46" i="93" s="1"/>
  <c r="I46" i="93"/>
  <c r="U42" i="93"/>
  <c r="R48" i="93"/>
  <c r="N21" i="93"/>
  <c r="N12" i="93"/>
  <c r="M12" i="93" s="1"/>
  <c r="Q21" i="93"/>
  <c r="Q12" i="93"/>
  <c r="V41" i="93"/>
  <c r="C47" i="93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J7" i="88"/>
  <c r="J11" i="88" s="1"/>
  <c r="G7" i="88"/>
  <c r="E23" i="51"/>
  <c r="C6" i="88"/>
  <c r="B6" i="53"/>
  <c r="L48" i="51"/>
  <c r="L6" i="88"/>
  <c r="K6" i="53"/>
  <c r="C7" i="88"/>
  <c r="N45" i="51"/>
  <c r="I7" i="88"/>
  <c r="I11" i="88" s="1"/>
  <c r="H23" i="51"/>
  <c r="G23" i="51" s="1"/>
  <c r="L24" i="51"/>
  <c r="H8" i="88"/>
  <c r="H12" i="88" s="1"/>
  <c r="G6" i="88"/>
  <c r="G10" i="88" s="1"/>
  <c r="F6" i="53"/>
  <c r="Q47" i="51"/>
  <c r="P47" i="51" s="1"/>
  <c r="I6" i="88"/>
  <c r="I10" i="88" s="1"/>
  <c r="H6" i="53"/>
  <c r="K47" i="51"/>
  <c r="J47" i="51" s="1"/>
  <c r="M7" i="88"/>
  <c r="M11" i="88" s="1"/>
  <c r="L6" i="53"/>
  <c r="M6" i="88"/>
  <c r="I24" i="51"/>
  <c r="J6" i="88"/>
  <c r="J10" i="88" s="1"/>
  <c r="I6" i="53"/>
  <c r="G8" i="88"/>
  <c r="G12" i="88" s="1"/>
  <c r="F8" i="88"/>
  <c r="F12" i="88" s="1"/>
  <c r="P21" i="51"/>
  <c r="O24" i="51"/>
  <c r="C6" i="53"/>
  <c r="D6" i="88"/>
  <c r="D10" i="88" s="1"/>
  <c r="N21" i="51"/>
  <c r="M21" i="51" s="1"/>
  <c r="H21" i="51"/>
  <c r="E8" i="88"/>
  <c r="E12" i="88" s="1"/>
  <c r="F6" i="88"/>
  <c r="F10" i="88" s="1"/>
  <c r="E6" i="53"/>
  <c r="D45" i="51"/>
  <c r="C48" i="51"/>
  <c r="N47" i="51"/>
  <c r="M47" i="51" s="1"/>
  <c r="G22" i="51"/>
  <c r="J8" i="88"/>
  <c r="N8" i="88"/>
  <c r="N12" i="88" s="1"/>
  <c r="M6" i="53"/>
  <c r="N6" i="88"/>
  <c r="K23" i="51"/>
  <c r="J23" i="51" s="1"/>
  <c r="T46" i="51"/>
  <c r="T48" i="51" s="1"/>
  <c r="I8" i="88"/>
  <c r="D6" i="53"/>
  <c r="E6" i="88"/>
  <c r="L8" i="88"/>
  <c r="L12" i="88" s="1"/>
  <c r="H6" i="88"/>
  <c r="H10" i="88" s="1"/>
  <c r="G6" i="53"/>
  <c r="E46" i="51"/>
  <c r="D46" i="51" s="1"/>
  <c r="S47" i="51"/>
  <c r="H7" i="88"/>
  <c r="K8" i="88"/>
  <c r="N46" i="51"/>
  <c r="M46" i="51" s="1"/>
  <c r="L7" i="88"/>
  <c r="L11" i="88" s="1"/>
  <c r="M8" i="88"/>
  <c r="M12" i="88" s="1"/>
  <c r="S45" i="51"/>
  <c r="R48" i="51"/>
  <c r="N7" i="88"/>
  <c r="N11" i="88" s="1"/>
  <c r="N23" i="51"/>
  <c r="M23" i="51" s="1"/>
  <c r="D8" i="88"/>
  <c r="D12" i="88" s="1"/>
  <c r="T23" i="51"/>
  <c r="S23" i="51" s="1"/>
  <c r="Q45" i="51"/>
  <c r="K6" i="88"/>
  <c r="K10" i="88" s="1"/>
  <c r="J6" i="53"/>
  <c r="E7" i="88"/>
  <c r="E11" i="88" s="1"/>
  <c r="Q46" i="51"/>
  <c r="P46" i="51" s="1"/>
  <c r="K45" i="51"/>
  <c r="D7" i="88"/>
  <c r="F7" i="88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H48" i="51" l="1"/>
  <c r="G48" i="51" s="1"/>
  <c r="P22" i="51"/>
  <c r="U47" i="93"/>
  <c r="G46" i="93"/>
  <c r="Y35" i="93"/>
  <c r="P12" i="93"/>
  <c r="D12" i="93"/>
  <c r="U46" i="93"/>
  <c r="Y46" i="93" s="1"/>
  <c r="W9" i="93"/>
  <c r="V9" i="93" s="1"/>
  <c r="S21" i="93"/>
  <c r="T24" i="93"/>
  <c r="S24" i="93" s="1"/>
  <c r="E36" i="93"/>
  <c r="D36" i="93" s="1"/>
  <c r="W34" i="93"/>
  <c r="V34" i="93" s="1"/>
  <c r="E46" i="93"/>
  <c r="T12" i="93"/>
  <c r="S12" i="93" s="1"/>
  <c r="S23" i="93"/>
  <c r="P21" i="93"/>
  <c r="Q24" i="93"/>
  <c r="P24" i="93" s="1"/>
  <c r="W35" i="93"/>
  <c r="V35" i="93" s="1"/>
  <c r="H47" i="93"/>
  <c r="G47" i="93" s="1"/>
  <c r="W22" i="93"/>
  <c r="D22" i="93"/>
  <c r="U36" i="93"/>
  <c r="M21" i="93"/>
  <c r="N24" i="93"/>
  <c r="M24" i="93" s="1"/>
  <c r="S45" i="93"/>
  <c r="T48" i="93"/>
  <c r="S48" i="93" s="1"/>
  <c r="V10" i="93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K45" i="93"/>
  <c r="K36" i="93"/>
  <c r="J36" i="93" s="1"/>
  <c r="P23" i="93"/>
  <c r="U23" i="93"/>
  <c r="Y47" i="93" s="1"/>
  <c r="H36" i="93"/>
  <c r="G36" i="93" s="1"/>
  <c r="H45" i="93"/>
  <c r="W33" i="93"/>
  <c r="U45" i="93"/>
  <c r="D45" i="93"/>
  <c r="E48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K12" i="88"/>
  <c r="E9" i="88"/>
  <c r="E10" i="88"/>
  <c r="E13" i="88" s="1"/>
  <c r="J9" i="88"/>
  <c r="J12" i="88"/>
  <c r="J13" i="88" s="1"/>
  <c r="T24" i="51"/>
  <c r="S24" i="51" s="1"/>
  <c r="C10" i="88"/>
  <c r="O6" i="88"/>
  <c r="H9" i="88"/>
  <c r="H11" i="88"/>
  <c r="H13" i="88" s="1"/>
  <c r="I9" i="88"/>
  <c r="I12" i="88"/>
  <c r="I13" i="88" s="1"/>
  <c r="G9" i="88"/>
  <c r="G11" i="88"/>
  <c r="G13" i="88" s="1"/>
  <c r="S48" i="51"/>
  <c r="F9" i="88"/>
  <c r="F11" i="88"/>
  <c r="F13" i="88" s="1"/>
  <c r="N48" i="51"/>
  <c r="M48" i="51" s="1"/>
  <c r="M45" i="51"/>
  <c r="N10" i="88"/>
  <c r="N13" i="88" s="1"/>
  <c r="N9" i="88"/>
  <c r="C8" i="88"/>
  <c r="H24" i="51"/>
  <c r="G24" i="51" s="1"/>
  <c r="G21" i="51"/>
  <c r="C11" i="88"/>
  <c r="N24" i="51"/>
  <c r="M24" i="51" s="1"/>
  <c r="M10" i="88"/>
  <c r="M13" i="88" s="1"/>
  <c r="M9" i="88"/>
  <c r="D9" i="88"/>
  <c r="D11" i="88"/>
  <c r="D13" i="88" s="1"/>
  <c r="N56" i="54"/>
  <c r="N55" i="54" s="1"/>
  <c r="K7" i="88"/>
  <c r="K11" i="88" s="1"/>
  <c r="Q48" i="51"/>
  <c r="P48" i="51" s="1"/>
  <c r="P45" i="51"/>
  <c r="L10" i="88"/>
  <c r="L13" i="88" s="1"/>
  <c r="L9" i="88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W45" i="93" l="1"/>
  <c r="K13" i="88"/>
  <c r="D48" i="93"/>
  <c r="W47" i="93"/>
  <c r="V47" i="93" s="1"/>
  <c r="U48" i="93"/>
  <c r="AA34" i="93"/>
  <c r="Z34" i="93" s="1"/>
  <c r="AA42" i="93"/>
  <c r="Z42" i="93" s="1"/>
  <c r="Z39" i="93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C12" i="88"/>
  <c r="O12" i="88" s="1"/>
  <c r="O8" i="88"/>
  <c r="C9" i="88"/>
  <c r="K9" i="88"/>
  <c r="O10" i="88"/>
  <c r="O7" i="88"/>
  <c r="O11" i="88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AA47" i="93" l="1"/>
  <c r="Z47" i="93" s="1"/>
  <c r="W48" i="93"/>
  <c r="V48" i="93" s="1"/>
  <c r="V21" i="93"/>
  <c r="W24" i="93"/>
  <c r="V24" i="93" s="1"/>
  <c r="AA45" i="93"/>
  <c r="Z33" i="93"/>
  <c r="AA36" i="93"/>
  <c r="Z36" i="93" s="1"/>
  <c r="AA46" i="93"/>
  <c r="Z46" i="93" s="1"/>
  <c r="C13" i="88"/>
  <c r="P6" i="53"/>
  <c r="O9" i="88"/>
  <c r="O13" i="88"/>
  <c r="N5" i="54"/>
  <c r="P6" i="54"/>
  <c r="AA48" i="51"/>
  <c r="AA48" i="93" l="1"/>
  <c r="Z45" i="93"/>
  <c r="Z48" i="51"/>
  <c r="AA50" i="51"/>
  <c r="Z48" i="93" l="1"/>
  <c r="D12" i="89" l="1"/>
  <c r="D14" i="89" s="1"/>
  <c r="E12" i="89"/>
  <c r="E14" i="89" s="1"/>
  <c r="F12" i="89" s="1"/>
  <c r="E14" i="90" l="1"/>
  <c r="F14" i="89"/>
  <c r="G12" i="89" s="1"/>
  <c r="M14" i="90"/>
  <c r="N12" i="90" s="1"/>
  <c r="G14" i="90"/>
  <c r="F12" i="90"/>
  <c r="D14" i="90"/>
  <c r="C14" i="90"/>
  <c r="C15" i="90" s="1"/>
  <c r="C12" i="92" s="1"/>
  <c r="O13" i="90"/>
  <c r="O15" i="89"/>
  <c r="F14" i="90" l="1"/>
  <c r="G12" i="90" s="1"/>
  <c r="G14" i="89"/>
  <c r="H12" i="89" s="1"/>
  <c r="H14" i="89" s="1"/>
  <c r="I12" i="89" s="1"/>
  <c r="D10" i="92"/>
  <c r="D13" i="92" s="1"/>
  <c r="C60" i="92"/>
  <c r="D12" i="90"/>
  <c r="D15" i="90"/>
  <c r="D12" i="92" s="1"/>
  <c r="D60" i="92" s="1"/>
  <c r="G15" i="90"/>
  <c r="G12" i="92" s="1"/>
  <c r="G60" i="92" s="1"/>
  <c r="H12" i="90"/>
  <c r="E12" i="90"/>
  <c r="E15" i="90" s="1"/>
  <c r="E12" i="92" s="1"/>
  <c r="E60" i="92" s="1"/>
  <c r="F15" i="90" l="1"/>
  <c r="F12" i="92" s="1"/>
  <c r="F60" i="92" s="1"/>
  <c r="H14" i="90"/>
  <c r="I12" i="90" s="1"/>
  <c r="I14" i="89"/>
  <c r="J12" i="89" s="1"/>
  <c r="D58" i="92"/>
  <c r="E58" i="92" s="1"/>
  <c r="E10" i="92"/>
  <c r="E13" i="92" l="1"/>
  <c r="F10" i="92" s="1"/>
  <c r="F58" i="92"/>
  <c r="F61" i="92" s="1"/>
  <c r="E63" i="92"/>
  <c r="H15" i="90"/>
  <c r="H12" i="92" s="1"/>
  <c r="H60" i="92" s="1"/>
  <c r="I14" i="90"/>
  <c r="J14" i="89"/>
  <c r="K12" i="89" s="1"/>
  <c r="C72" i="96"/>
  <c r="D72" i="96"/>
  <c r="O64" i="96"/>
  <c r="Q64" i="96" s="1"/>
  <c r="C75" i="96"/>
  <c r="C78" i="96"/>
  <c r="C83" i="96" s="1"/>
  <c r="C76" i="96"/>
  <c r="C77" i="96"/>
  <c r="D76" i="96"/>
  <c r="D77" i="96"/>
  <c r="D73" i="96"/>
  <c r="D71" i="96"/>
  <c r="D74" i="96"/>
  <c r="D78" i="96"/>
  <c r="D83" i="96" s="1"/>
  <c r="C73" i="96"/>
  <c r="C74" i="96"/>
  <c r="C71" i="96"/>
  <c r="D75" i="96"/>
  <c r="F13" i="92" l="1"/>
  <c r="G10" i="92" s="1"/>
  <c r="G58" i="92"/>
  <c r="G61" i="92" s="1"/>
  <c r="F63" i="92"/>
  <c r="D81" i="96"/>
  <c r="J12" i="90"/>
  <c r="I15" i="90"/>
  <c r="I12" i="92" s="1"/>
  <c r="I60" i="92" s="1"/>
  <c r="J14" i="90"/>
  <c r="K12" i="90" s="1"/>
  <c r="K14" i="89"/>
  <c r="L12" i="89" s="1"/>
  <c r="C81" i="96"/>
  <c r="C82" i="96"/>
  <c r="D82" i="96"/>
  <c r="D84" i="96" s="1"/>
  <c r="O72" i="96"/>
  <c r="Q72" i="96" s="1"/>
  <c r="C79" i="96"/>
  <c r="C22" i="115" s="1"/>
  <c r="D79" i="96"/>
  <c r="D22" i="115" s="1"/>
  <c r="D24" i="115" s="1"/>
  <c r="D38" i="115" s="1"/>
  <c r="E74" i="96"/>
  <c r="E78" i="96"/>
  <c r="E83" i="96" s="1"/>
  <c r="E76" i="96"/>
  <c r="E75" i="96"/>
  <c r="E77" i="96"/>
  <c r="G75" i="96"/>
  <c r="K73" i="96"/>
  <c r="M75" i="96"/>
  <c r="I78" i="96"/>
  <c r="I83" i="96" s="1"/>
  <c r="J75" i="96"/>
  <c r="I75" i="96"/>
  <c r="F75" i="96"/>
  <c r="M73" i="96"/>
  <c r="I74" i="96"/>
  <c r="H76" i="96"/>
  <c r="L78" i="96"/>
  <c r="L83" i="96" s="1"/>
  <c r="H73" i="96"/>
  <c r="M76" i="96"/>
  <c r="K74" i="96"/>
  <c r="H71" i="96"/>
  <c r="J78" i="96"/>
  <c r="J83" i="96" s="1"/>
  <c r="F77" i="96"/>
  <c r="M78" i="96"/>
  <c r="M83" i="96" s="1"/>
  <c r="K75" i="96"/>
  <c r="G74" i="96"/>
  <c r="I76" i="96"/>
  <c r="J76" i="96"/>
  <c r="G77" i="96"/>
  <c r="N74" i="96"/>
  <c r="K71" i="96"/>
  <c r="K76" i="96"/>
  <c r="H75" i="96"/>
  <c r="L77" i="96"/>
  <c r="N78" i="96"/>
  <c r="N83" i="96" s="1"/>
  <c r="H77" i="96"/>
  <c r="J71" i="96"/>
  <c r="H74" i="96"/>
  <c r="F71" i="96"/>
  <c r="N71" i="96"/>
  <c r="K78" i="96"/>
  <c r="K83" i="96" s="1"/>
  <c r="F78" i="96"/>
  <c r="F83" i="96" s="1"/>
  <c r="J74" i="96"/>
  <c r="M71" i="96"/>
  <c r="G71" i="96"/>
  <c r="N76" i="96"/>
  <c r="L74" i="96"/>
  <c r="F73" i="96"/>
  <c r="I77" i="96"/>
  <c r="N73" i="96"/>
  <c r="N81" i="96" s="1"/>
  <c r="L76" i="96"/>
  <c r="H78" i="96"/>
  <c r="H83" i="96" s="1"/>
  <c r="N77" i="96"/>
  <c r="J73" i="96"/>
  <c r="M74" i="96"/>
  <c r="F76" i="96"/>
  <c r="G73" i="96"/>
  <c r="E73" i="96"/>
  <c r="L75" i="96"/>
  <c r="I71" i="96"/>
  <c r="E71" i="96"/>
  <c r="J77" i="96"/>
  <c r="L71" i="96"/>
  <c r="M77" i="96"/>
  <c r="I73" i="96"/>
  <c r="I81" i="96" s="1"/>
  <c r="O68" i="96"/>
  <c r="Q68" i="96" s="1"/>
  <c r="G76" i="96"/>
  <c r="O66" i="96"/>
  <c r="Q66" i="96" s="1"/>
  <c r="F74" i="96"/>
  <c r="O65" i="96"/>
  <c r="Q65" i="96" s="1"/>
  <c r="L73" i="96"/>
  <c r="O67" i="96"/>
  <c r="Q67" i="96" s="1"/>
  <c r="N75" i="96"/>
  <c r="O69" i="96"/>
  <c r="Q69" i="96" s="1"/>
  <c r="K77" i="96"/>
  <c r="O70" i="96"/>
  <c r="Q70" i="96" s="1"/>
  <c r="G78" i="96"/>
  <c r="G83" i="96" s="1"/>
  <c r="D31" i="121" l="1"/>
  <c r="D33" i="121" s="1"/>
  <c r="D34" i="120"/>
  <c r="D36" i="120" s="1"/>
  <c r="D34" i="119"/>
  <c r="C24" i="115"/>
  <c r="G13" i="92"/>
  <c r="H10" i="92" s="1"/>
  <c r="H13" i="92" s="1"/>
  <c r="I10" i="92" s="1"/>
  <c r="H58" i="92"/>
  <c r="H61" i="92" s="1"/>
  <c r="G63" i="92"/>
  <c r="K81" i="96"/>
  <c r="G82" i="96"/>
  <c r="L81" i="96"/>
  <c r="J15" i="90"/>
  <c r="J12" i="92" s="1"/>
  <c r="J60" i="92" s="1"/>
  <c r="K14" i="90"/>
  <c r="L14" i="89"/>
  <c r="M12" i="89" s="1"/>
  <c r="Q71" i="96"/>
  <c r="G81" i="96"/>
  <c r="G84" i="96" s="1"/>
  <c r="J81" i="96"/>
  <c r="O83" i="96"/>
  <c r="Q83" i="96" s="1"/>
  <c r="E82" i="96"/>
  <c r="M81" i="96"/>
  <c r="F82" i="96"/>
  <c r="F81" i="96"/>
  <c r="I82" i="96"/>
  <c r="I84" i="96" s="1"/>
  <c r="H81" i="96"/>
  <c r="L82" i="96"/>
  <c r="J82" i="96"/>
  <c r="E81" i="96"/>
  <c r="C84" i="96"/>
  <c r="H82" i="96"/>
  <c r="N82" i="96"/>
  <c r="N84" i="96" s="1"/>
  <c r="K82" i="96"/>
  <c r="M82" i="96"/>
  <c r="F79" i="96"/>
  <c r="F22" i="115" s="1"/>
  <c r="F24" i="115" s="1"/>
  <c r="F38" i="115" s="1"/>
  <c r="O77" i="96"/>
  <c r="Q77" i="96" s="1"/>
  <c r="O76" i="96"/>
  <c r="Q76" i="96" s="1"/>
  <c r="M79" i="96"/>
  <c r="M22" i="115" s="1"/>
  <c r="M24" i="115" s="1"/>
  <c r="M38" i="115" s="1"/>
  <c r="J79" i="96"/>
  <c r="J22" i="115" s="1"/>
  <c r="J24" i="115" s="1"/>
  <c r="J38" i="115" s="1"/>
  <c r="O78" i="96"/>
  <c r="Q78" i="96" s="1"/>
  <c r="K79" i="96"/>
  <c r="K22" i="115" s="1"/>
  <c r="K24" i="115" s="1"/>
  <c r="K38" i="115" s="1"/>
  <c r="O74" i="96"/>
  <c r="Q74" i="96" s="1"/>
  <c r="L79" i="96"/>
  <c r="L22" i="115" s="1"/>
  <c r="L24" i="115" s="1"/>
  <c r="L38" i="115" s="1"/>
  <c r="N79" i="96"/>
  <c r="N22" i="115" s="1"/>
  <c r="N24" i="115" s="1"/>
  <c r="N38" i="115" s="1"/>
  <c r="H79" i="96"/>
  <c r="H22" i="115" s="1"/>
  <c r="H24" i="115" s="1"/>
  <c r="H38" i="115" s="1"/>
  <c r="I79" i="96"/>
  <c r="I22" i="115" s="1"/>
  <c r="I24" i="115" s="1"/>
  <c r="I38" i="115" s="1"/>
  <c r="G79" i="96"/>
  <c r="G22" i="115" s="1"/>
  <c r="G24" i="115" s="1"/>
  <c r="G38" i="115" s="1"/>
  <c r="O73" i="96"/>
  <c r="Q73" i="96" s="1"/>
  <c r="O71" i="96"/>
  <c r="E79" i="96"/>
  <c r="E22" i="115" s="1"/>
  <c r="E24" i="115" s="1"/>
  <c r="E38" i="115" s="1"/>
  <c r="O75" i="96"/>
  <c r="Q75" i="96" s="1"/>
  <c r="G31" i="121" l="1"/>
  <c r="G33" i="121" s="1"/>
  <c r="G34" i="120"/>
  <c r="G36" i="120" s="1"/>
  <c r="G34" i="119"/>
  <c r="I34" i="119"/>
  <c r="I31" i="121"/>
  <c r="I33" i="121" s="1"/>
  <c r="I34" i="120"/>
  <c r="I36" i="120" s="1"/>
  <c r="F31" i="121"/>
  <c r="F33" i="121" s="1"/>
  <c r="F34" i="120"/>
  <c r="F36" i="120" s="1"/>
  <c r="F34" i="119"/>
  <c r="L34" i="119"/>
  <c r="L31" i="121"/>
  <c r="L33" i="121" s="1"/>
  <c r="L34" i="120"/>
  <c r="L36" i="120" s="1"/>
  <c r="N31" i="121"/>
  <c r="N33" i="121" s="1"/>
  <c r="N34" i="120"/>
  <c r="N36" i="120" s="1"/>
  <c r="N34" i="119"/>
  <c r="K34" i="119"/>
  <c r="K31" i="121"/>
  <c r="K33" i="121" s="1"/>
  <c r="K34" i="120"/>
  <c r="K36" i="120" s="1"/>
  <c r="M31" i="121"/>
  <c r="M33" i="121" s="1"/>
  <c r="M34" i="120"/>
  <c r="M36" i="120" s="1"/>
  <c r="M34" i="119"/>
  <c r="E31" i="121"/>
  <c r="E33" i="121" s="1"/>
  <c r="E34" i="120"/>
  <c r="E36" i="120" s="1"/>
  <c r="E34" i="119"/>
  <c r="H31" i="121"/>
  <c r="H33" i="121" s="1"/>
  <c r="H34" i="120"/>
  <c r="H36" i="120" s="1"/>
  <c r="H34" i="119"/>
  <c r="J34" i="119"/>
  <c r="J31" i="121"/>
  <c r="J33" i="121" s="1"/>
  <c r="J34" i="120"/>
  <c r="J36" i="120" s="1"/>
  <c r="K84" i="96"/>
  <c r="C38" i="115"/>
  <c r="O24" i="115"/>
  <c r="O38" i="115" s="1"/>
  <c r="O22" i="115"/>
  <c r="I13" i="92"/>
  <c r="J10" i="92" s="1"/>
  <c r="J13" i="92" s="1"/>
  <c r="K10" i="92" s="1"/>
  <c r="I58" i="92"/>
  <c r="I61" i="92" s="1"/>
  <c r="H63" i="92"/>
  <c r="L84" i="96"/>
  <c r="J84" i="96"/>
  <c r="L12" i="90"/>
  <c r="K15" i="90"/>
  <c r="K12" i="92" s="1"/>
  <c r="K60" i="92" s="1"/>
  <c r="L14" i="90"/>
  <c r="M12" i="90" s="1"/>
  <c r="M15" i="90" s="1"/>
  <c r="M12" i="92" s="1"/>
  <c r="M60" i="92" s="1"/>
  <c r="M14" i="89"/>
  <c r="N12" i="89" s="1"/>
  <c r="N14" i="89" s="1"/>
  <c r="Q12" i="89" s="1"/>
  <c r="Q15" i="89" s="1"/>
  <c r="Q79" i="96"/>
  <c r="M84" i="96"/>
  <c r="F84" i="96"/>
  <c r="O82" i="96"/>
  <c r="Q82" i="96" s="1"/>
  <c r="H84" i="96"/>
  <c r="E84" i="96"/>
  <c r="O81" i="96"/>
  <c r="Q81" i="96" s="1"/>
  <c r="O79" i="96"/>
  <c r="C31" i="121" l="1"/>
  <c r="C34" i="120"/>
  <c r="C34" i="119"/>
  <c r="O34" i="119" s="1"/>
  <c r="G26" i="117"/>
  <c r="G26" i="114"/>
  <c r="G26" i="118"/>
  <c r="K13" i="92"/>
  <c r="L10" i="92" s="1"/>
  <c r="L13" i="92" s="1"/>
  <c r="M10" i="92" s="1"/>
  <c r="J58" i="92"/>
  <c r="J61" i="92" s="1"/>
  <c r="I63" i="92"/>
  <c r="Q84" i="96"/>
  <c r="L15" i="90"/>
  <c r="L12" i="92" s="1"/>
  <c r="L60" i="92" s="1"/>
  <c r="Q49" i="90"/>
  <c r="N50" i="90" s="1"/>
  <c r="N51" i="90" s="1"/>
  <c r="Q67" i="90"/>
  <c r="N68" i="90" s="1"/>
  <c r="N69" i="90" s="1"/>
  <c r="Q58" i="90"/>
  <c r="N59" i="90" s="1"/>
  <c r="N60" i="90" s="1"/>
  <c r="Q31" i="90"/>
  <c r="N32" i="90" s="1"/>
  <c r="N33" i="90" s="1"/>
  <c r="Q22" i="90"/>
  <c r="N23" i="90" s="1"/>
  <c r="N24" i="90" s="1"/>
  <c r="Q40" i="90"/>
  <c r="N41" i="90" s="1"/>
  <c r="N42" i="90" s="1"/>
  <c r="Q13" i="90"/>
  <c r="N14" i="90" s="1"/>
  <c r="N15" i="90" s="1"/>
  <c r="O84" i="96"/>
  <c r="O87" i="96" s="1"/>
  <c r="O34" i="120" l="1"/>
  <c r="O36" i="120" s="1"/>
  <c r="C36" i="120"/>
  <c r="O31" i="121"/>
  <c r="O33" i="121" s="1"/>
  <c r="C33" i="121"/>
  <c r="O26" i="114"/>
  <c r="H26" i="114"/>
  <c r="O26" i="118"/>
  <c r="H26" i="118"/>
  <c r="O26" i="117"/>
  <c r="H26" i="117"/>
  <c r="M13" i="92"/>
  <c r="N10" i="92" s="1"/>
  <c r="N13" i="92" s="1"/>
  <c r="K58" i="92"/>
  <c r="K61" i="92" s="1"/>
  <c r="J63" i="92"/>
  <c r="N12" i="92"/>
  <c r="O15" i="90"/>
  <c r="N33" i="92"/>
  <c r="O42" i="90"/>
  <c r="N19" i="92"/>
  <c r="O24" i="90"/>
  <c r="N26" i="92"/>
  <c r="O33" i="90"/>
  <c r="N47" i="92"/>
  <c r="O60" i="90"/>
  <c r="N54" i="92"/>
  <c r="O69" i="90"/>
  <c r="N40" i="92"/>
  <c r="O51" i="90"/>
  <c r="C27" i="103"/>
  <c r="L58" i="92" l="1"/>
  <c r="L61" i="92" s="1"/>
  <c r="K63" i="92"/>
  <c r="O40" i="92"/>
  <c r="O54" i="92"/>
  <c r="O47" i="92"/>
  <c r="O26" i="92"/>
  <c r="O19" i="92"/>
  <c r="O33" i="92"/>
  <c r="N60" i="92"/>
  <c r="O12" i="92"/>
  <c r="C32" i="103"/>
  <c r="M58" i="92" l="1"/>
  <c r="M61" i="92" s="1"/>
  <c r="L63" i="92"/>
  <c r="O60" i="92"/>
  <c r="C35" i="103"/>
  <c r="C22" i="103" s="1"/>
  <c r="C21" i="104" s="1"/>
  <c r="D32" i="103"/>
  <c r="E32" i="103" s="1"/>
  <c r="F32" i="103" s="1"/>
  <c r="G32" i="103" s="1"/>
  <c r="O21" i="103"/>
  <c r="E22" i="103"/>
  <c r="E21" i="104" s="1"/>
  <c r="E22" i="104" s="1"/>
  <c r="E27" i="104" s="1"/>
  <c r="N58" i="92" l="1"/>
  <c r="M63" i="92"/>
  <c r="C22" i="104"/>
  <c r="D35" i="103"/>
  <c r="D22" i="103" s="1"/>
  <c r="D21" i="104" s="1"/>
  <c r="D22" i="104" s="1"/>
  <c r="D27" i="104" s="1"/>
  <c r="C23" i="103"/>
  <c r="C28" i="103" s="1"/>
  <c r="C33" i="103"/>
  <c r="E23" i="103"/>
  <c r="E28" i="103" s="1"/>
  <c r="G22" i="103"/>
  <c r="H32" i="103"/>
  <c r="D23" i="103"/>
  <c r="D33" i="103"/>
  <c r="E33" i="103" s="1"/>
  <c r="F22" i="103"/>
  <c r="F21" i="104" s="1"/>
  <c r="F22" i="104" s="1"/>
  <c r="F27" i="104" s="1"/>
  <c r="N61" i="92" l="1"/>
  <c r="N63" i="92" s="1"/>
  <c r="G23" i="103"/>
  <c r="G28" i="103" s="1"/>
  <c r="G21" i="104"/>
  <c r="G22" i="104" s="1"/>
  <c r="G27" i="104" s="1"/>
  <c r="C27" i="104"/>
  <c r="F23" i="103"/>
  <c r="F28" i="103" s="1"/>
  <c r="F33" i="103"/>
  <c r="G33" i="103" s="1"/>
  <c r="D26" i="103"/>
  <c r="I32" i="103"/>
  <c r="H22" i="103"/>
  <c r="H23" i="103" l="1"/>
  <c r="H28" i="103" s="1"/>
  <c r="H21" i="104"/>
  <c r="H22" i="104" s="1"/>
  <c r="H27" i="104" s="1"/>
  <c r="H33" i="103"/>
  <c r="J32" i="103"/>
  <c r="I22" i="103"/>
  <c r="D27" i="103"/>
  <c r="O26" i="103"/>
  <c r="I33" i="103" l="1"/>
  <c r="I21" i="104"/>
  <c r="O27" i="103"/>
  <c r="D28" i="103"/>
  <c r="K32" i="103"/>
  <c r="J22" i="103"/>
  <c r="I23" i="103"/>
  <c r="C20" i="106" l="1"/>
  <c r="C23" i="108"/>
  <c r="E23" i="108" s="1"/>
  <c r="I22" i="104"/>
  <c r="J23" i="103"/>
  <c r="J28" i="103" s="1"/>
  <c r="J21" i="104"/>
  <c r="J22" i="104" s="1"/>
  <c r="J27" i="104" s="1"/>
  <c r="J33" i="103"/>
  <c r="I28" i="103"/>
  <c r="L32" i="103"/>
  <c r="K22" i="103"/>
  <c r="K21" i="104" s="1"/>
  <c r="K22" i="104" s="1"/>
  <c r="K27" i="104" s="1"/>
  <c r="E26" i="108" l="1"/>
  <c r="C24" i="108"/>
  <c r="E25" i="108"/>
  <c r="D24" i="108"/>
  <c r="C22" i="106"/>
  <c r="E20" i="106"/>
  <c r="C23" i="106"/>
  <c r="C9" i="106" s="1"/>
  <c r="I27" i="104"/>
  <c r="K33" i="103"/>
  <c r="K23" i="103"/>
  <c r="L22" i="103"/>
  <c r="M32" i="103"/>
  <c r="C25" i="108" l="1"/>
  <c r="C26" i="108"/>
  <c r="C10" i="108" s="1"/>
  <c r="C36" i="118"/>
  <c r="C35" i="117"/>
  <c r="C36" i="117" s="1"/>
  <c r="C9" i="108"/>
  <c r="C10" i="106"/>
  <c r="D26" i="108"/>
  <c r="C16" i="108" s="1"/>
  <c r="D25" i="108"/>
  <c r="L23" i="103"/>
  <c r="L28" i="103" s="1"/>
  <c r="L21" i="104"/>
  <c r="L22" i="104" s="1"/>
  <c r="L33" i="103"/>
  <c r="N32" i="103"/>
  <c r="N22" i="103" s="1"/>
  <c r="M22" i="103"/>
  <c r="M21" i="104" s="1"/>
  <c r="K28" i="103"/>
  <c r="N23" i="103" l="1"/>
  <c r="N28" i="103" s="1"/>
  <c r="N21" i="104"/>
  <c r="N22" i="104" s="1"/>
  <c r="N27" i="104" s="1"/>
  <c r="E37" i="118"/>
  <c r="D33" i="116"/>
  <c r="D45" i="116" s="1"/>
  <c r="N32" i="116"/>
  <c r="N44" i="116" s="1"/>
  <c r="E33" i="116"/>
  <c r="E45" i="116" s="1"/>
  <c r="J33" i="116"/>
  <c r="J45" i="116" s="1"/>
  <c r="L32" i="116"/>
  <c r="L44" i="116" s="1"/>
  <c r="F33" i="116"/>
  <c r="F45" i="116" s="1"/>
  <c r="G33" i="116"/>
  <c r="G45" i="116" s="1"/>
  <c r="K32" i="116"/>
  <c r="K44" i="116" s="1"/>
  <c r="H33" i="116"/>
  <c r="H45" i="116" s="1"/>
  <c r="D32" i="116"/>
  <c r="D44" i="116" s="1"/>
  <c r="I33" i="116"/>
  <c r="I45" i="116" s="1"/>
  <c r="C33" i="116"/>
  <c r="E32" i="116"/>
  <c r="E44" i="116" s="1"/>
  <c r="J32" i="116"/>
  <c r="J44" i="116" s="1"/>
  <c r="C31" i="116"/>
  <c r="M32" i="116"/>
  <c r="M44" i="116" s="1"/>
  <c r="F32" i="116"/>
  <c r="F44" i="116" s="1"/>
  <c r="K33" i="116"/>
  <c r="K45" i="116" s="1"/>
  <c r="G32" i="116"/>
  <c r="G44" i="116" s="1"/>
  <c r="L33" i="116"/>
  <c r="L45" i="116" s="1"/>
  <c r="H32" i="116"/>
  <c r="H44" i="116" s="1"/>
  <c r="M33" i="116"/>
  <c r="M45" i="116" s="1"/>
  <c r="C32" i="116"/>
  <c r="I32" i="116"/>
  <c r="I44" i="116" s="1"/>
  <c r="N33" i="116"/>
  <c r="N45" i="116" s="1"/>
  <c r="C13" i="117"/>
  <c r="D31" i="108"/>
  <c r="D32" i="108"/>
  <c r="D48" i="108" s="1"/>
  <c r="E17" i="118" s="1"/>
  <c r="C37" i="118"/>
  <c r="M22" i="104"/>
  <c r="M27" i="104" s="1"/>
  <c r="O21" i="104"/>
  <c r="C21" i="105" s="1"/>
  <c r="L27" i="104"/>
  <c r="O22" i="104"/>
  <c r="M33" i="103"/>
  <c r="N33" i="103" s="1"/>
  <c r="M23" i="103"/>
  <c r="O22" i="103"/>
  <c r="O33" i="116" l="1"/>
  <c r="K13" i="117" s="1"/>
  <c r="C45" i="116"/>
  <c r="O45" i="116" s="1"/>
  <c r="O32" i="116"/>
  <c r="C44" i="116"/>
  <c r="C15" i="117"/>
  <c r="D13" i="117"/>
  <c r="G13" i="117"/>
  <c r="C34" i="116"/>
  <c r="D31" i="116" s="1"/>
  <c r="D34" i="116" s="1"/>
  <c r="E31" i="116" s="1"/>
  <c r="E34" i="116" s="1"/>
  <c r="F31" i="116" s="1"/>
  <c r="F34" i="116" s="1"/>
  <c r="G31" i="116" s="1"/>
  <c r="G34" i="116" s="1"/>
  <c r="H31" i="116" s="1"/>
  <c r="H34" i="116" s="1"/>
  <c r="I31" i="116" s="1"/>
  <c r="I34" i="116" s="1"/>
  <c r="J31" i="116" s="1"/>
  <c r="J34" i="116" s="1"/>
  <c r="K31" i="116" s="1"/>
  <c r="K34" i="116" s="1"/>
  <c r="L31" i="116" s="1"/>
  <c r="L34" i="116" s="1"/>
  <c r="M31" i="116" s="1"/>
  <c r="M34" i="116" s="1"/>
  <c r="N31" i="116" s="1"/>
  <c r="N34" i="116" s="1"/>
  <c r="C43" i="116"/>
  <c r="C46" i="116" s="1"/>
  <c r="D43" i="116" s="1"/>
  <c r="D46" i="116" s="1"/>
  <c r="E43" i="116" s="1"/>
  <c r="E46" i="116" s="1"/>
  <c r="F43" i="116" s="1"/>
  <c r="F46" i="116" s="1"/>
  <c r="G43" i="116" s="1"/>
  <c r="G46" i="116" s="1"/>
  <c r="H43" i="116" s="1"/>
  <c r="H46" i="116" s="1"/>
  <c r="I43" i="116" s="1"/>
  <c r="I46" i="116" s="1"/>
  <c r="J43" i="116" s="1"/>
  <c r="J46" i="116" s="1"/>
  <c r="K43" i="116" s="1"/>
  <c r="K46" i="116" s="1"/>
  <c r="L43" i="116" s="1"/>
  <c r="L46" i="116" s="1"/>
  <c r="M43" i="116" s="1"/>
  <c r="M46" i="116" s="1"/>
  <c r="N43" i="116" s="1"/>
  <c r="N46" i="116" s="1"/>
  <c r="C43" i="108"/>
  <c r="C39" i="106"/>
  <c r="C22" i="105"/>
  <c r="E22" i="105" s="1"/>
  <c r="O44" i="116"/>
  <c r="M17" i="118"/>
  <c r="F17" i="118"/>
  <c r="O27" i="104"/>
  <c r="M28" i="103"/>
  <c r="O28" i="103" s="1"/>
  <c r="O23" i="103"/>
  <c r="C37" i="117" l="1"/>
  <c r="C38" i="117" s="1"/>
  <c r="C40" i="117" s="1"/>
  <c r="K10" i="117"/>
  <c r="D24" i="105"/>
  <c r="C24" i="105"/>
  <c r="E25" i="105"/>
  <c r="E43" i="108"/>
  <c r="C46" i="108"/>
  <c r="E46" i="108" s="1"/>
  <c r="C45" i="108"/>
  <c r="E45" i="108" s="1"/>
  <c r="E39" i="106"/>
  <c r="C41" i="106"/>
  <c r="E41" i="106" s="1"/>
  <c r="C42" i="106"/>
  <c r="E42" i="106" s="1"/>
  <c r="G15" i="117"/>
  <c r="H13" i="117"/>
  <c r="D15" i="117"/>
  <c r="C29" i="108"/>
  <c r="C26" i="106"/>
  <c r="O13" i="117"/>
  <c r="H15" i="117" l="1"/>
  <c r="D25" i="105"/>
  <c r="C13" i="105" s="1"/>
  <c r="C25" i="105"/>
  <c r="C9" i="105" s="1"/>
  <c r="E26" i="106"/>
  <c r="C28" i="106"/>
  <c r="E28" i="106" s="1"/>
  <c r="C29" i="106"/>
  <c r="K11" i="117"/>
  <c r="L10" i="117"/>
  <c r="O10" i="117"/>
  <c r="E29" i="108"/>
  <c r="C32" i="108"/>
  <c r="C31" i="108"/>
  <c r="E31" i="108" s="1"/>
  <c r="E32" i="108" l="1"/>
  <c r="E48" i="108" s="1"/>
  <c r="C48" i="108"/>
  <c r="O11" i="117"/>
  <c r="P10" i="117"/>
  <c r="L11" i="117"/>
  <c r="K15" i="117"/>
  <c r="L9" i="117"/>
  <c r="L8" i="117"/>
  <c r="L13" i="117"/>
  <c r="D16" i="119"/>
  <c r="D17" i="119" s="1"/>
  <c r="E16" i="119"/>
  <c r="E17" i="119" s="1"/>
  <c r="F16" i="119"/>
  <c r="F17" i="119" s="1"/>
  <c r="C35" i="114"/>
  <c r="C36" i="114" s="1"/>
  <c r="M16" i="119"/>
  <c r="M17" i="119" s="1"/>
  <c r="G16" i="119"/>
  <c r="G17" i="119" s="1"/>
  <c r="N16" i="119"/>
  <c r="N17" i="119" s="1"/>
  <c r="H16" i="119"/>
  <c r="H17" i="119" s="1"/>
  <c r="I16" i="119"/>
  <c r="I17" i="119" s="1"/>
  <c r="C16" i="119"/>
  <c r="J16" i="119"/>
  <c r="J17" i="119" s="1"/>
  <c r="K16" i="119"/>
  <c r="K17" i="119" s="1"/>
  <c r="L16" i="119"/>
  <c r="L17" i="119" s="1"/>
  <c r="C8" i="108"/>
  <c r="C11" i="108" s="1"/>
  <c r="C35" i="118"/>
  <c r="C38" i="118" s="1"/>
  <c r="C10" i="105"/>
  <c r="C44" i="106"/>
  <c r="E29" i="106"/>
  <c r="E44" i="106" s="1"/>
  <c r="E35" i="114"/>
  <c r="E36" i="114" s="1"/>
  <c r="E35" i="118"/>
  <c r="E38" i="118" s="1"/>
  <c r="C14" i="108"/>
  <c r="C17" i="108" s="1"/>
  <c r="C14" i="105"/>
  <c r="C17" i="119" l="1"/>
  <c r="O16" i="119"/>
  <c r="O17" i="119" s="1"/>
  <c r="P9" i="117"/>
  <c r="P8" i="117"/>
  <c r="P11" i="117"/>
  <c r="O15" i="117"/>
  <c r="P21" i="117"/>
  <c r="P25" i="117"/>
  <c r="P26" i="117"/>
  <c r="P13" i="117"/>
  <c r="C17" i="118"/>
  <c r="C17" i="117"/>
  <c r="H11" i="116"/>
  <c r="I11" i="116"/>
  <c r="I23" i="116" s="1"/>
  <c r="C13" i="114"/>
  <c r="J11" i="116"/>
  <c r="J23" i="116" s="1"/>
  <c r="E10" i="116"/>
  <c r="E22" i="116" s="1"/>
  <c r="K11" i="116"/>
  <c r="K23" i="116" s="1"/>
  <c r="G11" i="116"/>
  <c r="G23" i="116" s="1"/>
  <c r="F10" i="116"/>
  <c r="F22" i="116" s="1"/>
  <c r="L11" i="116"/>
  <c r="L23" i="116" s="1"/>
  <c r="H10" i="116"/>
  <c r="E11" i="116"/>
  <c r="G10" i="116"/>
  <c r="M11" i="116"/>
  <c r="N10" i="116"/>
  <c r="F11" i="116"/>
  <c r="N11" i="116"/>
  <c r="N23" i="116" s="1"/>
  <c r="I10" i="116"/>
  <c r="D10" i="116"/>
  <c r="D22" i="116" s="1"/>
  <c r="C9" i="116"/>
  <c r="J10" i="116"/>
  <c r="D11" i="116"/>
  <c r="K10" i="116"/>
  <c r="K22" i="116" s="1"/>
  <c r="C11" i="116"/>
  <c r="M10" i="116"/>
  <c r="M22" i="116" s="1"/>
  <c r="L10" i="116"/>
  <c r="L22" i="116" s="1"/>
  <c r="C10" i="116"/>
  <c r="K60" i="116"/>
  <c r="C60" i="116"/>
  <c r="E13" i="118"/>
  <c r="L60" i="116"/>
  <c r="C59" i="116"/>
  <c r="L61" i="116"/>
  <c r="J60" i="116"/>
  <c r="M60" i="116"/>
  <c r="N61" i="116"/>
  <c r="N60" i="116"/>
  <c r="F60" i="116"/>
  <c r="I60" i="116"/>
  <c r="D61" i="116"/>
  <c r="O61" i="116" s="1"/>
  <c r="M13" i="118" s="1"/>
  <c r="M61" i="116"/>
  <c r="E61" i="116"/>
  <c r="H60" i="116"/>
  <c r="F61" i="116"/>
  <c r="G61" i="116"/>
  <c r="G60" i="116"/>
  <c r="H61" i="116"/>
  <c r="K61" i="116"/>
  <c r="C61" i="116"/>
  <c r="D60" i="116"/>
  <c r="I61" i="116"/>
  <c r="E60" i="116"/>
  <c r="J61" i="116"/>
  <c r="G55" i="116"/>
  <c r="G67" i="116" s="1"/>
  <c r="H55" i="116"/>
  <c r="H67" i="116" s="1"/>
  <c r="C13" i="118"/>
  <c r="E55" i="116"/>
  <c r="E67" i="116" s="1"/>
  <c r="D54" i="116"/>
  <c r="I55" i="116"/>
  <c r="E54" i="116"/>
  <c r="J55" i="116"/>
  <c r="F54" i="116"/>
  <c r="K55" i="116"/>
  <c r="K67" i="116" s="1"/>
  <c r="G54" i="116"/>
  <c r="L55" i="116"/>
  <c r="L67" i="116" s="1"/>
  <c r="H54" i="116"/>
  <c r="H66" i="116" s="1"/>
  <c r="M55" i="116"/>
  <c r="N54" i="116"/>
  <c r="I54" i="116"/>
  <c r="N55" i="116"/>
  <c r="N67" i="116" s="1"/>
  <c r="J54" i="116"/>
  <c r="J66" i="116" s="1"/>
  <c r="C55" i="116"/>
  <c r="D55" i="116"/>
  <c r="K54" i="116"/>
  <c r="K66" i="116" s="1"/>
  <c r="C54" i="116"/>
  <c r="M54" i="116"/>
  <c r="F55" i="116"/>
  <c r="F67" i="116" s="1"/>
  <c r="L54" i="116"/>
  <c r="L66" i="116" s="1"/>
  <c r="C53" i="116"/>
  <c r="L15" i="117"/>
  <c r="N16" i="116"/>
  <c r="E13" i="114"/>
  <c r="C16" i="116"/>
  <c r="E17" i="116"/>
  <c r="D17" i="116"/>
  <c r="F17" i="116"/>
  <c r="F23" i="116" s="1"/>
  <c r="G17" i="116"/>
  <c r="D16" i="116"/>
  <c r="H17" i="116"/>
  <c r="C15" i="116"/>
  <c r="I17" i="116"/>
  <c r="J17" i="116"/>
  <c r="M16" i="116"/>
  <c r="E16" i="116"/>
  <c r="K17" i="116"/>
  <c r="K16" i="116"/>
  <c r="F16" i="116"/>
  <c r="L17" i="116"/>
  <c r="I16" i="116"/>
  <c r="J16" i="116"/>
  <c r="G16" i="116"/>
  <c r="M17" i="116"/>
  <c r="L16" i="116"/>
  <c r="H16" i="116"/>
  <c r="N17" i="116"/>
  <c r="C17" i="116"/>
  <c r="D23" i="116" l="1"/>
  <c r="C23" i="116"/>
  <c r="O11" i="116"/>
  <c r="K13" i="114" s="1"/>
  <c r="I66" i="116"/>
  <c r="G13" i="114"/>
  <c r="D13" i="114"/>
  <c r="C15" i="114"/>
  <c r="C56" i="116"/>
  <c r="D53" i="116" s="1"/>
  <c r="D56" i="116" s="1"/>
  <c r="E53" i="116" s="1"/>
  <c r="E56" i="116" s="1"/>
  <c r="F53" i="116" s="1"/>
  <c r="F56" i="116" s="1"/>
  <c r="G53" i="116" s="1"/>
  <c r="G56" i="116" s="1"/>
  <c r="H53" i="116" s="1"/>
  <c r="H56" i="116" s="1"/>
  <c r="I53" i="116" s="1"/>
  <c r="I56" i="116" s="1"/>
  <c r="J53" i="116" s="1"/>
  <c r="J56" i="116" s="1"/>
  <c r="K53" i="116" s="1"/>
  <c r="K56" i="116" s="1"/>
  <c r="L53" i="116" s="1"/>
  <c r="L56" i="116" s="1"/>
  <c r="M53" i="116" s="1"/>
  <c r="M56" i="116" s="1"/>
  <c r="N53" i="116" s="1"/>
  <c r="N56" i="116" s="1"/>
  <c r="C65" i="116"/>
  <c r="J22" i="116"/>
  <c r="K17" i="117"/>
  <c r="G17" i="117"/>
  <c r="D17" i="117"/>
  <c r="C19" i="117"/>
  <c r="D19" i="117" s="1"/>
  <c r="O16" i="116"/>
  <c r="G66" i="116"/>
  <c r="F13" i="118"/>
  <c r="E15" i="118"/>
  <c r="K17" i="118"/>
  <c r="D17" i="118"/>
  <c r="G17" i="118"/>
  <c r="H17" i="118" s="1"/>
  <c r="E66" i="116"/>
  <c r="N22" i="116"/>
  <c r="P15" i="117"/>
  <c r="I22" i="116"/>
  <c r="O17" i="116"/>
  <c r="M13" i="114" s="1"/>
  <c r="O54" i="116"/>
  <c r="I67" i="116"/>
  <c r="M23" i="116"/>
  <c r="N66" i="116"/>
  <c r="C21" i="116"/>
  <c r="C12" i="116"/>
  <c r="D9" i="116" s="1"/>
  <c r="D12" i="116" s="1"/>
  <c r="E9" i="116" s="1"/>
  <c r="E12" i="116" s="1"/>
  <c r="F9" i="116" s="1"/>
  <c r="F12" i="116" s="1"/>
  <c r="G9" i="116" s="1"/>
  <c r="G12" i="116" s="1"/>
  <c r="H9" i="116" s="1"/>
  <c r="H12" i="116" s="1"/>
  <c r="I9" i="116" s="1"/>
  <c r="I12" i="116" s="1"/>
  <c r="J9" i="116" s="1"/>
  <c r="J12" i="116" s="1"/>
  <c r="K9" i="116" s="1"/>
  <c r="K12" i="116" s="1"/>
  <c r="L9" i="116" s="1"/>
  <c r="L12" i="116" s="1"/>
  <c r="M9" i="116" s="1"/>
  <c r="M12" i="116" s="1"/>
  <c r="N9" i="116" s="1"/>
  <c r="N12" i="116" s="1"/>
  <c r="C62" i="116"/>
  <c r="D59" i="116" s="1"/>
  <c r="D62" i="116" s="1"/>
  <c r="E59" i="116" s="1"/>
  <c r="E62" i="116" s="1"/>
  <c r="F59" i="116" s="1"/>
  <c r="F62" i="116" s="1"/>
  <c r="G59" i="116" s="1"/>
  <c r="G62" i="116" s="1"/>
  <c r="H59" i="116" s="1"/>
  <c r="H62" i="116" s="1"/>
  <c r="I59" i="116" s="1"/>
  <c r="I62" i="116" s="1"/>
  <c r="J59" i="116" s="1"/>
  <c r="J62" i="116" s="1"/>
  <c r="K59" i="116" s="1"/>
  <c r="K62" i="116" s="1"/>
  <c r="L59" i="116" s="1"/>
  <c r="L62" i="116" s="1"/>
  <c r="M59" i="116" s="1"/>
  <c r="M62" i="116" s="1"/>
  <c r="N59" i="116" s="1"/>
  <c r="N62" i="116" s="1"/>
  <c r="J67" i="116"/>
  <c r="M66" i="116"/>
  <c r="D66" i="116"/>
  <c r="G22" i="116"/>
  <c r="F13" i="114"/>
  <c r="E15" i="114"/>
  <c r="F66" i="116"/>
  <c r="C66" i="116"/>
  <c r="O66" i="116" s="1"/>
  <c r="O60" i="116"/>
  <c r="C18" i="116"/>
  <c r="D15" i="116" s="1"/>
  <c r="D18" i="116" s="1"/>
  <c r="E15" i="116" s="1"/>
  <c r="E18" i="116" s="1"/>
  <c r="F15" i="116" s="1"/>
  <c r="F18" i="116" s="1"/>
  <c r="G15" i="116" s="1"/>
  <c r="G18" i="116" s="1"/>
  <c r="H15" i="116" s="1"/>
  <c r="H18" i="116" s="1"/>
  <c r="I15" i="116" s="1"/>
  <c r="I18" i="116" s="1"/>
  <c r="J15" i="116" s="1"/>
  <c r="J18" i="116" s="1"/>
  <c r="K15" i="116" s="1"/>
  <c r="K18" i="116" s="1"/>
  <c r="L15" i="116" s="1"/>
  <c r="L18" i="116" s="1"/>
  <c r="M15" i="116" s="1"/>
  <c r="M18" i="116" s="1"/>
  <c r="N15" i="116" s="1"/>
  <c r="N18" i="116" s="1"/>
  <c r="H23" i="116"/>
  <c r="D67" i="116"/>
  <c r="E23" i="116"/>
  <c r="O55" i="116"/>
  <c r="K13" i="118" s="1"/>
  <c r="C67" i="116"/>
  <c r="G13" i="118"/>
  <c r="D13" i="118"/>
  <c r="C15" i="118"/>
  <c r="M67" i="116"/>
  <c r="C22" i="116"/>
  <c r="O10" i="116"/>
  <c r="H22" i="116"/>
  <c r="H17" i="117" l="1"/>
  <c r="G19" i="117"/>
  <c r="E19" i="114"/>
  <c r="F19" i="114" s="1"/>
  <c r="F15" i="114"/>
  <c r="O17" i="117"/>
  <c r="L17" i="117"/>
  <c r="K19" i="117"/>
  <c r="L19" i="117" s="1"/>
  <c r="H13" i="114"/>
  <c r="G15" i="114"/>
  <c r="M10" i="118"/>
  <c r="E39" i="118"/>
  <c r="E40" i="118" s="1"/>
  <c r="E42" i="118" s="1"/>
  <c r="O22" i="116"/>
  <c r="D15" i="118"/>
  <c r="C19" i="118"/>
  <c r="C19" i="114"/>
  <c r="D19" i="114" s="1"/>
  <c r="D15" i="114"/>
  <c r="H13" i="118"/>
  <c r="G15" i="118"/>
  <c r="O13" i="114"/>
  <c r="C68" i="116"/>
  <c r="D65" i="116" s="1"/>
  <c r="D68" i="116" s="1"/>
  <c r="E65" i="116" s="1"/>
  <c r="E68" i="116" s="1"/>
  <c r="F65" i="116" s="1"/>
  <c r="F68" i="116" s="1"/>
  <c r="G65" i="116" s="1"/>
  <c r="G68" i="116" s="1"/>
  <c r="H65" i="116" s="1"/>
  <c r="H68" i="116" s="1"/>
  <c r="I65" i="116" s="1"/>
  <c r="I68" i="116" s="1"/>
  <c r="J65" i="116" s="1"/>
  <c r="J68" i="116" s="1"/>
  <c r="K65" i="116" s="1"/>
  <c r="K68" i="116" s="1"/>
  <c r="L65" i="116" s="1"/>
  <c r="L68" i="116" s="1"/>
  <c r="M65" i="116" s="1"/>
  <c r="M68" i="116" s="1"/>
  <c r="N65" i="116" s="1"/>
  <c r="N68" i="116" s="1"/>
  <c r="O13" i="118"/>
  <c r="O23" i="116"/>
  <c r="K10" i="118"/>
  <c r="C39" i="118"/>
  <c r="C40" i="118" s="1"/>
  <c r="C42" i="118" s="1"/>
  <c r="O67" i="116"/>
  <c r="O17" i="118"/>
  <c r="F15" i="118"/>
  <c r="E19" i="118"/>
  <c r="C24" i="116"/>
  <c r="M10" i="114"/>
  <c r="E37" i="114"/>
  <c r="E38" i="114" s="1"/>
  <c r="E40" i="114" s="1"/>
  <c r="K10" i="114"/>
  <c r="C37" i="114"/>
  <c r="C38" i="114" s="1"/>
  <c r="C40" i="114" s="1"/>
  <c r="E23" i="118" l="1"/>
  <c r="F23" i="118" s="1"/>
  <c r="F19" i="118"/>
  <c r="P17" i="117"/>
  <c r="O19" i="117"/>
  <c r="C23" i="118"/>
  <c r="D23" i="118" s="1"/>
  <c r="D19" i="118"/>
  <c r="M11" i="118"/>
  <c r="N10" i="118"/>
  <c r="K11" i="114"/>
  <c r="O10" i="114"/>
  <c r="L10" i="114"/>
  <c r="G19" i="114"/>
  <c r="H15" i="114"/>
  <c r="H15" i="118"/>
  <c r="G19" i="118"/>
  <c r="H19" i="117"/>
  <c r="G23" i="117"/>
  <c r="K11" i="118"/>
  <c r="L10" i="118"/>
  <c r="O10" i="118"/>
  <c r="M11" i="114"/>
  <c r="N10" i="114"/>
  <c r="D21" i="116"/>
  <c r="D24" i="116" s="1"/>
  <c r="C18" i="119"/>
  <c r="E21" i="116" l="1"/>
  <c r="E24" i="116" s="1"/>
  <c r="D18" i="119"/>
  <c r="D19" i="119" s="1"/>
  <c r="N11" i="114"/>
  <c r="N9" i="114"/>
  <c r="N8" i="114"/>
  <c r="M15" i="114"/>
  <c r="N17" i="114"/>
  <c r="N13" i="114"/>
  <c r="H19" i="114"/>
  <c r="G23" i="114"/>
  <c r="K15" i="114"/>
  <c r="L17" i="114"/>
  <c r="L9" i="114"/>
  <c r="L11" i="114"/>
  <c r="L8" i="114"/>
  <c r="L13" i="114"/>
  <c r="N8" i="118"/>
  <c r="N9" i="118"/>
  <c r="N11" i="118"/>
  <c r="M15" i="118"/>
  <c r="N17" i="118"/>
  <c r="N13" i="118"/>
  <c r="O23" i="117"/>
  <c r="P19" i="117"/>
  <c r="C19" i="119"/>
  <c r="O11" i="114"/>
  <c r="P10" i="114"/>
  <c r="O11" i="118"/>
  <c r="K15" i="118"/>
  <c r="L9" i="118"/>
  <c r="L8" i="118"/>
  <c r="L11" i="118"/>
  <c r="L13" i="118"/>
  <c r="L17" i="118"/>
  <c r="G28" i="117"/>
  <c r="H23" i="117"/>
  <c r="H19" i="118"/>
  <c r="G23" i="118"/>
  <c r="H28" i="117" l="1"/>
  <c r="Q36" i="120"/>
  <c r="K19" i="118"/>
  <c r="L15" i="118"/>
  <c r="P8" i="118"/>
  <c r="P11" i="118"/>
  <c r="O15" i="118"/>
  <c r="P9" i="118"/>
  <c r="P25" i="118"/>
  <c r="P26" i="118"/>
  <c r="P13" i="118"/>
  <c r="P17" i="118"/>
  <c r="P10" i="118"/>
  <c r="L15" i="114"/>
  <c r="K19" i="114"/>
  <c r="L19" i="114" s="1"/>
  <c r="N15" i="118"/>
  <c r="M19" i="118"/>
  <c r="N15" i="114"/>
  <c r="M19" i="114"/>
  <c r="N19" i="114" s="1"/>
  <c r="P13" i="114"/>
  <c r="P9" i="114"/>
  <c r="P21" i="114"/>
  <c r="P8" i="114"/>
  <c r="P11" i="114"/>
  <c r="P17" i="114"/>
  <c r="O15" i="114"/>
  <c r="P25" i="114"/>
  <c r="P26" i="114"/>
  <c r="H23" i="114"/>
  <c r="G28" i="114"/>
  <c r="H28" i="114" s="1"/>
  <c r="G28" i="118"/>
  <c r="H23" i="118"/>
  <c r="D21" i="119"/>
  <c r="D26" i="119" s="1"/>
  <c r="D31" i="119" s="1"/>
  <c r="D36" i="119" s="1"/>
  <c r="C21" i="119"/>
  <c r="C26" i="119" s="1"/>
  <c r="C31" i="119" s="1"/>
  <c r="C36" i="119" s="1"/>
  <c r="O28" i="117"/>
  <c r="P23" i="117"/>
  <c r="F21" i="116"/>
  <c r="F24" i="116" s="1"/>
  <c r="E18" i="119"/>
  <c r="H28" i="118" l="1"/>
  <c r="Q33" i="121"/>
  <c r="N19" i="118"/>
  <c r="M23" i="118"/>
  <c r="N23" i="118" s="1"/>
  <c r="E19" i="119"/>
  <c r="E21" i="119" s="1"/>
  <c r="P15" i="114"/>
  <c r="O19" i="114"/>
  <c r="G21" i="116"/>
  <c r="G24" i="116" s="1"/>
  <c r="F18" i="119"/>
  <c r="F19" i="119" s="1"/>
  <c r="F21" i="119" s="1"/>
  <c r="F26" i="119" s="1"/>
  <c r="F31" i="119" s="1"/>
  <c r="F36" i="119" s="1"/>
  <c r="O19" i="118"/>
  <c r="P15" i="118"/>
  <c r="P28" i="117"/>
  <c r="O31" i="117"/>
  <c r="L19" i="118"/>
  <c r="K23" i="118"/>
  <c r="L23" i="118" s="1"/>
  <c r="E26" i="119" l="1"/>
  <c r="E31" i="119" s="1"/>
  <c r="E36" i="119" s="1"/>
  <c r="P19" i="118"/>
  <c r="O23" i="118"/>
  <c r="H21" i="116"/>
  <c r="H24" i="116" s="1"/>
  <c r="G18" i="119"/>
  <c r="G19" i="119" s="1"/>
  <c r="G21" i="119" s="1"/>
  <c r="G26" i="119" s="1"/>
  <c r="G31" i="119" s="1"/>
  <c r="G36" i="119" s="1"/>
  <c r="O23" i="114"/>
  <c r="P19" i="114"/>
  <c r="O28" i="114" l="1"/>
  <c r="P23" i="114"/>
  <c r="I21" i="116"/>
  <c r="I24" i="116" s="1"/>
  <c r="H18" i="119"/>
  <c r="H19" i="119" s="1"/>
  <c r="H21" i="119" s="1"/>
  <c r="H26" i="119" s="1"/>
  <c r="H31" i="119" s="1"/>
  <c r="H36" i="119" s="1"/>
  <c r="O28" i="118"/>
  <c r="P23" i="118"/>
  <c r="P28" i="118" l="1"/>
  <c r="O31" i="118"/>
  <c r="J21" i="116"/>
  <c r="J24" i="116" s="1"/>
  <c r="I18" i="119"/>
  <c r="I19" i="119" s="1"/>
  <c r="I21" i="119" s="1"/>
  <c r="I26" i="119" s="1"/>
  <c r="I31" i="119" s="1"/>
  <c r="I36" i="119" s="1"/>
  <c r="P28" i="114"/>
  <c r="O31" i="114"/>
  <c r="K21" i="116" l="1"/>
  <c r="K24" i="116" s="1"/>
  <c r="J18" i="119"/>
  <c r="J19" i="119" s="1"/>
  <c r="J21" i="119" s="1"/>
  <c r="J26" i="119" s="1"/>
  <c r="J31" i="119" s="1"/>
  <c r="J36" i="119" s="1"/>
  <c r="L21" i="116" l="1"/>
  <c r="L24" i="116" s="1"/>
  <c r="K18" i="119"/>
  <c r="K19" i="119" s="1"/>
  <c r="K21" i="119" s="1"/>
  <c r="K26" i="119" s="1"/>
  <c r="K31" i="119" s="1"/>
  <c r="K36" i="119" s="1"/>
  <c r="M21" i="116" l="1"/>
  <c r="M24" i="116" s="1"/>
  <c r="L18" i="119"/>
  <c r="L19" i="119" s="1"/>
  <c r="L21" i="119" s="1"/>
  <c r="L26" i="119" s="1"/>
  <c r="L31" i="119" s="1"/>
  <c r="L36" i="119" s="1"/>
  <c r="N21" i="116" l="1"/>
  <c r="N24" i="116" s="1"/>
  <c r="N18" i="119" s="1"/>
  <c r="M18" i="119"/>
  <c r="M19" i="119" s="1"/>
  <c r="M21" i="119" s="1"/>
  <c r="M26" i="119" s="1"/>
  <c r="M31" i="119" s="1"/>
  <c r="M36" i="119" s="1"/>
  <c r="N19" i="119" l="1"/>
  <c r="N21" i="119" s="1"/>
  <c r="N26" i="119" s="1"/>
  <c r="N31" i="119" s="1"/>
  <c r="N36" i="119" s="1"/>
  <c r="O18" i="119"/>
  <c r="O19" i="119" s="1"/>
  <c r="Q19" i="119" l="1"/>
  <c r="O21" i="119"/>
  <c r="O26" i="119" s="1"/>
  <c r="Q26" i="119" l="1"/>
  <c r="O31" i="119"/>
  <c r="Q31" i="119" l="1"/>
  <c r="O36" i="119"/>
  <c r="Q36" i="119" s="1"/>
</calcChain>
</file>

<file path=xl/sharedStrings.xml><?xml version="1.0" encoding="utf-8"?>
<sst xmlns="http://schemas.openxmlformats.org/spreadsheetml/2006/main" count="2907" uniqueCount="1002">
  <si>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</si>
  <si>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</si>
  <si>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</si>
  <si>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</si>
  <si>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</si>
  <si>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</si>
  <si>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</si>
  <si>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</si>
  <si>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</si>
  <si>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</si>
  <si>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</si>
  <si>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</si>
  <si>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</si>
  <si>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</si>
  <si>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</si>
  <si>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</si>
  <si>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</si>
  <si>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</si>
  <si>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</si>
  <si>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</si>
  <si>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</si>
  <si>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</si>
  <si>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</si>
  <si>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</si>
  <si>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</si>
  <si>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</si>
  <si>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</si>
  <si>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</si>
  <si>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</si>
  <si>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</si>
  <si>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</si>
  <si>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</si>
  <si>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</si>
  <si>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</si>
  <si>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</si>
  <si>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</si>
  <si>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</si>
  <si>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</si>
  <si>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>TFR</t>
  </si>
  <si>
    <t>Contributi</t>
  </si>
  <si>
    <t>Risultato operativo</t>
  </si>
  <si>
    <t xml:space="preserve">Prezzi di listino medi unitari </t>
  </si>
  <si>
    <t>check</t>
  </si>
  <si>
    <t>Consumo materie prime</t>
  </si>
  <si>
    <t>13ma</t>
  </si>
  <si>
    <t>14ma</t>
  </si>
  <si>
    <t>Matricola</t>
  </si>
  <si>
    <t>Piano Assunzioni</t>
  </si>
  <si>
    <t>Quota TFR</t>
  </si>
  <si>
    <t>Contributi a carico del datore di lavoro</t>
  </si>
  <si>
    <t>Contributi a carico del dipendente</t>
  </si>
  <si>
    <t>Ritenute fiscali</t>
  </si>
  <si>
    <t>Consulenze commerciali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</si>
  <si>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</si>
  <si>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</si>
  <si>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</si>
  <si>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</si>
  <si>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</si>
  <si>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</si>
  <si>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</si>
  <si>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</si>
  <si>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</si>
  <si>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</si>
  <si>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</si>
  <si>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</si>
  <si>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</si>
  <si>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</si>
  <si>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</si>
  <si>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</si>
  <si>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</si>
  <si>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</si>
  <si>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</si>
  <si>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</si>
  <si>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</si>
  <si>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</si>
  <si>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</si>
  <si>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</si>
  <si>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</si>
  <si>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</si>
  <si>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</si>
  <si>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</si>
  <si>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</si>
  <si>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</si>
  <si>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</si>
  <si>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</si>
  <si>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</si>
  <si>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</si>
  <si>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</si>
  <si>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</si>
  <si>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</si>
  <si>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</si>
  <si>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</si>
  <si>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</si>
  <si>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</si>
  <si>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</si>
  <si>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</si>
  <si>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</si>
  <si>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</si>
  <si>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</si>
  <si>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</si>
  <si>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</si>
  <si>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</si>
  <si>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</si>
  <si>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</si>
  <si>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</si>
  <si>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</si>
  <si>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</si>
  <si>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</si>
  <si>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</si>
  <si>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</si>
  <si>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</si>
  <si>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</si>
  <si>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</si>
  <si>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</si>
  <si>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</si>
  <si>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</si>
  <si>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</si>
  <si>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</si>
  <si>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</si>
  <si>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</si>
  <si>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</si>
  <si>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</si>
  <si>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</si>
  <si>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</si>
  <si>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</si>
  <si>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</si>
  <si>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Premi alla clientela</t>
  </si>
  <si>
    <t>Tabella 4 - Budget premi a cliente per canale mensilizzati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</si>
  <si>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</si>
  <si>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</si>
  <si>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</si>
  <si>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</si>
  <si>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Tabella 5 - Budget quantità da produrre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</si>
  <si>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</si>
  <si>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</si>
  <si>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</si>
  <si>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</si>
  <si>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</si>
  <si>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</si>
  <si>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</si>
  <si>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</si>
  <si>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</si>
  <si>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</si>
  <si>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</si>
  <si>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</si>
  <si>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</si>
  <si>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</si>
  <si>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</si>
  <si>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</si>
  <si>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</si>
  <si>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</si>
  <si>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</si>
  <si>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</si>
  <si>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</si>
  <si>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</si>
  <si>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</si>
  <si>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</si>
  <si>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</si>
  <si>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</si>
  <si>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</si>
  <si>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</si>
  <si>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</si>
  <si>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</si>
  <si>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</si>
  <si>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</si>
  <si>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</si>
  <si>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</si>
  <si>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</si>
  <si>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</si>
  <si>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</si>
  <si>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Tabella 7 - Budget quantità di materie prime da acquistare</t>
  </si>
  <si>
    <t>Tab. 6 - Distinta Base materie prime</t>
  </si>
  <si>
    <t>valore unitario</t>
  </si>
  <si>
    <t>-Fabbisogno di produzione</t>
  </si>
  <si>
    <t>+Acquisti</t>
  </si>
  <si>
    <t>Tabella 8 - Budget acquisti (a valore) di materie prime</t>
  </si>
  <si>
    <t>cu</t>
  </si>
  <si>
    <t>AcuRILE</t>
  </si>
  <si>
    <t>Tabella 9 - Budget costo del venduto per curodotto/canale mensilizzato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</si>
  <si>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</si>
  <si>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</si>
  <si>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</si>
  <si>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</si>
  <si>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</si>
  <si>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All. 4 - Costo del lavoro preconsuntivo</t>
  </si>
  <si>
    <t>Mansione</t>
  </si>
  <si>
    <t>RAL</t>
  </si>
  <si>
    <t>Contributi 13ma</t>
  </si>
  <si>
    <t>Contributi 14m</t>
  </si>
  <si>
    <t>Costo totale</t>
  </si>
  <si>
    <t>Dir. Controllo</t>
  </si>
  <si>
    <t>Resp. Acquisti</t>
  </si>
  <si>
    <t>Resp. Marketing</t>
  </si>
  <si>
    <t>Dir. Operations</t>
  </si>
  <si>
    <t>Resp. Produzione</t>
  </si>
  <si>
    <t>Addetto prod. 1</t>
  </si>
  <si>
    <t>Addetto prod. 2</t>
  </si>
  <si>
    <t>Addetto prod. 3</t>
  </si>
  <si>
    <t>Addetto prod. 4</t>
  </si>
  <si>
    <t>Addetto prod. 5</t>
  </si>
  <si>
    <t>Addetto prod. 6</t>
  </si>
  <si>
    <t>Addetto prod. 7</t>
  </si>
  <si>
    <t>Addetto prod. 8</t>
  </si>
  <si>
    <t>Addetto prod. 9</t>
  </si>
  <si>
    <t>Addetto prod. 10</t>
  </si>
  <si>
    <t>Addetto prod. 11</t>
  </si>
  <si>
    <t>Addetto prod. 12</t>
  </si>
  <si>
    <t>Addetto prod. 13</t>
  </si>
  <si>
    <t>Addetto prod. 14</t>
  </si>
  <si>
    <t>Addetto prod. 15</t>
  </si>
  <si>
    <t>Addetto prod. 16</t>
  </si>
  <si>
    <t>Addetto prod. 17</t>
  </si>
  <si>
    <t>Addetto prod. 18</t>
  </si>
  <si>
    <t>Addetto prod. 19</t>
  </si>
  <si>
    <t>Addetto prod. 20</t>
  </si>
  <si>
    <t>Addetto prod. 21</t>
  </si>
  <si>
    <t>Addetto prod. 22</t>
  </si>
  <si>
    <t>Addetto prod. 23</t>
  </si>
  <si>
    <t>Addetto prod. 24</t>
  </si>
  <si>
    <t>Addetto prod. 25</t>
  </si>
  <si>
    <t>Addetto prod. 26</t>
  </si>
  <si>
    <t>Addetto prod. 27</t>
  </si>
  <si>
    <t>Addetto prod. 28</t>
  </si>
  <si>
    <t>Addetto prod. 29</t>
  </si>
  <si>
    <t>Addetto prod. 30</t>
  </si>
  <si>
    <t>Addetto prod. 31</t>
  </si>
  <si>
    <t>Addetto prod. 32</t>
  </si>
  <si>
    <t>Addetto prod. 33</t>
  </si>
  <si>
    <t>Addetto prod. 34</t>
  </si>
  <si>
    <t>Addetto prod. 35</t>
  </si>
  <si>
    <t>Addetto prod. 36</t>
  </si>
  <si>
    <t>Addetto prod. 37</t>
  </si>
  <si>
    <t>Addetto prod. 38</t>
  </si>
  <si>
    <t>Addetto prod. 39</t>
  </si>
  <si>
    <t>Addetto prod. 40</t>
  </si>
  <si>
    <t>Addetto prod. 41</t>
  </si>
  <si>
    <t>Addetto prod. 42</t>
  </si>
  <si>
    <t>Addetto prod. 43</t>
  </si>
  <si>
    <t>Addetto prod. 44</t>
  </si>
  <si>
    <t>Addetto prod. 45</t>
  </si>
  <si>
    <t>Addetto prod. 46</t>
  </si>
  <si>
    <t>Addetto prod. 47</t>
  </si>
  <si>
    <t>Addetto prod. 48</t>
  </si>
  <si>
    <t>Addetto prod. 49</t>
  </si>
  <si>
    <t>Addetto prod. 50</t>
  </si>
  <si>
    <t>Addetto prod. 51</t>
  </si>
  <si>
    <t>Addetto prod. 52</t>
  </si>
  <si>
    <t>Addetto prod. 53</t>
  </si>
  <si>
    <t>Addetto prod. 54</t>
  </si>
  <si>
    <t>Addetto prod. 55</t>
  </si>
  <si>
    <t>Addetto prod. 56</t>
  </si>
  <si>
    <t>Addetto prod. 57</t>
  </si>
  <si>
    <t>Addetto prod. 58</t>
  </si>
  <si>
    <t>Addetto prod. 59</t>
  </si>
  <si>
    <t>Addetto prod. 60</t>
  </si>
  <si>
    <t>Addetto prod. 61</t>
  </si>
  <si>
    <t>Addetto prod. 62</t>
  </si>
  <si>
    <t>Addetto prod. 63</t>
  </si>
  <si>
    <t>Addetto prod. 64</t>
  </si>
  <si>
    <t>Addetto prod. 65</t>
  </si>
  <si>
    <t>Addetto prod. 66</t>
  </si>
  <si>
    <t>Addetto prod. 67</t>
  </si>
  <si>
    <t>Addetto prod. 68</t>
  </si>
  <si>
    <t>Addetto prod. 69</t>
  </si>
  <si>
    <t>Addetto prod. 70</t>
  </si>
  <si>
    <t>Addetto prod. 71</t>
  </si>
  <si>
    <t>Addetto prod. 72</t>
  </si>
  <si>
    <t>Addetto prod. 73</t>
  </si>
  <si>
    <t>Addetto prod. 74</t>
  </si>
  <si>
    <t>Addetto prod. 75</t>
  </si>
  <si>
    <t>Addetto prod. 76</t>
  </si>
  <si>
    <t>Addetto prod. 77</t>
  </si>
  <si>
    <t>Addetto prod. 78</t>
  </si>
  <si>
    <t>Addetto prod. 79</t>
  </si>
  <si>
    <t>Addetto prod. 80</t>
  </si>
  <si>
    <t>Addetto prod. 81</t>
  </si>
  <si>
    <t>Addetto prod. 82</t>
  </si>
  <si>
    <t>Addetto prod. 83</t>
  </si>
  <si>
    <t>Addetto prod. 84</t>
  </si>
  <si>
    <t>Addetto prod. 85</t>
  </si>
  <si>
    <t>Addetto prod. 86</t>
  </si>
  <si>
    <t>Addetto prod. 87</t>
  </si>
  <si>
    <t>Addetto prod. 88</t>
  </si>
  <si>
    <t>Addetto prod. 89</t>
  </si>
  <si>
    <t>Addetto prod. 90</t>
  </si>
  <si>
    <t>Addetto prod. 91</t>
  </si>
  <si>
    <t>Addetto prod. 92</t>
  </si>
  <si>
    <t>Addetto prod. 93</t>
  </si>
  <si>
    <t>Addetto prod. 94</t>
  </si>
  <si>
    <t>Addetto prod. 95</t>
  </si>
  <si>
    <t>Addetto prod. 96</t>
  </si>
  <si>
    <t>Addetto prod. 97</t>
  </si>
  <si>
    <t>Addetto prod. 98</t>
  </si>
  <si>
    <t>Addetto prod. 99</t>
  </si>
  <si>
    <t>Addetto prod. 100</t>
  </si>
  <si>
    <t>Addetto prod. 101</t>
  </si>
  <si>
    <t>Addetto prod. 102</t>
  </si>
  <si>
    <t>Addetto prod. 103</t>
  </si>
  <si>
    <t>Addetto prod. 104</t>
  </si>
  <si>
    <t>Addetto prod. 105</t>
  </si>
  <si>
    <t>Addetto prod. 106</t>
  </si>
  <si>
    <t>Addetto prod. 107</t>
  </si>
  <si>
    <t>Addetto prod. 108</t>
  </si>
  <si>
    <t>Addetto prod. 109</t>
  </si>
  <si>
    <t>Acquisti</t>
  </si>
  <si>
    <t>Marketing</t>
  </si>
  <si>
    <t>Operations</t>
  </si>
  <si>
    <t>Produzione</t>
  </si>
  <si>
    <t>Handling</t>
  </si>
  <si>
    <t>Resp. Handl</t>
  </si>
  <si>
    <t>Addetto Handling 1</t>
  </si>
  <si>
    <t>Addetto Handling 2</t>
  </si>
  <si>
    <t>Addetto Handling 3</t>
  </si>
  <si>
    <t>Addetto Handling 4</t>
  </si>
  <si>
    <t>Addetto Handling 5</t>
  </si>
  <si>
    <t>Addetto Handling 6</t>
  </si>
  <si>
    <t>Addetto Handling 7</t>
  </si>
  <si>
    <t>Addetto Handling 8</t>
  </si>
  <si>
    <t>Addetto Handling 9</t>
  </si>
  <si>
    <t>Addetto Handling 10</t>
  </si>
  <si>
    <t>Addetto Handling 11</t>
  </si>
  <si>
    <t>Addetto Handling 12</t>
  </si>
  <si>
    <t>Addetto Handling 13</t>
  </si>
  <si>
    <t>Addetto Handling 14</t>
  </si>
  <si>
    <t>Addetto Handling 15</t>
  </si>
  <si>
    <t>Controllo qualità</t>
  </si>
  <si>
    <t>Gestione magazzino</t>
  </si>
  <si>
    <t>Addetto gest. magazzino 1</t>
  </si>
  <si>
    <t>Addetto gest. magazzino 2</t>
  </si>
  <si>
    <t>Addetto trasporti 1</t>
  </si>
  <si>
    <t>Addetto trasporti 2</t>
  </si>
  <si>
    <t>Trasporti</t>
  </si>
  <si>
    <t>Commerciale</t>
  </si>
  <si>
    <t>Dir. Commerciale</t>
  </si>
  <si>
    <t>Resp. Canale tradizionale</t>
  </si>
  <si>
    <t>Resp. Canale televendite</t>
  </si>
  <si>
    <t>Resp. Canale gdo</t>
  </si>
  <si>
    <t>Addetto vendite 1</t>
  </si>
  <si>
    <t>Addetto vendite 2</t>
  </si>
  <si>
    <t>Addetto vendite 3</t>
  </si>
  <si>
    <t>Addetto vendite 4</t>
  </si>
  <si>
    <t>Addetto vendite 5</t>
  </si>
  <si>
    <t>Call center 1</t>
  </si>
  <si>
    <t>Call center 2</t>
  </si>
  <si>
    <t>Call center 3</t>
  </si>
  <si>
    <t>Call center 4</t>
  </si>
  <si>
    <t>Call center 5</t>
  </si>
  <si>
    <t>Call center 6</t>
  </si>
  <si>
    <t>Call center 7</t>
  </si>
  <si>
    <t>Call center 8</t>
  </si>
  <si>
    <t>Call center 9</t>
  </si>
  <si>
    <t>Call center 10</t>
  </si>
  <si>
    <t>Call center 11</t>
  </si>
  <si>
    <t>Call center 12</t>
  </si>
  <si>
    <t>Call center 13</t>
  </si>
  <si>
    <t>Call center 14</t>
  </si>
  <si>
    <t>Call center 15</t>
  </si>
  <si>
    <t>Call center 16</t>
  </si>
  <si>
    <t>Call center 17</t>
  </si>
  <si>
    <t>Call center 18</t>
  </si>
  <si>
    <t>Call center 19</t>
  </si>
  <si>
    <t>Call center 20</t>
  </si>
  <si>
    <t>Call center 21</t>
  </si>
  <si>
    <t>Call center 22</t>
  </si>
  <si>
    <t>Call center 23</t>
  </si>
  <si>
    <t>Call center 24</t>
  </si>
  <si>
    <t>Call center 25</t>
  </si>
  <si>
    <t>Call center 26</t>
  </si>
  <si>
    <t>Call center 27</t>
  </si>
  <si>
    <t>Call center 28</t>
  </si>
  <si>
    <t>Call center 29</t>
  </si>
  <si>
    <t>Call center 30</t>
  </si>
  <si>
    <t>Ass. clienti 1</t>
  </si>
  <si>
    <t>Ass. clienti 2</t>
  </si>
  <si>
    <t>Ass. clienti 3</t>
  </si>
  <si>
    <t>Dir. Amministrativo</t>
  </si>
  <si>
    <t>Fornitori</t>
  </si>
  <si>
    <t>Tesoreria</t>
  </si>
  <si>
    <t>Contabilità Generale</t>
  </si>
  <si>
    <t>Dir. Generale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</si>
  <si>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</si>
  <si>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</si>
  <si>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</si>
  <si>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</si>
  <si>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</si>
  <si>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</si>
  <si>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</si>
  <si>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</si>
  <si>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</si>
  <si>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</si>
  <si>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</si>
  <si>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</si>
  <si>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</si>
  <si>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</si>
  <si>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</si>
  <si>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</si>
  <si>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</si>
  <si>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</si>
  <si>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</si>
  <si>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</si>
  <si>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</si>
  <si>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</si>
  <si>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</si>
  <si>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</si>
  <si>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</si>
  <si>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</si>
  <si>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</si>
  <si>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</si>
  <si>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</si>
  <si>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</si>
  <si>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</si>
  <si>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</si>
  <si>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</si>
  <si>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</si>
  <si>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</si>
  <si>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</si>
  <si>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</si>
  <si>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</si>
  <si>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</si>
  <si>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</si>
  <si>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</si>
  <si>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</si>
  <si>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</si>
  <si>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</si>
  <si>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</si>
  <si>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</si>
  <si>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</si>
  <si>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</si>
  <si>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</si>
  <si>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</si>
  <si>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</si>
  <si>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</si>
  <si>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</si>
  <si>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</si>
  <si>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</si>
  <si>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</si>
  <si>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</si>
  <si>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</si>
  <si>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</si>
  <si>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</si>
  <si>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</si>
  <si>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</si>
  <si>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</si>
  <si>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</si>
  <si>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</si>
  <si>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</si>
  <si>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</si>
  <si>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</si>
  <si>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</si>
  <si>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</si>
  <si>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</si>
  <si>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</si>
  <si>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</si>
  <si>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</si>
  <si>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</si>
  <si>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</si>
  <si>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</si>
  <si>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</si>
  <si>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</si>
  <si>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</si>
  <si>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</si>
  <si>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</si>
  <si>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</si>
  <si>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</si>
  <si>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</si>
  <si>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</si>
  <si>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</si>
  <si>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</si>
  <si>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</si>
  <si>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</si>
  <si>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</si>
  <si>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</si>
  <si>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</si>
  <si>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</si>
  <si>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</si>
  <si>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</si>
  <si>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</si>
  <si>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</si>
  <si>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</si>
  <si>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</si>
  <si>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</si>
  <si>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</si>
  <si>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</si>
  <si>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</si>
  <si>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</si>
  <si>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</si>
  <si>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</si>
  <si>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</si>
  <si>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</si>
  <si>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</si>
  <si>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</si>
  <si>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</si>
  <si>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</si>
  <si>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</si>
  <si>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</si>
  <si>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</si>
  <si>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</si>
  <si>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</si>
  <si>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</si>
  <si>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</si>
  <si>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</si>
  <si>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</si>
  <si>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</si>
  <si>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</si>
  <si>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</si>
  <si>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</si>
  <si>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</si>
  <si>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</si>
  <si>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</si>
  <si>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</si>
  <si>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</si>
  <si>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</si>
  <si>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</si>
  <si>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</si>
  <si>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</si>
  <si>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</si>
  <si>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</si>
  <si>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</si>
  <si>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</si>
  <si>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</si>
  <si>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</si>
  <si>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</si>
  <si>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</si>
  <si>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</si>
  <si>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</si>
  <si>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</si>
  <si>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</si>
  <si>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</si>
  <si>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</si>
  <si>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</si>
  <si>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</si>
  <si>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</si>
  <si>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</si>
  <si>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</si>
  <si>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</si>
  <si>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</si>
  <si>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</si>
  <si>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</si>
  <si>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</si>
  <si>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</si>
  <si>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</si>
  <si>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</si>
  <si>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</si>
  <si>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</si>
  <si>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</si>
  <si>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</si>
  <si>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</si>
  <si>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</si>
  <si>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</si>
  <si>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</si>
  <si>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</si>
  <si>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</si>
  <si>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</si>
  <si>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</si>
  <si>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</si>
  <si>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</si>
  <si>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</si>
  <si>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</si>
  <si>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</si>
  <si>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</si>
  <si>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</si>
  <si>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</si>
  <si>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</si>
  <si>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</si>
  <si>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</si>
  <si>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linea</t>
  </si>
  <si>
    <t>Staff</t>
  </si>
  <si>
    <t>Assistenza clienti</t>
  </si>
  <si>
    <t>Call center</t>
  </si>
  <si>
    <t>Logistica</t>
  </si>
  <si>
    <t>Co.Ge.</t>
  </si>
  <si>
    <t>Credito</t>
  </si>
  <si>
    <t>Credito 1</t>
  </si>
  <si>
    <t>Credito 2</t>
  </si>
  <si>
    <t>FTE</t>
  </si>
  <si>
    <t>Contributi RAL</t>
  </si>
  <si>
    <t>Contributi 14ma</t>
  </si>
  <si>
    <t>Funzioni</t>
  </si>
  <si>
    <t>Call Center</t>
  </si>
  <si>
    <t>Addetto logistica 1</t>
  </si>
  <si>
    <t>Amministrazione</t>
  </si>
  <si>
    <t>Totale Azienda</t>
  </si>
  <si>
    <t>Costo per FTE</t>
  </si>
  <si>
    <t>Tabella 10 - Informazioni necessarie per la predisposizione del budget del lavoro</t>
  </si>
  <si>
    <t>mese assunzione</t>
  </si>
  <si>
    <t>gg lavorabili</t>
  </si>
  <si>
    <t>Retribuzione</t>
  </si>
  <si>
    <t>Oneri sociali</t>
  </si>
  <si>
    <t>Contributi su retribuzione</t>
  </si>
  <si>
    <t>Contributi su 13ma</t>
  </si>
  <si>
    <t>Contributi su 14ma</t>
  </si>
  <si>
    <t>Tab. 11 - budget costo del lavoro</t>
  </si>
  <si>
    <t>totale pregressi</t>
  </si>
  <si>
    <t>totale assunti</t>
  </si>
  <si>
    <t>- gg ferie</t>
  </si>
  <si>
    <t>= gg lavorati</t>
  </si>
  <si>
    <t>costo ferie</t>
  </si>
  <si>
    <t>All. 6 - Dettaglio costi fissi</t>
  </si>
  <si>
    <t>Luce</t>
  </si>
  <si>
    <t>Riscaldamento</t>
  </si>
  <si>
    <t>Affitti</t>
  </si>
  <si>
    <t>Ammortamenti macchine</t>
  </si>
  <si>
    <t>Ammortamenti produzione</t>
  </si>
  <si>
    <t>Assicurazioni industriali</t>
  </si>
  <si>
    <t>Prestazioni da terzi</t>
  </si>
  <si>
    <t>Manutenzioni</t>
  </si>
  <si>
    <t>Costi industriali</t>
  </si>
  <si>
    <t>Dettaglio altri costi generali:</t>
  </si>
  <si>
    <t>Energia</t>
  </si>
  <si>
    <t>Affitto uffici</t>
  </si>
  <si>
    <t>Consulenze</t>
  </si>
  <si>
    <t>Collegio Sindacale</t>
  </si>
  <si>
    <t>Certificazione bilanio</t>
  </si>
  <si>
    <t>Legali</t>
  </si>
  <si>
    <t>Emolumenti aministratori</t>
  </si>
  <si>
    <t>IT</t>
  </si>
  <si>
    <t>Assicurazioni generali</t>
  </si>
  <si>
    <t>Postali/telefono</t>
  </si>
  <si>
    <t>Auto</t>
  </si>
  <si>
    <t>Altri costi</t>
  </si>
  <si>
    <t>Dettaglio altri costi fissi:</t>
  </si>
  <si>
    <t>Sicurezza sul lavoro</t>
  </si>
  <si>
    <t>Consulenza paghe</t>
  </si>
  <si>
    <t>Fiscalista</t>
  </si>
  <si>
    <t>Totale consulenze</t>
  </si>
  <si>
    <t>Macchinari</t>
  </si>
  <si>
    <t>4 macchine</t>
  </si>
  <si>
    <t>Rischi prodotti</t>
  </si>
  <si>
    <t>Dipendenti</t>
  </si>
  <si>
    <t>Amministratori</t>
  </si>
  <si>
    <t>Totale assicurazioni</t>
  </si>
  <si>
    <t>ind</t>
  </si>
  <si>
    <t>All. 7 - Costo ammortamenti</t>
  </si>
  <si>
    <t>Costo storico (N-1)</t>
  </si>
  <si>
    <t>Acquisti (N)</t>
  </si>
  <si>
    <t>Dismissioni (N)</t>
  </si>
  <si>
    <t>Cespiti (N)</t>
  </si>
  <si>
    <t>Fondo (N-1)</t>
  </si>
  <si>
    <t>Amm.ti (N)</t>
  </si>
  <si>
    <t>Fondo (N)</t>
  </si>
  <si>
    <t>Prod.</t>
  </si>
  <si>
    <t>No prod.</t>
  </si>
  <si>
    <t>Impianti generici</t>
  </si>
  <si>
    <t>Macchinari specifici (linea poliuretano)</t>
  </si>
  <si>
    <t>Macchinari specifici (linea a molle)</t>
  </si>
  <si>
    <t>Arredi</t>
  </si>
  <si>
    <t>Macchine Elettroniche</t>
  </si>
  <si>
    <t>Mezzi interni di trasporto</t>
  </si>
  <si>
    <t>Beni inf.  a 516,46€</t>
  </si>
  <si>
    <t>Software in licenza</t>
  </si>
  <si>
    <t>Marchi e brevetti</t>
  </si>
  <si>
    <t>Spese lancio prodotto</t>
  </si>
  <si>
    <t>Spese di sviluppo</t>
  </si>
  <si>
    <t>di cui:</t>
  </si>
  <si>
    <t>materiali</t>
  </si>
  <si>
    <t>immateriali</t>
  </si>
  <si>
    <t>Aliquote amm.to</t>
  </si>
  <si>
    <t>Preconsutivo (N)</t>
  </si>
  <si>
    <t>Cespiti</t>
  </si>
  <si>
    <t>Amm.ti N</t>
  </si>
  <si>
    <t>Costo storico (N)</t>
  </si>
  <si>
    <t>Acquisti (N+1)</t>
  </si>
  <si>
    <t>Dismissioni (N+1)</t>
  </si>
  <si>
    <t>Cespiti (N+1)</t>
  </si>
  <si>
    <t>Amm.ti (N+1)</t>
  </si>
  <si>
    <t>Fondo (N+1)</t>
  </si>
  <si>
    <t>All. 8 - Cicli di lavorazione</t>
  </si>
  <si>
    <t>min/uomo</t>
  </si>
  <si>
    <t>min/macchina</t>
  </si>
  <si>
    <t>Fase 2</t>
  </si>
  <si>
    <t>Fase 1</t>
  </si>
  <si>
    <t>Fase 3</t>
  </si>
  <si>
    <t>Fase 4</t>
  </si>
  <si>
    <t>Fase 5</t>
  </si>
  <si>
    <t>All. 9 - Dati per calcolo tempo macchina a disposizione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</si>
  <si>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</si>
  <si>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</si>
  <si>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</si>
  <si>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</si>
  <si>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</si>
  <si>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</si>
  <si>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</si>
  <si>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Sedi:</t>
  </si>
  <si>
    <t>mq uffici</t>
  </si>
  <si>
    <t>mq produzione molle</t>
  </si>
  <si>
    <t>mq produzione poliuretano</t>
  </si>
  <si>
    <t>mq magazzino</t>
  </si>
  <si>
    <t>Valore riferimento:</t>
  </si>
  <si>
    <t>€/mq affitto uffici</t>
  </si>
  <si>
    <t>N.ro macchine:</t>
  </si>
  <si>
    <t>N. macchine molle</t>
  </si>
  <si>
    <t>N. macchine poliuretano</t>
  </si>
  <si>
    <t>N. righe in entrata merce</t>
  </si>
  <si>
    <t>N. righe spedizione</t>
  </si>
  <si>
    <t>All. 11 - Dati per riparto costo del lavoro</t>
  </si>
  <si>
    <t>Uomini diretti a disposizione</t>
  </si>
  <si>
    <t>linea molle</t>
  </si>
  <si>
    <t>linea poliuretano</t>
  </si>
  <si>
    <t>gg lavorabili uomo</t>
  </si>
  <si>
    <t>gg inventario uomo</t>
  </si>
  <si>
    <t>assenteismo individuale</t>
  </si>
  <si>
    <t>ore turno uomo</t>
  </si>
  <si>
    <t>ore straordinario uomo</t>
  </si>
  <si>
    <t>All. 10 - Dati per riparto costi</t>
  </si>
  <si>
    <t>Tab. 12 - Check capacità produttiva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</si>
  <si>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</si>
  <si>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</si>
  <si>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</si>
  <si>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</si>
  <si>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</si>
  <si>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</si>
  <si>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</si>
  <si>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</si>
  <si>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</si>
  <si>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</si>
  <si>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</si>
  <si>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</si>
  <si>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</si>
  <si>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</si>
  <si>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Tab. 13 - Check capacità produttiva MACCHINA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</si>
  <si>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</si>
  <si>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</si>
  <si>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</si>
  <si>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</si>
  <si>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</si>
  <si>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</si>
  <si>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Tab.14 - Configurazione di costo: VARIABILE INDUSTRIALE</t>
  </si>
  <si>
    <t>Altri costi variabili</t>
  </si>
  <si>
    <t>€/pezzo</t>
  </si>
  <si>
    <t>Costo standard minuto macchina variabile:</t>
  </si>
  <si>
    <t>ore disponibili</t>
  </si>
  <si>
    <t>quantità da produrre</t>
  </si>
  <si>
    <t>ore necessarie</t>
  </si>
  <si>
    <t xml:space="preserve"> </t>
  </si>
  <si>
    <t>Forza motrice</t>
  </si>
  <si>
    <t>Costo standard minuto</t>
  </si>
  <si>
    <t>Costo standard minuto uomini DIRETTI:</t>
  </si>
  <si>
    <t>Costo MOD</t>
  </si>
  <si>
    <t>Quantità da produrre</t>
  </si>
  <si>
    <t>Costo lavoro diretto assorbito</t>
  </si>
  <si>
    <t>Costo lavoro diretto non assorbito</t>
  </si>
  <si>
    <t>Costo standard minuto macchina DIRETTI:</t>
  </si>
  <si>
    <t>Costi diretti industriali</t>
  </si>
  <si>
    <t>Costo standard orario MOD</t>
  </si>
  <si>
    <t>Costo standard minuto MOD</t>
  </si>
  <si>
    <t>Costo standard minuto CDI</t>
  </si>
  <si>
    <t>Costo standard orario CDI</t>
  </si>
  <si>
    <t>Tab.16 - Configurazione di costo: DIRETTO INDUSTRIALE</t>
  </si>
  <si>
    <t>Tab.15 - Budget degli altri costi fissi</t>
  </si>
  <si>
    <t>Altri costi diretti industriali assorbiti</t>
  </si>
  <si>
    <t>Altri costi diretti industriali non assorbiti</t>
  </si>
  <si>
    <t>Costo industriale lavoro indiretto</t>
  </si>
  <si>
    <t>Altri costi industriali</t>
  </si>
  <si>
    <t>Basi di riparto</t>
  </si>
  <si>
    <t>n. righe</t>
  </si>
  <si>
    <t>mq</t>
  </si>
  <si>
    <t>60€/mq*uff</t>
  </si>
  <si>
    <t>diretti</t>
  </si>
  <si>
    <t>n. macchine</t>
  </si>
  <si>
    <t>Produzione diretti MOLLE</t>
  </si>
  <si>
    <t>Produzione diretti POLIURETANO</t>
  </si>
  <si>
    <t>Commerciali</t>
  </si>
  <si>
    <t>Uffici</t>
  </si>
  <si>
    <t>Produzione 
indiretti</t>
  </si>
  <si>
    <t>Magazzino 
indiretti</t>
  </si>
  <si>
    <t>comm</t>
  </si>
  <si>
    <t>Tab.17 - Configurazione di costo: INDUSTRIALE PIENO</t>
  </si>
  <si>
    <t>Costi diretti</t>
  </si>
  <si>
    <t>Costi indiretti</t>
  </si>
  <si>
    <t>Costo standard minuto uomini INDIRETTI:</t>
  </si>
  <si>
    <t>Costo uomini indiretti</t>
  </si>
  <si>
    <t>Costi indiretti industriali</t>
  </si>
  <si>
    <t>Costo standard orario CII</t>
  </si>
  <si>
    <t>Costo standard minuto CII</t>
  </si>
  <si>
    <t>Totale  costi indiretti non assorbiti</t>
  </si>
  <si>
    <t>Totale  costi diretti non assorbiti</t>
  </si>
  <si>
    <t>Agente 1</t>
  </si>
  <si>
    <t>Agente 2</t>
  </si>
  <si>
    <t>Agente 3</t>
  </si>
  <si>
    <t>Agente 4</t>
  </si>
  <si>
    <t>Agente 5</t>
  </si>
  <si>
    <t>Agente 6</t>
  </si>
  <si>
    <t>Agente 7</t>
  </si>
  <si>
    <t>Agente 8</t>
  </si>
  <si>
    <t>Agente 9</t>
  </si>
  <si>
    <t>Agente 10</t>
  </si>
  <si>
    <t>Agente 11</t>
  </si>
  <si>
    <t>Agente 12</t>
  </si>
  <si>
    <t>Agente 13</t>
  </si>
  <si>
    <t>Agente 14</t>
  </si>
  <si>
    <t>Agente 15</t>
  </si>
  <si>
    <t>Agente 16</t>
  </si>
  <si>
    <t>Agente 17</t>
  </si>
  <si>
    <t>Agente 18</t>
  </si>
  <si>
    <t>Agente 19</t>
  </si>
  <si>
    <t>Agente 20</t>
  </si>
  <si>
    <t>Agente 21</t>
  </si>
  <si>
    <t>Agente 22</t>
  </si>
  <si>
    <t>Agente 23</t>
  </si>
  <si>
    <t>Agente 24</t>
  </si>
  <si>
    <t>Agente 25</t>
  </si>
  <si>
    <t>Agente 26</t>
  </si>
  <si>
    <t>Agente 27</t>
  </si>
  <si>
    <t>Agente 28</t>
  </si>
  <si>
    <t>Agente 29</t>
  </si>
  <si>
    <t>Agente 30</t>
  </si>
  <si>
    <t>Agente 31</t>
  </si>
  <si>
    <t>Agente 32</t>
  </si>
  <si>
    <t>Agente 33</t>
  </si>
  <si>
    <t>Agente 34</t>
  </si>
  <si>
    <t>Agente 35</t>
  </si>
  <si>
    <t>Agente 36</t>
  </si>
  <si>
    <t>Agente 37</t>
  </si>
  <si>
    <t>Agente 38</t>
  </si>
  <si>
    <t>Agente 39</t>
  </si>
  <si>
    <t>Agente 40</t>
  </si>
  <si>
    <t>Agente 41</t>
  </si>
  <si>
    <t>Agente 42</t>
  </si>
  <si>
    <t>Agente 43</t>
  </si>
  <si>
    <t>Agente 44</t>
  </si>
  <si>
    <t>Agente 45</t>
  </si>
  <si>
    <t>Agente 46</t>
  </si>
  <si>
    <t>Agente 47</t>
  </si>
  <si>
    <t>Agente 48</t>
  </si>
  <si>
    <t>Agente 49</t>
  </si>
  <si>
    <t>Agente 50</t>
  </si>
  <si>
    <t>Agente 51</t>
  </si>
  <si>
    <t>Agente 52</t>
  </si>
  <si>
    <t>Agente 53</t>
  </si>
  <si>
    <t>Agente 54</t>
  </si>
  <si>
    <t>Agente 55</t>
  </si>
  <si>
    <t>Agente 56</t>
  </si>
  <si>
    <t>Agente 57</t>
  </si>
  <si>
    <t>Agente 58</t>
  </si>
  <si>
    <t>Agente 59</t>
  </si>
  <si>
    <t>Agente 60</t>
  </si>
  <si>
    <t>Agente 61</t>
  </si>
  <si>
    <t>Agente 62</t>
  </si>
  <si>
    <t>Agente 63</t>
  </si>
  <si>
    <t>Agente 64</t>
  </si>
  <si>
    <t>Agente 65</t>
  </si>
  <si>
    <t>Agente 66</t>
  </si>
  <si>
    <t>Agente 67</t>
  </si>
  <si>
    <t>Agente 68</t>
  </si>
  <si>
    <t>Agente 69</t>
  </si>
  <si>
    <t>Agente 70</t>
  </si>
  <si>
    <t>Agente 71</t>
  </si>
  <si>
    <t>Agente 72</t>
  </si>
  <si>
    <t>Agente 73</t>
  </si>
  <si>
    <t>Agente 74</t>
  </si>
  <si>
    <t>Agente 75</t>
  </si>
  <si>
    <t>Agente 76</t>
  </si>
  <si>
    <t>Agente 77</t>
  </si>
  <si>
    <t>Agente 78</t>
  </si>
  <si>
    <t>Agente 79</t>
  </si>
  <si>
    <t>Agente 80</t>
  </si>
  <si>
    <t>Agente 81</t>
  </si>
  <si>
    <t>Agente 82</t>
  </si>
  <si>
    <t>Agente 83</t>
  </si>
  <si>
    <t>Agente 84</t>
  </si>
  <si>
    <t>Agente 85</t>
  </si>
  <si>
    <t>Agente 86</t>
  </si>
  <si>
    <t>Agente 87</t>
  </si>
  <si>
    <t>Agente 88</t>
  </si>
  <si>
    <t>Agente 89</t>
  </si>
  <si>
    <t>Agente 90</t>
  </si>
  <si>
    <t>Agente 91</t>
  </si>
  <si>
    <t>Agente 92</t>
  </si>
  <si>
    <t>Agente 93</t>
  </si>
  <si>
    <t>Agente 94</t>
  </si>
  <si>
    <t>Agente 95</t>
  </si>
  <si>
    <t>Agente 96</t>
  </si>
  <si>
    <t>Agente 97</t>
  </si>
  <si>
    <t>Agente 98</t>
  </si>
  <si>
    <t>Agente 99</t>
  </si>
  <si>
    <t>Agente 100</t>
  </si>
  <si>
    <t>Agente 101</t>
  </si>
  <si>
    <t>Agente 102</t>
  </si>
  <si>
    <t>Agente 103</t>
  </si>
  <si>
    <t>Agente 104</t>
  </si>
  <si>
    <t>Agente 105</t>
  </si>
  <si>
    <t>Agente 106</t>
  </si>
  <si>
    <t>Agente 107</t>
  </si>
  <si>
    <t>Agente 108</t>
  </si>
  <si>
    <t>Agente 109</t>
  </si>
  <si>
    <t>Agente 110</t>
  </si>
  <si>
    <t>Agente 111</t>
  </si>
  <si>
    <t>Agente 112</t>
  </si>
  <si>
    <t>Agente 113</t>
  </si>
  <si>
    <t>Agente 114</t>
  </si>
  <si>
    <t>Agente 115</t>
  </si>
  <si>
    <t>Agente 116</t>
  </si>
  <si>
    <t>Agente 117</t>
  </si>
  <si>
    <t>Agente 118</t>
  </si>
  <si>
    <t>Agente 119</t>
  </si>
  <si>
    <t>Agente 120</t>
  </si>
  <si>
    <t>Agente 121</t>
  </si>
  <si>
    <t>Agente 122</t>
  </si>
  <si>
    <t>Totale vecchi agenti (N)</t>
  </si>
  <si>
    <t>Totale nuovi agenti (N+1)</t>
  </si>
  <si>
    <t>Totale canale televendite</t>
  </si>
  <si>
    <t>Totale canale GDO</t>
  </si>
  <si>
    <t>Totale azienda</t>
  </si>
  <si>
    <t>%</t>
  </si>
  <si>
    <t>Provvigioni</t>
  </si>
  <si>
    <t>% provvigioni</t>
  </si>
  <si>
    <t>Totale canale tradizionale</t>
  </si>
  <si>
    <t>Fatturato Molle</t>
  </si>
  <si>
    <t>Fatturato Poliuretano</t>
  </si>
  <si>
    <t>FatturatoTotale</t>
  </si>
  <si>
    <t>Integrazione</t>
  </si>
  <si>
    <t>Incentivo</t>
  </si>
  <si>
    <t>var. totale</t>
  </si>
  <si>
    <t>check trad.</t>
  </si>
  <si>
    <t>check gdo</t>
  </si>
  <si>
    <t>fatturato vecchi agenti</t>
  </si>
  <si>
    <t>fatturato nuovi agenti</t>
  </si>
  <si>
    <t>var. molle vecchi agenti</t>
  </si>
  <si>
    <t>var. poliuretano vecchi agenti</t>
  </si>
  <si>
    <t>incentivo su incr. fatturato</t>
  </si>
  <si>
    <t>All. 12 - Dati stima vendite per agente</t>
  </si>
  <si>
    <t>Tab. 18 - Budget vendite per agente</t>
  </si>
  <si>
    <t>Tabella 19 - Budget provvigioni, integrazione e incentivi ad agenti mensilizzati</t>
  </si>
  <si>
    <t>provvigioni</t>
  </si>
  <si>
    <t>integrazione</t>
  </si>
  <si>
    <t>limite minimo compenso nuovi agenti trad. (gruppo 1)</t>
  </si>
  <si>
    <t>Integrazioni</t>
  </si>
  <si>
    <t>incentivo</t>
  </si>
  <si>
    <t>totale costo agenti</t>
  </si>
  <si>
    <t>fatturato molle+pol.</t>
  </si>
  <si>
    <t>Bdg</t>
  </si>
  <si>
    <t>Tabella 20 - Budget costi di promozione e televendita mensilizzati</t>
  </si>
  <si>
    <t>Costi promozione e televendita</t>
  </si>
  <si>
    <t>Tabella 21 - Budget costi di trasporto mensilizzati</t>
  </si>
  <si>
    <t>€/collo</t>
  </si>
  <si>
    <t>Costo trasporto su vendite</t>
  </si>
  <si>
    <t>N. colli</t>
  </si>
  <si>
    <t>Costo trasporto</t>
  </si>
  <si>
    <t>Costo del venduto</t>
  </si>
  <si>
    <t>Margine 1°</t>
  </si>
  <si>
    <t>Costo del lavoro commerciale</t>
  </si>
  <si>
    <t>Assicurazioni prodotti</t>
  </si>
  <si>
    <t>Costi commerciali</t>
  </si>
  <si>
    <t>Svalutazione crediti</t>
  </si>
  <si>
    <t>Costo del lavoro g&amp;a</t>
  </si>
  <si>
    <t>Fatturato Netto</t>
  </si>
  <si>
    <t>Margine 2°</t>
  </si>
  <si>
    <t>Costi industriali indiretti</t>
  </si>
  <si>
    <t>Costi industriali diretti</t>
  </si>
  <si>
    <t>Margine industriale pieno</t>
  </si>
  <si>
    <t>Provvigioni, incentivi e altri costi agenti</t>
  </si>
  <si>
    <t>Costo standard minuto macchina INDIRETTI:</t>
  </si>
  <si>
    <t>Tabella 21 - Budget dei costi commerciali e dei costi generali-amministrativi (riepilogo)</t>
  </si>
  <si>
    <t>Promozione e televendita</t>
  </si>
  <si>
    <t>MOD indiretti</t>
  </si>
  <si>
    <t>Controllo</t>
  </si>
  <si>
    <t>Ammortamenti g&amp;a</t>
  </si>
  <si>
    <t>Costi generali e amministrativi</t>
  </si>
  <si>
    <t>g&amp;a</t>
  </si>
  <si>
    <t>Consulenze g&amp;a</t>
  </si>
  <si>
    <t>Assicurazioni dipendenti</t>
  </si>
  <si>
    <t>Assicurazioni amministratori</t>
  </si>
  <si>
    <t>Altri costi fissi g&amp;a</t>
  </si>
  <si>
    <t>Conto economico a costi e ricavi della produzione venduta</t>
  </si>
  <si>
    <t>Conto economico a costi e ricavi della produzione allestita</t>
  </si>
  <si>
    <t>Variazione nei prodotti</t>
  </si>
  <si>
    <t>Tab.  23 - Valorizzazione delle rimanenze di prodotti</t>
  </si>
  <si>
    <t>Configurazione di costo INDUSTRIALE VARIABILE</t>
  </si>
  <si>
    <t>- Vendite</t>
  </si>
  <si>
    <t>+ Produzione necessaria</t>
  </si>
  <si>
    <t>= Giacenza finale</t>
  </si>
  <si>
    <t>Valore Globale della produzione</t>
  </si>
  <si>
    <t>Costo della produzione ottenuta</t>
  </si>
  <si>
    <t>Totale rimanenze prodotti</t>
  </si>
  <si>
    <t>Costi diretti capacità non utilizzata</t>
  </si>
  <si>
    <t>Consumi di materie prime</t>
  </si>
  <si>
    <t>Q prodotte</t>
  </si>
  <si>
    <t>Costo produzione allestita</t>
  </si>
  <si>
    <t>- var. prodotti</t>
  </si>
  <si>
    <t>Costi diretti UOMO + MACCHINA</t>
  </si>
  <si>
    <t>Configurazione di costo INDUSTRIALE DIRETTO</t>
  </si>
  <si>
    <t>Tab. 24 - Confronto costo del venduto/costo produzione ottenuta con configurazione di costo INDUSTRIALE VARIABILE</t>
  </si>
  <si>
    <t>Costi indiretti UOMO +. MACCHINA</t>
  </si>
  <si>
    <t>Configurazione di costo INDUSTRIALE PIENO</t>
  </si>
  <si>
    <t>Costi capacità non utilizzata</t>
  </si>
  <si>
    <t>- Var. rimanenze prodotti</t>
  </si>
  <si>
    <t>Costo d'acquisto materie prime</t>
  </si>
  <si>
    <t>- Var. rimanenze materie prime</t>
  </si>
  <si>
    <t>Var. materie prime</t>
  </si>
  <si>
    <t>MOD diretta</t>
  </si>
  <si>
    <t>MOD</t>
  </si>
  <si>
    <t>Altri costi industriali diretti</t>
  </si>
  <si>
    <t>MOD indiretta</t>
  </si>
  <si>
    <t>Altri costi industriali indiretti</t>
  </si>
  <si>
    <t xml:space="preserve">Costi (diretti) capacità non utilizzata </t>
  </si>
  <si>
    <t>Tab. 29 - Bdg economico mensilizzato a costo del venduto con configurazione di costo INDUSTRIALE PIENO</t>
  </si>
  <si>
    <t>Costi indiretti UOMO + MACCHINA</t>
  </si>
  <si>
    <t xml:space="preserve">Costi (indiretti) capacità non utilizzata </t>
  </si>
  <si>
    <t>Tab. 25 - Confronto costo del venduto/costo produzione ottenuta con configurazione di costo INDUSTRIALE DIRETTO</t>
  </si>
  <si>
    <t>Tab. 26 - Confronto costo del venduto/costo produzione ottenuta con configurazione di costo INDUSTRIALE PIENO</t>
  </si>
  <si>
    <t>Tab. 27 - Bdg economico mensilizzato a costo del venduto con configurazione di costo INDUSTRIALE VARIABILE</t>
  </si>
  <si>
    <t>Tab. 28 - Bdg economico mensilizzato a costo del venduto con configurazione di costo INDUSTRIALE DIRETTO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</si>
</sst>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  <numFmt numFmtId="170" formatCode="_-* #,##0.0_-;\-* #,##0.0_-;_-* &quot;-&quot;??_-;_-@_-"/>
  </numFmts>
  <fonts count="32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i/>
      <u/>
      <sz val="12"/>
      <name val="PT Sans Narrow"/>
      <family val="2"/>
      <charset val="204"/>
    </font>
    <font>
      <b/>
      <i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  <font>
      <sz val="12"/>
      <color theme="0" tint="-0.34998626667073579"/>
      <name val="PT Sans Narrow"/>
      <family val="2"/>
      <charset val="204"/>
    </font>
    <font>
      <b/>
      <sz val="12"/>
      <color theme="0" tint="-0.34998626667073579"/>
      <name val="PT Sans Narrow"/>
      <family val="2"/>
      <charset val="204"/>
    </font>
    <font>
      <u/>
      <sz val="10"/>
      <name val="PT Sans Narrow"/>
      <family val="2"/>
      <charset val="204"/>
    </font>
    <font>
      <i/>
      <sz val="10"/>
      <name val="PT Sans Narrow"/>
      <family val="2"/>
      <charset val="204"/>
    </font>
    <font>
      <b/>
      <sz val="10"/>
      <color theme="0"/>
      <name val="PT Sans Narrow"/>
      <family val="2"/>
      <charset val="204"/>
    </font>
    <font>
      <b/>
      <sz val="10"/>
      <color theme="4"/>
      <name val="PT Sans Narrow"/>
      <family val="2"/>
      <charset val="204"/>
    </font>
    <font>
      <sz val="10"/>
      <color theme="4"/>
      <name val="PT Sans Narrow"/>
      <family val="2"/>
      <charset val="204"/>
    </font>
    <font>
      <sz val="12"/>
      <color theme="4"/>
      <name val="PT Sans Narrow"/>
      <family val="2"/>
      <charset val="204"/>
    </font>
    <font>
      <i/>
      <sz val="12"/>
      <color theme="4"/>
      <name val="PT Sans Narrow"/>
      <family val="2"/>
      <charset val="204"/>
    </font>
    <font>
      <i/>
      <sz val="10"/>
      <color theme="4"/>
      <name val="Arial"/>
      <family val="2"/>
    </font>
    <font>
      <b/>
      <i/>
      <sz val="10"/>
      <name val="PT Sans Narrow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FFB"/>
        <bgColor indexed="64"/>
      </patternFill>
    </fill>
    <fill>
      <patternFill patternType="solid">
        <fgColor rgb="FFDAABC5"/>
        <bgColor indexed="64"/>
      </patternFill>
    </fill>
    <fill>
      <patternFill patternType="solid">
        <fgColor theme="2" tint="-9.9978637043366805E-2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832">
    <xf numFmtId="0" fontId="0" fillId="0" borderId="0" xfId="0"/>
    <xf numFmtId="0" fontId="0" fillId="0" borderId="0" xfId="0" applyBorder="1"/>
    <xf numFmtId="165" fontId="0" fillId="0" borderId="0" xfId="0" applyNumberFormat="1" applyBorder="1"/>
    <xf numFmtId="0" fontId="5" fillId="0" borderId="0" xfId="0" applyFont="1"/>
    <xf numFmtId="0" fontId="6" fillId="0" borderId="0" xfId="0" applyFont="1"/>
    <xf numFmtId="0" fontId="7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Fill="1" applyBorder="1" applyAlignment="1">
      <alignment horizontal="left"/>
    </xf>
    <xf numFmtId="3" fontId="7" fillId="0" borderId="11" xfId="0" applyNumberFormat="1" applyFont="1" applyFill="1" applyBorder="1" applyAlignment="1"/>
    <xf numFmtId="0" fontId="7" fillId="0" borderId="12" xfId="0" applyFont="1" applyFill="1" applyBorder="1" applyAlignment="1">
      <alignment horizontal="left"/>
    </xf>
    <xf numFmtId="3" fontId="6" fillId="0" borderId="12" xfId="0" applyNumberFormat="1" applyFont="1" applyFill="1" applyBorder="1" applyAlignment="1"/>
    <xf numFmtId="0" fontId="7" fillId="0" borderId="0" xfId="0" applyFont="1"/>
    <xf numFmtId="0" fontId="6" fillId="0" borderId="0" xfId="0" applyFont="1" applyFill="1"/>
    <xf numFmtId="0" fontId="6" fillId="0" borderId="1" xfId="0" applyFont="1" applyBorder="1"/>
    <xf numFmtId="0" fontId="7" fillId="0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6" fillId="2" borderId="16" xfId="0" applyFont="1" applyFill="1" applyBorder="1"/>
    <xf numFmtId="0" fontId="6" fillId="0" borderId="0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 applyFill="1" applyBorder="1"/>
    <xf numFmtId="0" fontId="6" fillId="0" borderId="2" xfId="0" applyFont="1" applyBorder="1" applyAlignme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165" fontId="6" fillId="0" borderId="0" xfId="0" applyNumberFormat="1" applyFont="1"/>
    <xf numFmtId="43" fontId="6" fillId="0" borderId="0" xfId="0" applyNumberFormat="1" applyFont="1"/>
    <xf numFmtId="0" fontId="7" fillId="0" borderId="0" xfId="0" applyFont="1" applyBorder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168" fontId="6" fillId="0" borderId="0" xfId="0" applyNumberFormat="1" applyFont="1"/>
    <xf numFmtId="0" fontId="7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0" xfId="0" applyFont="1" applyAlignment="1">
      <alignment vertical="center"/>
    </xf>
    <xf numFmtId="168" fontId="7" fillId="0" borderId="24" xfId="5" applyNumberFormat="1" applyFont="1" applyBorder="1"/>
    <xf numFmtId="0" fontId="6" fillId="0" borderId="0" xfId="0" applyFont="1" applyAlignment="1">
      <alignment vertical="center" wrapText="1"/>
    </xf>
    <xf numFmtId="168" fontId="6" fillId="4" borderId="0" xfId="5" applyNumberFormat="1" applyFont="1" applyFill="1"/>
    <xf numFmtId="0" fontId="6" fillId="0" borderId="0" xfId="0" applyFont="1" applyAlignment="1">
      <alignment horizontal="center"/>
    </xf>
    <xf numFmtId="0" fontId="6" fillId="0" borderId="21" xfId="0" applyFont="1" applyBorder="1"/>
    <xf numFmtId="3" fontId="6" fillId="0" borderId="0" xfId="0" applyNumberFormat="1" applyFont="1" applyBorder="1"/>
    <xf numFmtId="168" fontId="6" fillId="0" borderId="0" xfId="5" applyNumberFormat="1" applyFont="1" applyBorder="1"/>
    <xf numFmtId="168" fontId="7" fillId="0" borderId="11" xfId="5" applyNumberFormat="1" applyFont="1" applyBorder="1"/>
    <xf numFmtId="168" fontId="6" fillId="0" borderId="0" xfId="0" applyNumberFormat="1" applyFont="1" applyBorder="1"/>
    <xf numFmtId="168" fontId="6" fillId="6" borderId="0" xfId="0" applyNumberFormat="1" applyFont="1" applyFill="1"/>
    <xf numFmtId="10" fontId="6" fillId="0" borderId="0" xfId="4" applyNumberFormat="1" applyFont="1"/>
    <xf numFmtId="0" fontId="6" fillId="0" borderId="45" xfId="0" applyFont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46" xfId="0" applyFont="1" applyBorder="1"/>
    <xf numFmtId="0" fontId="6" fillId="0" borderId="36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Fill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0" xfId="0" applyNumberFormat="1" applyFont="1" applyFill="1" applyBorder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168" fontId="6" fillId="0" borderId="19" xfId="0" applyNumberFormat="1" applyFont="1" applyFill="1" applyBorder="1" applyAlignment="1">
      <alignment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9" fontId="6" fillId="4" borderId="55" xfId="0" applyNumberFormat="1" applyFont="1" applyFill="1" applyBorder="1" applyAlignment="1">
      <alignment horizontal="center" vertical="center"/>
    </xf>
    <xf numFmtId="168" fontId="6" fillId="0" borderId="58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8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0" fontId="6" fillId="9" borderId="60" xfId="0" applyFont="1" applyFill="1" applyBorder="1" applyAlignment="1">
      <alignment vertical="center"/>
    </xf>
    <xf numFmtId="168" fontId="6" fillId="0" borderId="62" xfId="0" applyNumberFormat="1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0" borderId="62" xfId="2" applyNumberFormat="1" applyFont="1" applyFill="1" applyBorder="1" applyAlignment="1">
      <alignment horizontal="center"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0" borderId="62" xfId="5" applyNumberFormat="1" applyFont="1" applyBorder="1" applyAlignment="1">
      <alignment vertical="center"/>
    </xf>
    <xf numFmtId="168" fontId="6" fillId="9" borderId="20" xfId="5" applyNumberFormat="1" applyFont="1" applyFill="1" applyBorder="1" applyAlignment="1">
      <alignment vertical="center"/>
    </xf>
    <xf numFmtId="9" fontId="6" fillId="0" borderId="62" xfId="4" applyFont="1" applyBorder="1" applyAlignment="1">
      <alignment horizontal="center" vertical="center"/>
    </xf>
    <xf numFmtId="9" fontId="6" fillId="9" borderId="20" xfId="4" applyFont="1" applyFill="1" applyBorder="1" applyAlignment="1">
      <alignment horizontal="center" vertical="center"/>
    </xf>
    <xf numFmtId="168" fontId="6" fillId="0" borderId="62" xfId="5" applyNumberFormat="1" applyFont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0" borderId="62" xfId="0" applyFont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6" fillId="0" borderId="62" xfId="0" applyFont="1" applyFill="1" applyBorder="1" applyAlignment="1">
      <alignment vertical="center"/>
    </xf>
    <xf numFmtId="0" fontId="7" fillId="0" borderId="62" xfId="0" applyFont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0" borderId="63" xfId="0" applyNumberFormat="1" applyFont="1" applyBorder="1" applyAlignment="1">
      <alignment vertical="center"/>
    </xf>
    <xf numFmtId="168" fontId="7" fillId="0" borderId="64" xfId="0" applyNumberFormat="1" applyFont="1" applyBorder="1" applyAlignment="1">
      <alignment vertical="center"/>
    </xf>
    <xf numFmtId="168" fontId="7" fillId="9" borderId="65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68" fontId="7" fillId="0" borderId="66" xfId="0" applyNumberFormat="1" applyFont="1" applyBorder="1" applyAlignment="1">
      <alignment vertical="center"/>
    </xf>
    <xf numFmtId="168" fontId="7" fillId="0" borderId="53" xfId="0" applyNumberFormat="1" applyFont="1" applyBorder="1" applyAlignment="1">
      <alignment vertical="center"/>
    </xf>
    <xf numFmtId="168" fontId="7" fillId="9" borderId="67" xfId="0" applyNumberFormat="1" applyFont="1" applyFill="1" applyBorder="1" applyAlignment="1">
      <alignment vertical="center"/>
    </xf>
    <xf numFmtId="0" fontId="6" fillId="10" borderId="60" xfId="0" applyFont="1" applyFill="1" applyBorder="1" applyAlignment="1">
      <alignment vertical="center"/>
    </xf>
    <xf numFmtId="168" fontId="6" fillId="10" borderId="20" xfId="0" applyNumberFormat="1" applyFont="1" applyFill="1" applyBorder="1" applyAlignment="1">
      <alignment vertical="center"/>
    </xf>
    <xf numFmtId="165" fontId="6" fillId="10" borderId="20" xfId="2" applyNumberFormat="1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vertical="center"/>
    </xf>
    <xf numFmtId="168" fontId="7" fillId="10" borderId="67" xfId="0" applyNumberFormat="1" applyFont="1" applyFill="1" applyBorder="1" applyAlignment="1">
      <alignment vertical="center"/>
    </xf>
    <xf numFmtId="9" fontId="6" fillId="10" borderId="20" xfId="4" applyFont="1" applyFill="1" applyBorder="1" applyAlignment="1">
      <alignment horizontal="center" vertical="center"/>
    </xf>
    <xf numFmtId="168" fontId="6" fillId="10" borderId="20" xfId="5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vertical="center"/>
    </xf>
    <xf numFmtId="0" fontId="7" fillId="10" borderId="20" xfId="0" applyFont="1" applyFill="1" applyBorder="1" applyAlignment="1">
      <alignment vertical="center"/>
    </xf>
    <xf numFmtId="168" fontId="7" fillId="10" borderId="65" xfId="0" applyNumberFormat="1" applyFont="1" applyFill="1" applyBorder="1" applyAlignment="1">
      <alignment vertical="center"/>
    </xf>
    <xf numFmtId="165" fontId="6" fillId="4" borderId="62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62" xfId="0" applyNumberFormat="1" applyFont="1" applyFill="1" applyBorder="1" applyAlignment="1">
      <alignment horizontal="center" vertical="center"/>
    </xf>
    <xf numFmtId="9" fontId="7" fillId="0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10" borderId="20" xfId="0" applyNumberFormat="1" applyFont="1" applyFill="1" applyBorder="1" applyAlignment="1">
      <alignment horizontal="center" vertical="center"/>
    </xf>
    <xf numFmtId="9" fontId="7" fillId="0" borderId="62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9" fontId="7" fillId="4" borderId="62" xfId="4" applyFont="1" applyFill="1" applyBorder="1" applyAlignment="1">
      <alignment horizontal="center" vertical="center"/>
    </xf>
    <xf numFmtId="9" fontId="7" fillId="10" borderId="20" xfId="4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10" borderId="20" xfId="4" applyNumberFormat="1" applyFont="1" applyFill="1" applyBorder="1" applyAlignment="1">
      <alignment horizontal="center" vertical="center"/>
    </xf>
    <xf numFmtId="10" fontId="6" fillId="0" borderId="62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62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10" borderId="20" xfId="4" applyNumberFormat="1" applyFont="1" applyFill="1" applyBorder="1" applyAlignment="1">
      <alignment horizontal="center" vertical="center"/>
    </xf>
    <xf numFmtId="10" fontId="7" fillId="0" borderId="63" xfId="4" applyNumberFormat="1" applyFont="1" applyBorder="1" applyAlignment="1">
      <alignment vertical="center"/>
    </xf>
    <xf numFmtId="10" fontId="7" fillId="0" borderId="64" xfId="4" applyNumberFormat="1" applyFont="1" applyBorder="1" applyAlignment="1">
      <alignment vertical="center"/>
    </xf>
    <xf numFmtId="10" fontId="7" fillId="10" borderId="65" xfId="4" applyNumberFormat="1" applyFont="1" applyFill="1" applyBorder="1" applyAlignment="1">
      <alignment vertical="center"/>
    </xf>
    <xf numFmtId="0" fontId="6" fillId="0" borderId="5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61" xfId="0" applyFont="1" applyBorder="1"/>
    <xf numFmtId="168" fontId="6" fillId="0" borderId="9" xfId="5" applyNumberFormat="1" applyFont="1" applyBorder="1"/>
    <xf numFmtId="168" fontId="6" fillId="0" borderId="47" xfId="5" applyNumberFormat="1" applyFont="1" applyBorder="1"/>
    <xf numFmtId="0" fontId="7" fillId="0" borderId="69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7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Fill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9" xfId="0" applyFont="1" applyBorder="1" applyAlignment="1">
      <alignment horizontal="center"/>
    </xf>
    <xf numFmtId="9" fontId="6" fillId="0" borderId="21" xfId="0" applyNumberFormat="1" applyFont="1" applyFill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Fill="1" applyBorder="1" applyAlignment="1">
      <alignment horizontal="left"/>
    </xf>
    <xf numFmtId="0" fontId="7" fillId="0" borderId="52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164" fontId="6" fillId="0" borderId="47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0" fontId="6" fillId="0" borderId="46" xfId="0" applyFont="1" applyBorder="1" applyAlignment="1">
      <alignment horizontal="left"/>
    </xf>
    <xf numFmtId="3" fontId="6" fillId="3" borderId="47" xfId="0" applyNumberFormat="1" applyFont="1" applyFill="1" applyBorder="1"/>
    <xf numFmtId="164" fontId="6" fillId="3" borderId="47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7" fillId="0" borderId="34" xfId="0" applyFont="1" applyBorder="1" applyAlignment="1">
      <alignment horizontal="left"/>
    </xf>
    <xf numFmtId="168" fontId="6" fillId="0" borderId="7" xfId="5" applyNumberFormat="1" applyFont="1" applyBorder="1"/>
    <xf numFmtId="168" fontId="6" fillId="0" borderId="3" xfId="5" applyNumberFormat="1" applyFont="1" applyBorder="1"/>
    <xf numFmtId="168" fontId="6" fillId="0" borderId="55" xfId="5" applyNumberFormat="1" applyFont="1" applyBorder="1"/>
    <xf numFmtId="168" fontId="6" fillId="0" borderId="30" xfId="5" applyNumberFormat="1" applyFont="1" applyBorder="1"/>
    <xf numFmtId="0" fontId="6" fillId="0" borderId="29" xfId="0" applyFont="1" applyBorder="1"/>
    <xf numFmtId="0" fontId="6" fillId="10" borderId="60" xfId="0" applyFont="1" applyFill="1" applyBorder="1" applyAlignment="1">
      <alignment horizontal="center"/>
    </xf>
    <xf numFmtId="0" fontId="6" fillId="0" borderId="59" xfId="0" applyFont="1" applyBorder="1"/>
    <xf numFmtId="168" fontId="7" fillId="10" borderId="60" xfId="5" applyNumberFormat="1" applyFont="1" applyFill="1" applyBorder="1"/>
    <xf numFmtId="168" fontId="7" fillId="10" borderId="20" xfId="5" applyNumberFormat="1" applyFont="1" applyFill="1" applyBorder="1"/>
    <xf numFmtId="168" fontId="7" fillId="10" borderId="43" xfId="5" applyNumberFormat="1" applyFont="1" applyFill="1" applyBorder="1"/>
    <xf numFmtId="0" fontId="7" fillId="0" borderId="63" xfId="0" applyFont="1" applyBorder="1"/>
    <xf numFmtId="168" fontId="7" fillId="0" borderId="15" xfId="5" applyNumberFormat="1" applyFont="1" applyBorder="1"/>
    <xf numFmtId="168" fontId="7" fillId="10" borderId="42" xfId="5" applyNumberFormat="1" applyFont="1" applyFill="1" applyBorder="1"/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2" fillId="8" borderId="4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165" fontId="7" fillId="0" borderId="50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0" borderId="71" xfId="0" applyFont="1" applyBorder="1" applyAlignment="1">
      <alignment vertical="center"/>
    </xf>
    <xf numFmtId="0" fontId="6" fillId="0" borderId="62" xfId="0" quotePrefix="1" applyFont="1" applyBorder="1" applyAlignment="1">
      <alignment vertical="center"/>
    </xf>
    <xf numFmtId="0" fontId="7" fillId="0" borderId="66" xfId="0" quotePrefix="1" applyFont="1" applyBorder="1" applyAlignment="1">
      <alignment vertical="center"/>
    </xf>
    <xf numFmtId="0" fontId="6" fillId="10" borderId="38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3" fontId="6" fillId="0" borderId="46" xfId="0" applyNumberFormat="1" applyFont="1" applyBorder="1" applyAlignment="1">
      <alignment vertical="center"/>
    </xf>
    <xf numFmtId="3" fontId="6" fillId="0" borderId="47" xfId="0" applyNumberFormat="1" applyFont="1" applyBorder="1" applyAlignment="1">
      <alignment vertical="center"/>
    </xf>
    <xf numFmtId="165" fontId="7" fillId="10" borderId="67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right" vertical="center"/>
    </xf>
    <xf numFmtId="9" fontId="7" fillId="0" borderId="69" xfId="0" applyNumberFormat="1" applyFont="1" applyFill="1" applyBorder="1" applyAlignment="1">
      <alignment horizontal="center" vertical="center"/>
    </xf>
    <xf numFmtId="9" fontId="7" fillId="0" borderId="72" xfId="0" applyNumberFormat="1" applyFont="1" applyFill="1" applyBorder="1" applyAlignment="1">
      <alignment horizontal="center" vertical="center"/>
    </xf>
    <xf numFmtId="0" fontId="6" fillId="7" borderId="60" xfId="0" applyFont="1" applyFill="1" applyBorder="1" applyAlignment="1">
      <alignment vertical="center"/>
    </xf>
    <xf numFmtId="168" fontId="6" fillId="7" borderId="20" xfId="0" applyNumberFormat="1" applyFont="1" applyFill="1" applyBorder="1" applyAlignment="1">
      <alignment vertical="center"/>
    </xf>
    <xf numFmtId="165" fontId="6" fillId="7" borderId="20" xfId="2" applyNumberFormat="1" applyFont="1" applyFill="1" applyBorder="1" applyAlignment="1">
      <alignment horizontal="center" vertical="center"/>
    </xf>
    <xf numFmtId="168" fontId="6" fillId="7" borderId="20" xfId="5" applyNumberFormat="1" applyFont="1" applyFill="1" applyBorder="1" applyAlignment="1">
      <alignment vertical="center"/>
    </xf>
    <xf numFmtId="168" fontId="7" fillId="7" borderId="67" xfId="0" applyNumberFormat="1" applyFont="1" applyFill="1" applyBorder="1" applyAlignment="1">
      <alignment vertical="center"/>
    </xf>
    <xf numFmtId="9" fontId="7" fillId="7" borderId="42" xfId="0" applyNumberFormat="1" applyFont="1" applyFill="1" applyBorder="1" applyAlignment="1">
      <alignment horizontal="center" vertical="center"/>
    </xf>
    <xf numFmtId="168" fontId="6" fillId="0" borderId="62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168" fontId="7" fillId="0" borderId="66" xfId="0" applyNumberFormat="1" applyFont="1" applyFill="1" applyBorder="1" applyAlignment="1">
      <alignment vertical="center"/>
    </xf>
    <xf numFmtId="168" fontId="7" fillId="0" borderId="53" xfId="0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horizontal="center" vertical="center"/>
    </xf>
    <xf numFmtId="0" fontId="17" fillId="0" borderId="46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7" fillId="0" borderId="55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164" fontId="18" fillId="0" borderId="0" xfId="5" applyFont="1" applyBorder="1" applyAlignment="1">
      <alignment vertical="center"/>
    </xf>
    <xf numFmtId="164" fontId="17" fillId="0" borderId="47" xfId="5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64" fontId="18" fillId="0" borderId="17" xfId="5" applyFont="1" applyBorder="1" applyAlignment="1">
      <alignment horizontal="center" vertical="center"/>
    </xf>
    <xf numFmtId="164" fontId="17" fillId="0" borderId="0" xfId="5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wrapText="1"/>
    </xf>
    <xf numFmtId="0" fontId="19" fillId="0" borderId="70" xfId="0" applyFont="1" applyFill="1" applyBorder="1" applyAlignment="1">
      <alignment vertical="center"/>
    </xf>
    <xf numFmtId="0" fontId="19" fillId="0" borderId="71" xfId="0" applyFont="1" applyFill="1" applyBorder="1" applyAlignment="1">
      <alignment vertical="center"/>
    </xf>
    <xf numFmtId="0" fontId="17" fillId="14" borderId="74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62" xfId="0" applyFont="1" applyBorder="1" applyAlignment="1">
      <alignment horizontal="right" vertical="center"/>
    </xf>
    <xf numFmtId="165" fontId="6" fillId="0" borderId="46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7" xfId="2" applyNumberFormat="1" applyFont="1" applyBorder="1" applyAlignment="1">
      <alignment vertical="center"/>
    </xf>
    <xf numFmtId="0" fontId="7" fillId="12" borderId="75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5" fontId="6" fillId="0" borderId="45" xfId="0" applyNumberFormat="1" applyFont="1" applyBorder="1" applyAlignment="1">
      <alignment vertical="center"/>
    </xf>
    <xf numFmtId="3" fontId="6" fillId="0" borderId="76" xfId="0" applyNumberFormat="1" applyFont="1" applyBorder="1" applyAlignment="1">
      <alignment vertical="center"/>
    </xf>
    <xf numFmtId="165" fontId="17" fillId="0" borderId="47" xfId="2" applyNumberFormat="1" applyFont="1" applyBorder="1" applyAlignment="1">
      <alignment horizontal="center" vertical="center"/>
    </xf>
    <xf numFmtId="165" fontId="17" fillId="0" borderId="17" xfId="2" applyNumberFormat="1" applyFont="1" applyBorder="1" applyAlignment="1">
      <alignment horizontal="center" vertical="center"/>
    </xf>
    <xf numFmtId="9" fontId="17" fillId="4" borderId="0" xfId="0" applyNumberFormat="1" applyFont="1" applyFill="1" applyAlignment="1">
      <alignment horizontal="center" vertical="center"/>
    </xf>
    <xf numFmtId="164" fontId="17" fillId="14" borderId="0" xfId="5" applyFont="1" applyFill="1" applyBorder="1" applyAlignment="1">
      <alignment horizontal="center" vertical="center"/>
    </xf>
    <xf numFmtId="164" fontId="17" fillId="4" borderId="0" xfId="5" applyFont="1" applyFill="1" applyAlignment="1">
      <alignment horizontal="center" vertical="center"/>
    </xf>
    <xf numFmtId="2" fontId="17" fillId="14" borderId="0" xfId="2" applyNumberFormat="1" applyFont="1" applyFill="1" applyBorder="1" applyAlignment="1">
      <alignment horizontal="center" vertical="center"/>
    </xf>
    <xf numFmtId="0" fontId="17" fillId="10" borderId="74" xfId="0" applyFont="1" applyFill="1" applyBorder="1" applyAlignment="1">
      <alignment horizontal="center" vertical="center"/>
    </xf>
    <xf numFmtId="43" fontId="17" fillId="0" borderId="47" xfId="2" applyNumberFormat="1" applyFont="1" applyBorder="1" applyAlignment="1">
      <alignment horizontal="center" vertical="center"/>
    </xf>
    <xf numFmtId="43" fontId="17" fillId="0" borderId="17" xfId="2" applyNumberFormat="1" applyFont="1" applyBorder="1" applyAlignment="1">
      <alignment horizontal="center" vertical="center"/>
    </xf>
    <xf numFmtId="165" fontId="17" fillId="14" borderId="47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7" fillId="0" borderId="50" xfId="5" applyNumberFormat="1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7" fillId="10" borderId="62" xfId="0" applyFont="1" applyFill="1" applyBorder="1" applyAlignment="1">
      <alignment horizontal="right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62" xfId="0" applyFont="1" applyFill="1" applyBorder="1" applyAlignment="1">
      <alignment vertical="center"/>
    </xf>
    <xf numFmtId="168" fontId="6" fillId="10" borderId="0" xfId="5" applyNumberFormat="1" applyFont="1" applyFill="1" applyBorder="1" applyAlignment="1">
      <alignment horizontal="center" vertical="center"/>
    </xf>
    <xf numFmtId="0" fontId="6" fillId="10" borderId="62" xfId="0" quotePrefix="1" applyFont="1" applyFill="1" applyBorder="1" applyAlignment="1">
      <alignment vertical="center"/>
    </xf>
    <xf numFmtId="0" fontId="7" fillId="10" borderId="66" xfId="0" quotePrefix="1" applyFont="1" applyFill="1" applyBorder="1" applyAlignment="1">
      <alignment vertical="center"/>
    </xf>
    <xf numFmtId="168" fontId="7" fillId="10" borderId="50" xfId="5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right"/>
    </xf>
    <xf numFmtId="0" fontId="6" fillId="0" borderId="45" xfId="0" applyFont="1" applyBorder="1" applyAlignment="1"/>
    <xf numFmtId="0" fontId="7" fillId="0" borderId="7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4" fontId="5" fillId="0" borderId="0" xfId="5" applyFont="1"/>
    <xf numFmtId="0" fontId="20" fillId="0" borderId="30" xfId="0" applyFont="1" applyBorder="1" applyAlignment="1">
      <alignment horizontal="center"/>
    </xf>
    <xf numFmtId="164" fontId="20" fillId="0" borderId="30" xfId="5" applyFont="1" applyBorder="1" applyAlignment="1">
      <alignment horizontal="center"/>
    </xf>
    <xf numFmtId="164" fontId="5" fillId="9" borderId="0" xfId="5" applyFont="1" applyFill="1"/>
    <xf numFmtId="164" fontId="20" fillId="9" borderId="30" xfId="5" applyFont="1" applyFill="1" applyBorder="1" applyAlignment="1">
      <alignment horizontal="center"/>
    </xf>
    <xf numFmtId="10" fontId="5" fillId="4" borderId="0" xfId="0" applyNumberFormat="1" applyFont="1" applyFill="1"/>
    <xf numFmtId="0" fontId="20" fillId="0" borderId="0" xfId="0" applyFont="1"/>
    <xf numFmtId="0" fontId="20" fillId="9" borderId="32" xfId="0" applyFont="1" applyFill="1" applyBorder="1"/>
    <xf numFmtId="0" fontId="20" fillId="9" borderId="50" xfId="0" applyFont="1" applyFill="1" applyBorder="1"/>
    <xf numFmtId="164" fontId="20" fillId="9" borderId="50" xfId="0" applyNumberFormat="1" applyFont="1" applyFill="1" applyBorder="1"/>
    <xf numFmtId="164" fontId="20" fillId="9" borderId="51" xfId="0" applyNumberFormat="1" applyFont="1" applyFill="1" applyBorder="1"/>
    <xf numFmtId="0" fontId="2" fillId="0" borderId="0" xfId="0" applyFont="1"/>
    <xf numFmtId="0" fontId="6" fillId="9" borderId="18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7" fillId="0" borderId="27" xfId="0" applyFont="1" applyBorder="1"/>
    <xf numFmtId="168" fontId="7" fillId="9" borderId="18" xfId="0" applyNumberFormat="1" applyFont="1" applyFill="1" applyBorder="1"/>
    <xf numFmtId="168" fontId="7" fillId="0" borderId="38" xfId="0" applyNumberFormat="1" applyFont="1" applyBorder="1"/>
    <xf numFmtId="0" fontId="6" fillId="0" borderId="62" xfId="0" applyFont="1" applyBorder="1"/>
    <xf numFmtId="168" fontId="6" fillId="9" borderId="19" xfId="0" applyNumberFormat="1" applyFont="1" applyFill="1" applyBorder="1"/>
    <xf numFmtId="168" fontId="6" fillId="0" borderId="20" xfId="0" applyNumberFormat="1" applyFont="1" applyBorder="1"/>
    <xf numFmtId="0" fontId="6" fillId="9" borderId="19" xfId="0" applyFont="1" applyFill="1" applyBorder="1"/>
    <xf numFmtId="0" fontId="6" fillId="0" borderId="20" xfId="0" applyFont="1" applyBorder="1"/>
    <xf numFmtId="0" fontId="6" fillId="0" borderId="26" xfId="0" applyFont="1" applyBorder="1"/>
    <xf numFmtId="0" fontId="7" fillId="9" borderId="63" xfId="0" applyFont="1" applyFill="1" applyBorder="1"/>
    <xf numFmtId="0" fontId="7" fillId="9" borderId="11" xfId="0" applyFont="1" applyFill="1" applyBorder="1" applyAlignment="1">
      <alignment horizontal="center"/>
    </xf>
    <xf numFmtId="168" fontId="7" fillId="9" borderId="11" xfId="5" applyNumberFormat="1" applyFont="1" applyFill="1" applyBorder="1"/>
    <xf numFmtId="168" fontId="7" fillId="9" borderId="64" xfId="0" applyNumberFormat="1" applyFont="1" applyFill="1" applyBorder="1"/>
    <xf numFmtId="168" fontId="7" fillId="0" borderId="65" xfId="0" applyNumberFormat="1" applyFont="1" applyFill="1" applyBorder="1"/>
    <xf numFmtId="0" fontId="7" fillId="0" borderId="1" xfId="0" applyFont="1" applyBorder="1"/>
    <xf numFmtId="168" fontId="7" fillId="4" borderId="24" xfId="5" applyNumberFormat="1" applyFont="1" applyFill="1" applyBorder="1"/>
    <xf numFmtId="168" fontId="13" fillId="0" borderId="24" xfId="5" applyNumberFormat="1" applyFont="1" applyBorder="1"/>
    <xf numFmtId="168" fontId="13" fillId="9" borderId="18" xfId="0" applyNumberFormat="1" applyFont="1" applyFill="1" applyBorder="1"/>
    <xf numFmtId="168" fontId="13" fillId="0" borderId="38" xfId="0" applyNumberFormat="1" applyFont="1" applyBorder="1"/>
    <xf numFmtId="0" fontId="7" fillId="0" borderId="62" xfId="0" applyFont="1" applyBorder="1" applyAlignment="1">
      <alignment horizontal="right"/>
    </xf>
    <xf numFmtId="168" fontId="7" fillId="0" borderId="66" xfId="5" applyNumberFormat="1" applyFont="1" applyBorder="1" applyAlignment="1">
      <alignment horizontal="left" vertical="center"/>
    </xf>
    <xf numFmtId="0" fontId="21" fillId="0" borderId="62" xfId="0" applyFont="1" applyBorder="1"/>
    <xf numFmtId="0" fontId="21" fillId="0" borderId="0" xfId="0" applyFont="1"/>
    <xf numFmtId="168" fontId="22" fillId="0" borderId="66" xfId="5" applyNumberFormat="1" applyFont="1" applyBorder="1" applyAlignment="1">
      <alignment horizontal="left" vertical="center"/>
    </xf>
    <xf numFmtId="168" fontId="22" fillId="0" borderId="50" xfId="5" applyNumberFormat="1" applyFont="1" applyBorder="1" applyAlignment="1">
      <alignment horizontal="center" vertical="center"/>
    </xf>
    <xf numFmtId="0" fontId="7" fillId="10" borderId="62" xfId="0" applyFont="1" applyFill="1" applyBorder="1" applyAlignment="1">
      <alignment horizontal="right"/>
    </xf>
    <xf numFmtId="0" fontId="6" fillId="10" borderId="62" xfId="0" applyFont="1" applyFill="1" applyBorder="1"/>
    <xf numFmtId="168" fontId="7" fillId="10" borderId="66" xfId="5" applyNumberFormat="1" applyFont="1" applyFill="1" applyBorder="1" applyAlignment="1">
      <alignment horizontal="left" vertical="center"/>
    </xf>
    <xf numFmtId="168" fontId="0" fillId="6" borderId="0" xfId="0" applyNumberFormat="1" applyFill="1"/>
    <xf numFmtId="0" fontId="6" fillId="10" borderId="20" xfId="0" applyFont="1" applyFill="1" applyBorder="1"/>
    <xf numFmtId="168" fontId="6" fillId="10" borderId="20" xfId="5" applyNumberFormat="1" applyFont="1" applyFill="1" applyBorder="1"/>
    <xf numFmtId="168" fontId="7" fillId="10" borderId="67" xfId="5" applyNumberFormat="1" applyFont="1" applyFill="1" applyBorder="1" applyAlignment="1">
      <alignment horizontal="center" vertical="center"/>
    </xf>
    <xf numFmtId="168" fontId="21" fillId="10" borderId="20" xfId="5" applyNumberFormat="1" applyFont="1" applyFill="1" applyBorder="1"/>
    <xf numFmtId="168" fontId="22" fillId="10" borderId="67" xfId="5" applyNumberFormat="1" applyFont="1" applyFill="1" applyBorder="1" applyAlignment="1">
      <alignment horizontal="center" vertical="center"/>
    </xf>
    <xf numFmtId="0" fontId="6" fillId="0" borderId="62" xfId="0" quotePrefix="1" applyFont="1" applyBorder="1"/>
    <xf numFmtId="0" fontId="7" fillId="0" borderId="66" xfId="0" quotePrefix="1" applyFont="1" applyBorder="1"/>
    <xf numFmtId="0" fontId="7" fillId="0" borderId="50" xfId="0" applyFont="1" applyBorder="1" applyAlignment="1">
      <alignment horizontal="center" vertical="center"/>
    </xf>
    <xf numFmtId="0" fontId="7" fillId="10" borderId="67" xfId="0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/>
    </xf>
    <xf numFmtId="168" fontId="21" fillId="0" borderId="0" xfId="5" applyNumberFormat="1" applyFont="1" applyBorder="1" applyAlignment="1">
      <alignment horizontal="center"/>
    </xf>
    <xf numFmtId="168" fontId="6" fillId="10" borderId="0" xfId="5" applyNumberFormat="1" applyFont="1" applyFill="1" applyBorder="1" applyAlignment="1">
      <alignment horizontal="center"/>
    </xf>
    <xf numFmtId="168" fontId="6" fillId="10" borderId="0" xfId="5" applyNumberFormat="1" applyFont="1" applyFill="1" applyBorder="1"/>
    <xf numFmtId="168" fontId="5" fillId="0" borderId="0" xfId="5" applyNumberFormat="1" applyFont="1"/>
    <xf numFmtId="0" fontId="5" fillId="0" borderId="1" xfId="0" applyFont="1" applyBorder="1"/>
    <xf numFmtId="168" fontId="5" fillId="14" borderId="22" xfId="5" applyNumberFormat="1" applyFont="1" applyFill="1" applyBorder="1" applyAlignment="1">
      <alignment horizontal="center"/>
    </xf>
    <xf numFmtId="0" fontId="5" fillId="0" borderId="46" xfId="0" applyFont="1" applyBorder="1"/>
    <xf numFmtId="168" fontId="5" fillId="0" borderId="47" xfId="5" applyNumberFormat="1" applyFont="1" applyBorder="1"/>
    <xf numFmtId="0" fontId="20" fillId="0" borderId="32" xfId="0" applyFont="1" applyBorder="1"/>
    <xf numFmtId="168" fontId="20" fillId="0" borderId="51" xfId="5" applyNumberFormat="1" applyFont="1" applyBorder="1"/>
    <xf numFmtId="168" fontId="5" fillId="0" borderId="22" xfId="5" applyNumberFormat="1" applyFont="1" applyBorder="1"/>
    <xf numFmtId="0" fontId="23" fillId="0" borderId="46" xfId="0" applyFont="1" applyBorder="1"/>
    <xf numFmtId="0" fontId="5" fillId="0" borderId="0" xfId="0" applyFont="1" applyBorder="1"/>
    <xf numFmtId="168" fontId="5" fillId="0" borderId="0" xfId="5" applyNumberFormat="1" applyFont="1" applyBorder="1"/>
    <xf numFmtId="0" fontId="23" fillId="0" borderId="0" xfId="0" applyFont="1" applyBorder="1"/>
    <xf numFmtId="0" fontId="20" fillId="0" borderId="0" xfId="0" applyFont="1" applyBorder="1"/>
    <xf numFmtId="168" fontId="20" fillId="0" borderId="0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5" fillId="0" borderId="7" xfId="5" applyNumberFormat="1" applyFont="1" applyBorder="1"/>
    <xf numFmtId="168" fontId="5" fillId="0" borderId="6" xfId="0" applyNumberFormat="1" applyFont="1" applyBorder="1"/>
    <xf numFmtId="0" fontId="5" fillId="0" borderId="6" xfId="0" applyFont="1" applyBorder="1"/>
    <xf numFmtId="168" fontId="5" fillId="0" borderId="6" xfId="5" applyNumberFormat="1" applyFont="1" applyBorder="1"/>
    <xf numFmtId="0" fontId="5" fillId="0" borderId="18" xfId="0" applyFont="1" applyBorder="1" applyAlignment="1">
      <alignment horizontal="center"/>
    </xf>
    <xf numFmtId="9" fontId="5" fillId="0" borderId="19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28" xfId="0" applyFont="1" applyBorder="1" applyAlignment="1">
      <alignment horizontal="center"/>
    </xf>
    <xf numFmtId="168" fontId="5" fillId="0" borderId="0" xfId="0" applyNumberFormat="1" applyFont="1" applyBorder="1"/>
    <xf numFmtId="0" fontId="5" fillId="0" borderId="26" xfId="0" applyFont="1" applyBorder="1" applyAlignment="1">
      <alignment horizontal="center"/>
    </xf>
    <xf numFmtId="0" fontId="5" fillId="0" borderId="61" xfId="0" applyFont="1" applyBorder="1"/>
    <xf numFmtId="168" fontId="5" fillId="0" borderId="47" xfId="0" applyNumberFormat="1" applyFont="1" applyBorder="1"/>
    <xf numFmtId="0" fontId="5" fillId="0" borderId="62" xfId="0" applyFont="1" applyBorder="1"/>
    <xf numFmtId="0" fontId="20" fillId="0" borderId="62" xfId="0" applyFont="1" applyBorder="1"/>
    <xf numFmtId="0" fontId="24" fillId="0" borderId="62" xfId="0" applyFont="1" applyBorder="1" applyAlignment="1">
      <alignment horizontal="left" indent="1"/>
    </xf>
    <xf numFmtId="0" fontId="5" fillId="0" borderId="47" xfId="0" applyFont="1" applyBorder="1"/>
    <xf numFmtId="0" fontId="5" fillId="0" borderId="62" xfId="0" applyFont="1" applyBorder="1" applyAlignment="1">
      <alignment horizontal="left" indent="1"/>
    </xf>
    <xf numFmtId="0" fontId="5" fillId="0" borderId="69" xfId="0" applyFont="1" applyBorder="1" applyAlignment="1">
      <alignment horizontal="left" indent="1"/>
    </xf>
    <xf numFmtId="168" fontId="5" fillId="0" borderId="15" xfId="5" applyNumberFormat="1" applyFont="1" applyBorder="1"/>
    <xf numFmtId="168" fontId="5" fillId="0" borderId="13" xfId="5" applyNumberFormat="1" applyFont="1" applyBorder="1"/>
    <xf numFmtId="168" fontId="5" fillId="0" borderId="14" xfId="5" applyNumberFormat="1" applyFont="1" applyBorder="1"/>
    <xf numFmtId="0" fontId="5" fillId="0" borderId="72" xfId="0" applyFont="1" applyBorder="1"/>
    <xf numFmtId="168" fontId="5" fillId="0" borderId="17" xfId="5" applyNumberFormat="1" applyFont="1" applyBorder="1"/>
    <xf numFmtId="0" fontId="20" fillId="0" borderId="66" xfId="0" applyFont="1" applyBorder="1"/>
    <xf numFmtId="168" fontId="20" fillId="0" borderId="39" xfId="5" applyNumberFormat="1" applyFont="1" applyBorder="1"/>
    <xf numFmtId="168" fontId="20" fillId="0" borderId="50" xfId="5" applyNumberFormat="1" applyFont="1" applyBorder="1"/>
    <xf numFmtId="168" fontId="20" fillId="0" borderId="32" xfId="5" applyNumberFormat="1" applyFont="1" applyBorder="1"/>
    <xf numFmtId="168" fontId="5" fillId="0" borderId="7" xfId="0" applyNumberFormat="1" applyFont="1" applyBorder="1"/>
    <xf numFmtId="0" fontId="5" fillId="0" borderId="7" xfId="0" applyFont="1" applyBorder="1"/>
    <xf numFmtId="168" fontId="20" fillId="0" borderId="28" xfId="5" applyNumberFormat="1" applyFont="1" applyBorder="1"/>
    <xf numFmtId="168" fontId="20" fillId="0" borderId="25" xfId="5" applyNumberFormat="1" applyFont="1" applyBorder="1"/>
    <xf numFmtId="168" fontId="25" fillId="5" borderId="0" xfId="5" applyNumberFormat="1" applyFont="1" applyFill="1" applyBorder="1"/>
    <xf numFmtId="0" fontId="20" fillId="0" borderId="70" xfId="0" applyFont="1" applyBorder="1" applyAlignment="1">
      <alignment horizontal="left" vertical="center"/>
    </xf>
    <xf numFmtId="0" fontId="20" fillId="0" borderId="61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7" xfId="5" applyNumberFormat="1" applyFont="1" applyBorder="1" applyAlignment="1">
      <alignment horizontal="center" vertical="center"/>
    </xf>
    <xf numFmtId="0" fontId="20" fillId="0" borderId="69" xfId="0" applyFont="1" applyBorder="1"/>
    <xf numFmtId="2" fontId="20" fillId="0" borderId="15" xfId="5" applyNumberFormat="1" applyFont="1" applyBorder="1" applyAlignment="1">
      <alignment horizontal="center"/>
    </xf>
    <xf numFmtId="2" fontId="20" fillId="0" borderId="17" xfId="5" applyNumberFormat="1" applyFont="1" applyBorder="1" applyAlignment="1">
      <alignment horizontal="center" vertical="center"/>
    </xf>
    <xf numFmtId="0" fontId="20" fillId="0" borderId="61" xfId="0" applyFont="1" applyBorder="1" applyAlignment="1">
      <alignment horizontal="left"/>
    </xf>
    <xf numFmtId="168" fontId="20" fillId="0" borderId="35" xfId="5" applyNumberFormat="1" applyFont="1" applyFill="1" applyBorder="1" applyAlignment="1"/>
    <xf numFmtId="165" fontId="5" fillId="0" borderId="47" xfId="2" applyNumberFormat="1" applyFont="1" applyBorder="1" applyAlignment="1">
      <alignment horizontal="center" vertical="center"/>
    </xf>
    <xf numFmtId="0" fontId="5" fillId="0" borderId="69" xfId="0" applyFont="1" applyBorder="1"/>
    <xf numFmtId="165" fontId="5" fillId="0" borderId="17" xfId="2" applyNumberFormat="1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168" fontId="20" fillId="0" borderId="35" xfId="5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165" fontId="17" fillId="0" borderId="20" xfId="2" applyNumberFormat="1" applyFont="1" applyBorder="1" applyAlignment="1">
      <alignment horizontal="center" vertical="center"/>
    </xf>
    <xf numFmtId="165" fontId="17" fillId="0" borderId="42" xfId="2" applyNumberFormat="1" applyFont="1" applyBorder="1" applyAlignment="1">
      <alignment horizontal="center" vertical="center"/>
    </xf>
    <xf numFmtId="0" fontId="19" fillId="0" borderId="29" xfId="0" applyFont="1" applyFill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47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62" xfId="0" quotePrefix="1" applyFont="1" applyBorder="1" applyAlignment="1">
      <alignment horizontal="right"/>
    </xf>
    <xf numFmtId="165" fontId="6" fillId="10" borderId="2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65" fontId="6" fillId="10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Border="1" applyAlignment="1">
      <alignment horizontal="right" vertical="center"/>
    </xf>
    <xf numFmtId="0" fontId="6" fillId="10" borderId="20" xfId="0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5" fontId="0" fillId="0" borderId="0" xfId="0" applyNumberFormat="1"/>
    <xf numFmtId="43" fontId="6" fillId="10" borderId="20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0" fontId="13" fillId="0" borderId="62" xfId="0" quotePrefix="1" applyFont="1" applyBorder="1"/>
    <xf numFmtId="165" fontId="13" fillId="0" borderId="0" xfId="2" applyNumberFormat="1" applyFont="1" applyBorder="1" applyAlignment="1">
      <alignment horizontal="center" vertical="center"/>
    </xf>
    <xf numFmtId="165" fontId="13" fillId="10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6" xfId="0" applyBorder="1"/>
    <xf numFmtId="0" fontId="0" fillId="0" borderId="47" xfId="0" applyBorder="1"/>
    <xf numFmtId="0" fontId="2" fillId="0" borderId="46" xfId="0" applyFont="1" applyBorder="1"/>
    <xf numFmtId="0" fontId="2" fillId="0" borderId="46" xfId="0" applyFont="1" applyFill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Border="1" applyAlignment="1">
      <alignment horizontal="right" vertical="center"/>
    </xf>
    <xf numFmtId="165" fontId="7" fillId="9" borderId="50" xfId="2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20" fillId="0" borderId="7" xfId="0" applyFont="1" applyBorder="1" applyAlignment="1">
      <alignment horizontal="right"/>
    </xf>
    <xf numFmtId="0" fontId="5" fillId="10" borderId="57" xfId="0" applyFont="1" applyFill="1" applyBorder="1" applyAlignment="1">
      <alignment horizontal="center"/>
    </xf>
    <xf numFmtId="164" fontId="5" fillId="0" borderId="19" xfId="5" applyFont="1" applyBorder="1"/>
    <xf numFmtId="0" fontId="20" fillId="0" borderId="28" xfId="0" applyFont="1" applyBorder="1"/>
    <xf numFmtId="164" fontId="20" fillId="0" borderId="18" xfId="0" applyNumberFormat="1" applyFont="1" applyBorder="1"/>
    <xf numFmtId="165" fontId="5" fillId="0" borderId="0" xfId="2" applyNumberFormat="1" applyFont="1" applyBorder="1"/>
    <xf numFmtId="165" fontId="5" fillId="0" borderId="47" xfId="2" applyNumberFormat="1" applyFont="1" applyBorder="1"/>
    <xf numFmtId="168" fontId="5" fillId="4" borderId="47" xfId="5" applyNumberFormat="1" applyFont="1" applyFill="1" applyBorder="1"/>
    <xf numFmtId="0" fontId="5" fillId="0" borderId="8" xfId="0" applyFont="1" applyBorder="1"/>
    <xf numFmtId="164" fontId="5" fillId="0" borderId="13" xfId="0" applyNumberFormat="1" applyFont="1" applyBorder="1"/>
    <xf numFmtId="164" fontId="5" fillId="0" borderId="17" xfId="5" applyFont="1" applyBorder="1"/>
    <xf numFmtId="164" fontId="5" fillId="0" borderId="0" xfId="0" applyNumberFormat="1" applyFont="1" applyBorder="1"/>
    <xf numFmtId="164" fontId="5" fillId="0" borderId="0" xfId="5" applyNumberFormat="1" applyFont="1" applyBorder="1"/>
    <xf numFmtId="164" fontId="5" fillId="0" borderId="47" xfId="5" applyNumberFormat="1" applyFont="1" applyBorder="1"/>
    <xf numFmtId="164" fontId="5" fillId="0" borderId="47" xfId="0" applyNumberFormat="1" applyFont="1" applyBorder="1"/>
    <xf numFmtId="0" fontId="26" fillId="0" borderId="32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34" xfId="0" applyFont="1" applyBorder="1"/>
    <xf numFmtId="0" fontId="20" fillId="0" borderId="52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168" fontId="5" fillId="0" borderId="19" xfId="5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8" fontId="20" fillId="0" borderId="18" xfId="5" applyNumberFormat="1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164" fontId="5" fillId="0" borderId="19" xfId="5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5" fillId="0" borderId="5" xfId="2" applyNumberFormat="1" applyFont="1" applyBorder="1" applyAlignment="1">
      <alignment vertical="center"/>
    </xf>
    <xf numFmtId="165" fontId="5" fillId="0" borderId="4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6" xfId="2" applyNumberFormat="1" applyFont="1" applyBorder="1" applyAlignment="1">
      <alignment vertical="center"/>
    </xf>
    <xf numFmtId="165" fontId="5" fillId="0" borderId="30" xfId="2" applyNumberFormat="1" applyFont="1" applyBorder="1" applyAlignment="1">
      <alignment vertical="center"/>
    </xf>
    <xf numFmtId="165" fontId="5" fillId="0" borderId="56" xfId="2" applyNumberFormat="1" applyFont="1" applyBorder="1" applyAlignment="1">
      <alignment vertical="center"/>
    </xf>
    <xf numFmtId="165" fontId="5" fillId="0" borderId="3" xfId="2" applyNumberFormat="1" applyFont="1" applyBorder="1" applyAlignment="1">
      <alignment vertical="center"/>
    </xf>
    <xf numFmtId="165" fontId="5" fillId="0" borderId="7" xfId="2" applyNumberFormat="1" applyFont="1" applyBorder="1" applyAlignment="1">
      <alignment vertical="center"/>
    </xf>
    <xf numFmtId="165" fontId="5" fillId="0" borderId="55" xfId="2" applyNumberFormat="1" applyFont="1" applyBorder="1" applyAlignment="1">
      <alignment vertical="center"/>
    </xf>
    <xf numFmtId="170" fontId="5" fillId="0" borderId="19" xfId="2" applyNumberFormat="1" applyFont="1" applyBorder="1" applyAlignment="1">
      <alignment vertical="center"/>
    </xf>
    <xf numFmtId="170" fontId="5" fillId="0" borderId="58" xfId="2" applyNumberFormat="1" applyFont="1" applyBorder="1" applyAlignment="1">
      <alignment vertical="center"/>
    </xf>
    <xf numFmtId="168" fontId="5" fillId="0" borderId="0" xfId="0" applyNumberFormat="1" applyFont="1" applyBorder="1" applyAlignment="1">
      <alignment vertical="center"/>
    </xf>
    <xf numFmtId="168" fontId="5" fillId="0" borderId="6" xfId="0" applyNumberFormat="1" applyFont="1" applyBorder="1" applyAlignment="1">
      <alignment vertical="center"/>
    </xf>
    <xf numFmtId="168" fontId="5" fillId="0" borderId="7" xfId="5" applyNumberFormat="1" applyFont="1" applyBorder="1" applyAlignment="1">
      <alignment vertical="center"/>
    </xf>
    <xf numFmtId="168" fontId="20" fillId="0" borderId="28" xfId="5" applyNumberFormat="1" applyFont="1" applyBorder="1" applyAlignment="1">
      <alignment vertical="center"/>
    </xf>
    <xf numFmtId="168" fontId="20" fillId="0" borderId="25" xfId="5" applyNumberFormat="1" applyFont="1" applyBorder="1" applyAlignment="1">
      <alignment vertical="center"/>
    </xf>
    <xf numFmtId="168" fontId="5" fillId="0" borderId="0" xfId="5" applyNumberFormat="1" applyFont="1" applyBorder="1" applyAlignment="1">
      <alignment vertical="center"/>
    </xf>
    <xf numFmtId="168" fontId="5" fillId="0" borderId="6" xfId="5" applyNumberFormat="1" applyFont="1" applyBorder="1" applyAlignment="1">
      <alignment vertical="center"/>
    </xf>
    <xf numFmtId="0" fontId="5" fillId="0" borderId="70" xfId="0" applyFont="1" applyBorder="1" applyAlignment="1">
      <alignment vertical="center"/>
    </xf>
    <xf numFmtId="0" fontId="5" fillId="0" borderId="5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5" fontId="5" fillId="0" borderId="9" xfId="2" applyNumberFormat="1" applyFont="1" applyBorder="1" applyAlignment="1">
      <alignment vertical="center"/>
    </xf>
    <xf numFmtId="165" fontId="5" fillId="0" borderId="47" xfId="2" applyNumberFormat="1" applyFont="1" applyBorder="1" applyAlignment="1">
      <alignment vertical="center"/>
    </xf>
    <xf numFmtId="165" fontId="5" fillId="0" borderId="31" xfId="2" applyNumberFormat="1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168" fontId="20" fillId="0" borderId="26" xfId="5" applyNumberFormat="1" applyFont="1" applyBorder="1" applyAlignment="1">
      <alignment vertical="center"/>
    </xf>
    <xf numFmtId="168" fontId="5" fillId="0" borderId="47" xfId="5" applyNumberFormat="1" applyFont="1" applyBorder="1" applyAlignment="1">
      <alignment vertical="center"/>
    </xf>
    <xf numFmtId="0" fontId="20" fillId="0" borderId="63" xfId="0" applyFont="1" applyBorder="1" applyAlignment="1">
      <alignment vertical="center"/>
    </xf>
    <xf numFmtId="168" fontId="20" fillId="0" borderId="64" xfId="5" applyNumberFormat="1" applyFont="1" applyBorder="1" applyAlignment="1">
      <alignment vertical="center"/>
    </xf>
    <xf numFmtId="0" fontId="5" fillId="0" borderId="72" xfId="0" applyFont="1" applyBorder="1" applyAlignment="1">
      <alignment horizontal="center" vertical="center"/>
    </xf>
    <xf numFmtId="168" fontId="20" fillId="0" borderId="77" xfId="5" applyNumberFormat="1" applyFont="1" applyBorder="1" applyAlignment="1">
      <alignment vertical="center"/>
    </xf>
    <xf numFmtId="168" fontId="20" fillId="0" borderId="78" xfId="5" applyNumberFormat="1" applyFont="1" applyBorder="1" applyAlignment="1">
      <alignment vertical="center"/>
    </xf>
    <xf numFmtId="168" fontId="20" fillId="0" borderId="11" xfId="5" applyNumberFormat="1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168" fontId="20" fillId="0" borderId="49" xfId="5" applyNumberFormat="1" applyFont="1" applyBorder="1" applyAlignment="1">
      <alignment vertical="center"/>
    </xf>
    <xf numFmtId="0" fontId="5" fillId="10" borderId="54" xfId="0" applyFont="1" applyFill="1" applyBorder="1" applyAlignment="1">
      <alignment horizontal="center" vertical="center"/>
    </xf>
    <xf numFmtId="168" fontId="20" fillId="15" borderId="77" xfId="5" applyNumberFormat="1" applyFont="1" applyFill="1" applyBorder="1" applyAlignment="1">
      <alignment vertical="center"/>
    </xf>
    <xf numFmtId="168" fontId="20" fillId="15" borderId="78" xfId="5" applyNumberFormat="1" applyFont="1" applyFill="1" applyBorder="1" applyAlignment="1">
      <alignment vertical="center"/>
    </xf>
    <xf numFmtId="168" fontId="5" fillId="15" borderId="0" xfId="5" applyNumberFormat="1" applyFont="1" applyFill="1" applyBorder="1"/>
    <xf numFmtId="168" fontId="5" fillId="0" borderId="47" xfId="5" applyNumberFormat="1" applyFont="1" applyFill="1" applyBorder="1"/>
    <xf numFmtId="168" fontId="20" fillId="16" borderId="24" xfId="5" applyNumberFormat="1" applyFont="1" applyFill="1" applyBorder="1" applyAlignment="1">
      <alignment vertical="center"/>
    </xf>
    <xf numFmtId="168" fontId="20" fillId="16" borderId="25" xfId="5" applyNumberFormat="1" applyFont="1" applyFill="1" applyBorder="1" applyAlignment="1">
      <alignment vertical="center"/>
    </xf>
    <xf numFmtId="168" fontId="27" fillId="0" borderId="0" xfId="5" applyNumberFormat="1" applyFont="1" applyBorder="1"/>
    <xf numFmtId="168" fontId="5" fillId="16" borderId="47" xfId="5" applyNumberFormat="1" applyFont="1" applyFill="1" applyBorder="1"/>
    <xf numFmtId="168" fontId="20" fillId="17" borderId="24" xfId="5" applyNumberFormat="1" applyFont="1" applyFill="1" applyBorder="1" applyAlignment="1">
      <alignment vertical="center"/>
    </xf>
    <xf numFmtId="168" fontId="20" fillId="17" borderId="25" xfId="5" applyNumberFormat="1" applyFont="1" applyFill="1" applyBorder="1" applyAlignment="1">
      <alignment vertical="center"/>
    </xf>
    <xf numFmtId="168" fontId="5" fillId="0" borderId="0" xfId="5" applyNumberFormat="1" applyFont="1" applyFill="1" applyBorder="1"/>
    <xf numFmtId="168" fontId="5" fillId="17" borderId="47" xfId="5" applyNumberFormat="1" applyFont="1" applyFill="1" applyBorder="1"/>
    <xf numFmtId="0" fontId="5" fillId="11" borderId="32" xfId="0" applyFont="1" applyFill="1" applyBorder="1"/>
    <xf numFmtId="168" fontId="5" fillId="11" borderId="50" xfId="0" applyNumberFormat="1" applyFont="1" applyFill="1" applyBorder="1"/>
    <xf numFmtId="168" fontId="5" fillId="11" borderId="51" xfId="0" applyNumberFormat="1" applyFont="1" applyFill="1" applyBorder="1"/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0" fontId="7" fillId="0" borderId="0" xfId="4" applyNumberFormat="1" applyFont="1"/>
    <xf numFmtId="168" fontId="6" fillId="4" borderId="0" xfId="5" applyNumberFormat="1" applyFont="1" applyFill="1" applyAlignment="1">
      <alignment vertical="center"/>
    </xf>
    <xf numFmtId="0" fontId="6" fillId="0" borderId="31" xfId="0" applyFont="1" applyBorder="1" applyAlignment="1">
      <alignment horizontal="center" vertical="center"/>
    </xf>
    <xf numFmtId="168" fontId="6" fillId="18" borderId="0" xfId="5" applyNumberFormat="1" applyFont="1" applyFill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168" fontId="6" fillId="0" borderId="47" xfId="5" applyNumberFormat="1" applyFont="1" applyBorder="1" applyAlignment="1">
      <alignment horizontal="center" vertical="center"/>
    </xf>
    <xf numFmtId="10" fontId="6" fillId="0" borderId="0" xfId="4" applyNumberFormat="1" applyFont="1" applyBorder="1" applyAlignment="1">
      <alignment horizontal="center" vertical="center"/>
    </xf>
    <xf numFmtId="168" fontId="6" fillId="18" borderId="0" xfId="5" applyNumberFormat="1" applyFont="1" applyFill="1" applyBorder="1" applyAlignment="1">
      <alignment vertical="center"/>
    </xf>
    <xf numFmtId="0" fontId="13" fillId="0" borderId="27" xfId="0" applyFont="1" applyBorder="1" applyAlignment="1">
      <alignment vertical="center"/>
    </xf>
    <xf numFmtId="168" fontId="13" fillId="0" borderId="24" xfId="5" applyNumberFormat="1" applyFont="1" applyBorder="1" applyAlignment="1">
      <alignment vertical="center"/>
    </xf>
    <xf numFmtId="9" fontId="13" fillId="0" borderId="24" xfId="4" applyFont="1" applyBorder="1" applyAlignment="1">
      <alignment horizontal="center" vertical="center"/>
    </xf>
    <xf numFmtId="168" fontId="13" fillId="0" borderId="26" xfId="5" applyNumberFormat="1" applyFont="1" applyBorder="1" applyAlignment="1">
      <alignment vertical="center"/>
    </xf>
    <xf numFmtId="10" fontId="13" fillId="0" borderId="24" xfId="4" applyNumberFormat="1" applyFont="1" applyBorder="1" applyAlignment="1">
      <alignment horizontal="center" vertical="center"/>
    </xf>
    <xf numFmtId="168" fontId="6" fillId="0" borderId="0" xfId="5" applyNumberFormat="1" applyFont="1" applyBorder="1" applyAlignment="1">
      <alignment vertical="center"/>
    </xf>
    <xf numFmtId="0" fontId="7" fillId="4" borderId="27" xfId="0" applyFont="1" applyFill="1" applyBorder="1" applyAlignment="1">
      <alignment vertical="center"/>
    </xf>
    <xf numFmtId="168" fontId="7" fillId="4" borderId="24" xfId="5" applyNumberFormat="1" applyFont="1" applyFill="1" applyBorder="1" applyAlignment="1">
      <alignment vertical="center"/>
    </xf>
    <xf numFmtId="9" fontId="7" fillId="4" borderId="24" xfId="4" applyFont="1" applyFill="1" applyBorder="1" applyAlignment="1">
      <alignment horizontal="center" vertical="center"/>
    </xf>
    <xf numFmtId="168" fontId="7" fillId="4" borderId="26" xfId="5" applyNumberFormat="1" applyFont="1" applyFill="1" applyBorder="1" applyAlignment="1">
      <alignment vertical="center"/>
    </xf>
    <xf numFmtId="10" fontId="7" fillId="4" borderId="24" xfId="4" applyNumberFormat="1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vertical="center"/>
    </xf>
    <xf numFmtId="168" fontId="7" fillId="4" borderId="11" xfId="5" applyNumberFormat="1" applyFont="1" applyFill="1" applyBorder="1" applyAlignment="1">
      <alignment vertical="center"/>
    </xf>
    <xf numFmtId="9" fontId="7" fillId="4" borderId="11" xfId="4" applyFont="1" applyFill="1" applyBorder="1" applyAlignment="1">
      <alignment horizontal="center" vertical="center"/>
    </xf>
    <xf numFmtId="168" fontId="7" fillId="4" borderId="49" xfId="5" applyNumberFormat="1" applyFont="1" applyFill="1" applyBorder="1" applyAlignment="1">
      <alignment vertical="center"/>
    </xf>
    <xf numFmtId="168" fontId="6" fillId="6" borderId="0" xfId="0" applyNumberFormat="1" applyFont="1" applyFill="1" applyAlignment="1">
      <alignment vertical="center"/>
    </xf>
    <xf numFmtId="10" fontId="7" fillId="4" borderId="11" xfId="4" applyNumberFormat="1" applyFont="1" applyFill="1" applyBorder="1" applyAlignment="1">
      <alignment horizontal="center" vertical="center"/>
    </xf>
    <xf numFmtId="168" fontId="6" fillId="0" borderId="47" xfId="5" applyNumberFormat="1" applyFont="1" applyBorder="1" applyAlignment="1">
      <alignment vertical="center"/>
    </xf>
    <xf numFmtId="168" fontId="6" fillId="0" borderId="46" xfId="5" applyNumberFormat="1" applyFont="1" applyBorder="1" applyAlignment="1">
      <alignment horizontal="center" vertical="center"/>
    </xf>
    <xf numFmtId="168" fontId="13" fillId="0" borderId="23" xfId="5" applyNumberFormat="1" applyFont="1" applyBorder="1" applyAlignment="1">
      <alignment vertical="center"/>
    </xf>
    <xf numFmtId="168" fontId="6" fillId="18" borderId="46" xfId="5" applyNumberFormat="1" applyFont="1" applyFill="1" applyBorder="1" applyAlignment="1">
      <alignment vertical="center"/>
    </xf>
    <xf numFmtId="168" fontId="7" fillId="4" borderId="23" xfId="5" applyNumberFormat="1" applyFont="1" applyFill="1" applyBorder="1" applyAlignment="1">
      <alignment vertical="center"/>
    </xf>
    <xf numFmtId="168" fontId="6" fillId="0" borderId="46" xfId="5" applyNumberFormat="1" applyFont="1" applyBorder="1" applyAlignment="1">
      <alignment vertical="center"/>
    </xf>
    <xf numFmtId="168" fontId="7" fillId="4" borderId="41" xfId="5" applyNumberFormat="1" applyFont="1" applyFill="1" applyBorder="1" applyAlignment="1">
      <alignment vertical="center"/>
    </xf>
    <xf numFmtId="168" fontId="28" fillId="0" borderId="0" xfId="5" applyNumberFormat="1" applyFont="1" applyFill="1" applyBorder="1" applyAlignment="1">
      <alignment horizontal="center" vertical="center"/>
    </xf>
    <xf numFmtId="168" fontId="28" fillId="0" borderId="0" xfId="5" applyNumberFormat="1" applyFont="1" applyBorder="1" applyAlignment="1">
      <alignment horizontal="center" vertical="center"/>
    </xf>
    <xf numFmtId="168" fontId="28" fillId="0" borderId="46" xfId="5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right"/>
    </xf>
    <xf numFmtId="168" fontId="7" fillId="0" borderId="77" xfId="5" applyNumberFormat="1" applyFont="1" applyBorder="1"/>
    <xf numFmtId="168" fontId="7" fillId="0" borderId="78" xfId="5" applyNumberFormat="1" applyFont="1" applyBorder="1"/>
    <xf numFmtId="168" fontId="7" fillId="10" borderId="65" xfId="5" applyNumberFormat="1" applyFont="1" applyFill="1" applyBorder="1"/>
    <xf numFmtId="0" fontId="6" fillId="0" borderId="71" xfId="0" applyFont="1" applyBorder="1"/>
    <xf numFmtId="0" fontId="6" fillId="10" borderId="46" xfId="0" applyFont="1" applyFill="1" applyBorder="1"/>
    <xf numFmtId="168" fontId="6" fillId="10" borderId="7" xfId="5" applyNumberFormat="1" applyFont="1" applyFill="1" applyBorder="1"/>
    <xf numFmtId="0" fontId="8" fillId="10" borderId="46" xfId="0" applyFont="1" applyFill="1" applyBorder="1" applyAlignment="1">
      <alignment horizontal="right"/>
    </xf>
    <xf numFmtId="0" fontId="6" fillId="10" borderId="71" xfId="0" applyFont="1" applyFill="1" applyBorder="1"/>
    <xf numFmtId="168" fontId="6" fillId="10" borderId="30" xfId="5" applyNumberFormat="1" applyFont="1" applyFill="1" applyBorder="1"/>
    <xf numFmtId="0" fontId="7" fillId="10" borderId="63" xfId="0" applyFont="1" applyFill="1" applyBorder="1"/>
    <xf numFmtId="168" fontId="7" fillId="10" borderId="13" xfId="5" applyNumberFormat="1" applyFont="1" applyFill="1" applyBorder="1"/>
    <xf numFmtId="0" fontId="6" fillId="10" borderId="38" xfId="0" applyFont="1" applyFill="1" applyBorder="1" applyAlignment="1">
      <alignment horizontal="center"/>
    </xf>
    <xf numFmtId="165" fontId="7" fillId="10" borderId="20" xfId="2" applyNumberFormat="1" applyFont="1" applyFill="1" applyBorder="1"/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8" fontId="5" fillId="0" borderId="0" xfId="0" applyNumberFormat="1" applyFont="1"/>
    <xf numFmtId="0" fontId="29" fillId="0" borderId="46" xfId="0" applyFont="1" applyBorder="1" applyAlignment="1">
      <alignment horizontal="left" indent="1"/>
    </xf>
    <xf numFmtId="168" fontId="29" fillId="0" borderId="7" xfId="5" applyNumberFormat="1" applyFont="1" applyBorder="1"/>
    <xf numFmtId="168" fontId="29" fillId="0" borderId="0" xfId="5" applyNumberFormat="1" applyFont="1" applyBorder="1"/>
    <xf numFmtId="168" fontId="15" fillId="10" borderId="20" xfId="5" applyNumberFormat="1" applyFont="1" applyFill="1" applyBorder="1"/>
    <xf numFmtId="0" fontId="30" fillId="0" borderId="0" xfId="0" applyFont="1"/>
    <xf numFmtId="168" fontId="0" fillId="0" borderId="0" xfId="0" applyNumberFormat="1"/>
    <xf numFmtId="0" fontId="0" fillId="10" borderId="20" xfId="0" applyFill="1" applyBorder="1"/>
    <xf numFmtId="0" fontId="24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6" fillId="0" borderId="7" xfId="5" applyNumberFormat="1" applyFont="1" applyBorder="1" applyAlignment="1">
      <alignment vertical="center"/>
    </xf>
    <xf numFmtId="10" fontId="24" fillId="0" borderId="6" xfId="4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168" fontId="7" fillId="0" borderId="28" xfId="0" applyNumberFormat="1" applyFont="1" applyBorder="1" applyAlignment="1">
      <alignment vertical="center"/>
    </xf>
    <xf numFmtId="10" fontId="31" fillId="0" borderId="25" xfId="4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68" fontId="7" fillId="0" borderId="7" xfId="0" applyNumberFormat="1" applyFont="1" applyBorder="1" applyAlignment="1">
      <alignment vertical="center"/>
    </xf>
    <xf numFmtId="10" fontId="31" fillId="0" borderId="6" xfId="4" applyNumberFormat="1" applyFont="1" applyBorder="1" applyAlignment="1">
      <alignment horizontal="center" vertical="center"/>
    </xf>
    <xf numFmtId="168" fontId="6" fillId="0" borderId="7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73" xfId="0" applyBorder="1"/>
    <xf numFmtId="0" fontId="0" fillId="0" borderId="79" xfId="0" applyBorder="1"/>
    <xf numFmtId="0" fontId="0" fillId="0" borderId="7" xfId="0" applyBorder="1"/>
    <xf numFmtId="0" fontId="0" fillId="0" borderId="6" xfId="0" applyBorder="1"/>
    <xf numFmtId="168" fontId="7" fillId="9" borderId="50" xfId="5" applyNumberFormat="1" applyFont="1" applyFill="1" applyBorder="1" applyAlignment="1">
      <alignment horizontal="center" vertical="center"/>
    </xf>
    <xf numFmtId="165" fontId="6" fillId="0" borderId="0" xfId="2" applyNumberFormat="1" applyFont="1" applyAlignment="1">
      <alignment vertical="center"/>
    </xf>
    <xf numFmtId="165" fontId="24" fillId="0" borderId="0" xfId="2" applyNumberFormat="1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168" fontId="6" fillId="0" borderId="0" xfId="5" applyNumberFormat="1" applyFont="1" applyAlignment="1">
      <alignment vertical="center"/>
    </xf>
    <xf numFmtId="168" fontId="24" fillId="0" borderId="0" xfId="5" applyNumberFormat="1" applyFont="1" applyAlignment="1">
      <alignment horizontal="center" vertical="center"/>
    </xf>
    <xf numFmtId="168" fontId="7" fillId="0" borderId="0" xfId="5" applyNumberFormat="1" applyFont="1" applyAlignment="1">
      <alignment vertical="center"/>
    </xf>
    <xf numFmtId="168" fontId="31" fillId="0" borderId="0" xfId="5" applyNumberFormat="1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0" fontId="8" fillId="0" borderId="71" xfId="0" applyFont="1" applyBorder="1" applyAlignment="1">
      <alignment horizontal="right" vertical="center"/>
    </xf>
    <xf numFmtId="0" fontId="8" fillId="0" borderId="62" xfId="0" quotePrefix="1" applyFont="1" applyBorder="1" applyAlignment="1">
      <alignment horizontal="right" vertical="center"/>
    </xf>
    <xf numFmtId="168" fontId="6" fillId="0" borderId="7" xfId="0" applyNumberFormat="1" applyFont="1" applyFill="1" applyBorder="1" applyAlignment="1">
      <alignment vertical="center"/>
    </xf>
    <xf numFmtId="168" fontId="7" fillId="0" borderId="0" xfId="0" applyNumberFormat="1" applyFont="1" applyBorder="1" applyAlignment="1">
      <alignment vertical="center"/>
    </xf>
    <xf numFmtId="168" fontId="6" fillId="0" borderId="0" xfId="0" applyNumberFormat="1" applyFont="1" applyBorder="1" applyAlignment="1">
      <alignment vertical="center"/>
    </xf>
    <xf numFmtId="168" fontId="7" fillId="0" borderId="24" xfId="0" applyNumberFormat="1" applyFont="1" applyBorder="1" applyAlignment="1">
      <alignment vertical="center"/>
    </xf>
    <xf numFmtId="168" fontId="6" fillId="0" borderId="5" xfId="5" applyNumberFormat="1" applyFont="1" applyBorder="1" applyAlignment="1">
      <alignment vertical="center"/>
    </xf>
    <xf numFmtId="168" fontId="7" fillId="0" borderId="50" xfId="5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168" fontId="28" fillId="0" borderId="0" xfId="5" applyNumberFormat="1" applyFont="1" applyBorder="1" applyAlignment="1">
      <alignment vertical="center"/>
    </xf>
    <xf numFmtId="168" fontId="28" fillId="0" borderId="5" xfId="5" applyNumberFormat="1" applyFont="1" applyBorder="1" applyAlignment="1">
      <alignment vertical="center"/>
    </xf>
    <xf numFmtId="168" fontId="28" fillId="0" borderId="0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168" fontId="7" fillId="10" borderId="38" xfId="0" applyNumberFormat="1" applyFont="1" applyFill="1" applyBorder="1" applyAlignment="1">
      <alignment vertical="center"/>
    </xf>
    <xf numFmtId="0" fontId="28" fillId="0" borderId="62" xfId="0" applyFont="1" applyBorder="1" applyAlignment="1">
      <alignment vertical="center"/>
    </xf>
    <xf numFmtId="168" fontId="13" fillId="10" borderId="20" xfId="5" applyNumberFormat="1" applyFont="1" applyFill="1" applyBorder="1"/>
    <xf numFmtId="0" fontId="28" fillId="0" borderId="62" xfId="0" quotePrefix="1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168" fontId="13" fillId="10" borderId="60" xfId="5" applyNumberFormat="1" applyFont="1" applyFill="1" applyBorder="1" applyAlignment="1">
      <alignment vertical="center"/>
    </xf>
    <xf numFmtId="168" fontId="7" fillId="10" borderId="60" xfId="5" applyNumberFormat="1" applyFont="1" applyFill="1" applyBorder="1" applyAlignment="1">
      <alignment vertical="center"/>
    </xf>
    <xf numFmtId="0" fontId="7" fillId="0" borderId="63" xfId="0" applyFont="1" applyBorder="1" applyAlignment="1">
      <alignment vertical="center"/>
    </xf>
    <xf numFmtId="168" fontId="7" fillId="0" borderId="11" xfId="0" applyNumberFormat="1" applyFont="1" applyBorder="1" applyAlignment="1">
      <alignment vertical="center"/>
    </xf>
    <xf numFmtId="44" fontId="5" fillId="0" borderId="0" xfId="0" applyNumberFormat="1" applyFont="1"/>
    <xf numFmtId="43" fontId="5" fillId="0" borderId="0" xfId="2" applyFont="1"/>
    <xf numFmtId="165" fontId="5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7" borderId="60" xfId="0" applyFont="1" applyFill="1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52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7" fillId="10" borderId="60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60" xfId="0" applyFont="1" applyFill="1" applyBorder="1" applyAlignment="1">
      <alignment horizontal="center" vertical="center"/>
    </xf>
    <xf numFmtId="0" fontId="7" fillId="9" borderId="43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7" fillId="10" borderId="68" xfId="0" applyFont="1" applyFill="1" applyBorder="1" applyAlignment="1">
      <alignment horizontal="center"/>
    </xf>
    <xf numFmtId="0" fontId="7" fillId="10" borderId="52" xfId="0" applyFont="1" applyFill="1" applyBorder="1" applyAlignment="1">
      <alignment horizontal="center"/>
    </xf>
    <xf numFmtId="0" fontId="7" fillId="10" borderId="35" xfId="0" applyFont="1" applyFill="1" applyBorder="1" applyAlignment="1">
      <alignment horizontal="center"/>
    </xf>
    <xf numFmtId="0" fontId="7" fillId="10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9" borderId="52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68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10" borderId="68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52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0" fontId="17" fillId="9" borderId="68" xfId="0" applyFont="1" applyFill="1" applyBorder="1" applyAlignment="1">
      <alignment horizontal="center" vertical="center"/>
    </xf>
    <xf numFmtId="0" fontId="17" fillId="9" borderId="35" xfId="0" applyFont="1" applyFill="1" applyBorder="1" applyAlignment="1">
      <alignment horizontal="center" vertical="center"/>
    </xf>
    <xf numFmtId="0" fontId="19" fillId="13" borderId="70" xfId="0" applyFont="1" applyFill="1" applyBorder="1" applyAlignment="1">
      <alignment horizontal="left" vertical="center"/>
    </xf>
    <xf numFmtId="0" fontId="19" fillId="13" borderId="71" xfId="0" applyFont="1" applyFill="1" applyBorder="1" applyAlignment="1">
      <alignment horizontal="left" vertical="center"/>
    </xf>
    <xf numFmtId="0" fontId="17" fillId="9" borderId="73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17" fillId="10" borderId="73" xfId="0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/>
    </xf>
    <xf numFmtId="0" fontId="7" fillId="9" borderId="73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168" fontId="20" fillId="9" borderId="73" xfId="5" applyNumberFormat="1" applyFont="1" applyFill="1" applyBorder="1" applyAlignment="1">
      <alignment horizontal="center"/>
    </xf>
    <xf numFmtId="168" fontId="20" fillId="9" borderId="12" xfId="5" applyNumberFormat="1" applyFont="1" applyFill="1" applyBorder="1" applyAlignment="1">
      <alignment horizontal="center"/>
    </xf>
    <xf numFmtId="168" fontId="20" fillId="9" borderId="22" xfId="5" applyNumberFormat="1" applyFont="1" applyFill="1" applyBorder="1" applyAlignment="1">
      <alignment horizontal="center"/>
    </xf>
    <xf numFmtId="0" fontId="20" fillId="0" borderId="70" xfId="0" applyFont="1" applyBorder="1" applyAlignment="1">
      <alignment horizontal="left" vertical="center"/>
    </xf>
    <xf numFmtId="0" fontId="20" fillId="0" borderId="71" xfId="0" applyFont="1" applyBorder="1" applyAlignment="1">
      <alignment horizontal="left" vertic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20" fillId="14" borderId="73" xfId="5" applyNumberFormat="1" applyFont="1" applyFill="1" applyBorder="1" applyAlignment="1">
      <alignment horizontal="center"/>
    </xf>
    <xf numFmtId="168" fontId="20" fillId="14" borderId="12" xfId="5" applyNumberFormat="1" applyFont="1" applyFill="1" applyBorder="1" applyAlignment="1">
      <alignment horizontal="center"/>
    </xf>
    <xf numFmtId="168" fontId="20" fillId="14" borderId="22" xfId="5" applyNumberFormat="1" applyFont="1" applyFill="1" applyBorder="1" applyAlignment="1">
      <alignment horizontal="center"/>
    </xf>
    <xf numFmtId="168" fontId="20" fillId="14" borderId="68" xfId="5" applyNumberFormat="1" applyFont="1" applyFill="1" applyBorder="1" applyAlignment="1">
      <alignment horizontal="center"/>
    </xf>
    <xf numFmtId="168" fontId="20" fillId="14" borderId="35" xfId="5" applyNumberFormat="1" applyFont="1" applyFill="1" applyBorder="1" applyAlignment="1">
      <alignment horizontal="center"/>
    </xf>
    <xf numFmtId="0" fontId="7" fillId="9" borderId="68" xfId="0" applyFont="1" applyFill="1" applyBorder="1" applyAlignment="1">
      <alignment horizontal="center" vertical="center"/>
    </xf>
    <xf numFmtId="0" fontId="7" fillId="10" borderId="28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FF4D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61932.663829787234</c:v>
                </c:pt>
                <c:pt idx="4">
                  <c:v>61932.663829787234</c:v>
                </c:pt>
                <c:pt idx="5">
                  <c:v>64881.838297872338</c:v>
                </c:pt>
                <c:pt idx="6">
                  <c:v>57041.838297872338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61932.663829787234</c:v>
                </c:pt>
                <c:pt idx="11">
                  <c:v>27550.093617021277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5'!$B$13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3741.1687639395996</c:v>
                </c:pt>
                <c:pt idx="2">
                  <c:v>3919.3196574605463</c:v>
                </c:pt>
                <c:pt idx="3">
                  <c:v>3919.3196574605354</c:v>
                </c:pt>
                <c:pt idx="4">
                  <c:v>2503.4253543994528</c:v>
                </c:pt>
                <c:pt idx="5">
                  <c:v>4551.6595744680844</c:v>
                </c:pt>
                <c:pt idx="6">
                  <c:v>4001.6595744680844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4344.765957446808</c:v>
                </c:pt>
                <c:pt idx="11">
                  <c:v>1932.7234042553191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5'!$B$26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12'!$B$10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12'!$C$5:$N$5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12'!$C$10:$N$10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12'!$B$17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12'!$C$17:$N$17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12'!$B$23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12'!$C$23:$N$23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16220.45957446807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15483.165957446807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12'!$B$40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12'!$C$5:$N$5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12'!$C$40:$N$40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1496.4675055758398</c:v>
                </c:pt>
                <c:pt idx="2">
                  <c:v>1567.7278629842185</c:v>
                </c:pt>
                <c:pt idx="3">
                  <c:v>1567.7278629842142</c:v>
                </c:pt>
                <c:pt idx="4">
                  <c:v>1001.3701417597812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12'!$B$47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12'!$C$47:$N$47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12'!$B$53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12'!$C$53:$N$53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1496.4675055758428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13'!$B$10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13'!$C$5:$N$5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13'!$C$10:$N$10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1405.7731631205675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13'!$B$18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13'!$C$18:$N$18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1332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13'!$B$22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13'!$C$22:$N$22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13'!$B$32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13'!$C$5:$N$5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13'!$C$32:$N$32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137.17618801111865</c:v>
                </c:pt>
                <c:pt idx="2">
                  <c:v>143.70838744022004</c:v>
                </c:pt>
                <c:pt idx="3">
                  <c:v>143.70838744021964</c:v>
                </c:pt>
                <c:pt idx="4">
                  <c:v>91.792262994646606</c:v>
                </c:pt>
                <c:pt idx="5">
                  <c:v>166.89418439716309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13'!$B$40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13'!$C$40:$N$40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296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13'!$B$44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13'!$C$44:$N$44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137.17618801111891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prodotto </a:t>
            </a:r>
            <a:r>
              <a:rPr lang="it-IT" b="1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C1-4247-B7F2-5818AC867DE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C1-4247-B7F2-5818AC867DE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C1-4247-B7F2-5818AC86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2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605368</xdr:colOff>
      <xdr:row>60</xdr:row>
      <xdr:rowOff>8467</xdr:rowOff>
    </xdr:from>
    <xdr:to>
      <xdr:col>11</xdr:col>
      <xdr:colOff>192617</xdr:colOff>
      <xdr:row>80</xdr:row>
      <xdr:rowOff>40218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F198404-2859-3D40-B14F-376AFC3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38</xdr:row>
      <xdr:rowOff>27215</xdr:rowOff>
    </xdr:from>
    <xdr:to>
      <xdr:col>20</xdr:col>
      <xdr:colOff>703036</xdr:colOff>
      <xdr:row>49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3E25E-AB83-EE41-B3AF-38A89040E9D7}" name="Tabella2" displayName="Tabella2" ref="B9:M195" totalsRowCount="1" headerRowDxfId="32" dataDxfId="30" totalsRowDxfId="29" headerRowBorderDxfId="31" totalsRowBorderDxfId="28" headerRowCellStyle="Valuta" dataCellStyle="Valuta">
  <autoFilter ref="B9:M194" xr:uid="{DCF3E25E-AB83-EE41-B3AF-38A89040E9D7}"/>
  <tableColumns count="12">
    <tableColumn id="1" xr3:uid="{19B7E127-672D-EC40-AF64-C19B16AF1105}" name="Matricola" totalsRowLabel="Totale" dataDxfId="27" totalsRowDxfId="26"/>
    <tableColumn id="2" xr3:uid="{BD75045C-B091-C942-95B2-679858DFB001}" name="Funzioni" dataDxfId="25" totalsRowDxfId="24"/>
    <tableColumn id="3" xr3:uid="{0DE325D9-1F0B-B142-A23A-AC0F8507C4B6}" name="Mansione" dataDxfId="23" totalsRowDxfId="22"/>
    <tableColumn id="4" xr3:uid="{E2A4526F-684B-6942-8255-99F9D15525AE}" name="linea" dataDxfId="21" totalsRowDxfId="20"/>
    <tableColumn id="5" xr3:uid="{555B7339-4A4B-454C-A4C3-513F9B7D733C}" name="RAL" totalsRowFunction="sum" dataDxfId="19" totalsRowDxfId="18" dataCellStyle="Valuta"/>
    <tableColumn id="6" xr3:uid="{BAE373D5-3317-CF4B-A4FD-51AC3C47CA0B}" name="Contributi" totalsRowFunction="sum" dataDxfId="17" totalsRowDxfId="16" dataCellStyle="Valuta">
      <calculatedColumnFormula>F10*$E$4</calculatedColumnFormula>
    </tableColumn>
    <tableColumn id="7" xr3:uid="{5E6EEE9C-FF58-2F43-AA93-1B42B5FD5398}" name="13ma" totalsRowFunction="sum" dataDxfId="15" totalsRowDxfId="14" dataCellStyle="Valuta">
      <calculatedColumnFormula>F10/12</calculatedColumnFormula>
    </tableColumn>
    <tableColumn id="8" xr3:uid="{03E49062-4B67-3F4A-BA47-23FB5927F226}" name="Contributi 13ma" totalsRowFunction="sum" dataDxfId="13" totalsRowDxfId="12" dataCellStyle="Valuta">
      <calculatedColumnFormula>H10*$E$4</calculatedColumnFormula>
    </tableColumn>
    <tableColumn id="9" xr3:uid="{4FE8CD81-3AD6-4149-9267-1135F31B5AE4}" name="14ma" totalsRowFunction="sum" dataDxfId="11" totalsRowDxfId="10" dataCellStyle="Valuta">
      <calculatedColumnFormula>F10/12</calculatedColumnFormula>
    </tableColumn>
    <tableColumn id="10" xr3:uid="{438271FD-02F0-7E4F-846E-55C126DBFDBA}" name="Contributi 14m" totalsRowFunction="sum" dataDxfId="9" totalsRowDxfId="8" dataCellStyle="Valuta">
      <calculatedColumnFormula>J10*$E$4</calculatedColumnFormula>
    </tableColumn>
    <tableColumn id="11" xr3:uid="{DF17BCFE-3E7E-334E-AB4F-114FE8BA1841}" name="TFR" totalsRowFunction="sum" dataDxfId="7" totalsRowDxfId="6" dataCellStyle="Valuta">
      <calculatedColumnFormula>F10/13.5</calculatedColumnFormula>
    </tableColumn>
    <tableColumn id="12" xr3:uid="{165577C0-DA39-EF4C-8F0B-B33A0E5325AC}" name="Costo totale" totalsRowFunction="sum" dataDxfId="5" totalsRowDxfId="4" dataCellStyle="Valuta">
      <calculatedColumnFormula>SUM(G10:L10)+F10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>
    <pageSetUpPr fitToPage="1"/>
  </sheetPr>
  <dimension ref="A2:G55"/>
  <sheetViews>
    <sheetView topLeftCell="A26" zoomScale="200" zoomScaleNormal="200" workbookViewId="0">
      <selection activeCell="B11" sqref="B11:D11"/>
    </sheetView>
  </sheetViews>
  <sheetFormatPr baseColWidth="10" defaultRowHeight="16" x14ac:dyDescent="0.15"/>
  <cols>
    <col min="1" max="1" width="38.1640625" style="84" customWidth="1"/>
    <col min="2" max="2" width="12.33203125" style="84" customWidth="1"/>
    <col min="3" max="3" width="14.83203125" style="84" customWidth="1"/>
    <col min="4" max="4" width="13.33203125" style="84" customWidth="1"/>
    <col min="5" max="5" width="13.5" style="84" customWidth="1"/>
    <col min="6" max="6" width="2.6640625" style="84" customWidth="1"/>
    <col min="7" max="7" width="13.33203125" style="84" customWidth="1"/>
    <col min="8" max="8" width="12.33203125" style="84" bestFit="1" customWidth="1"/>
    <col min="9" max="12" width="10.83203125" style="84"/>
    <col min="13" max="13" width="12.33203125" style="84" bestFit="1" customWidth="1"/>
    <col min="14" max="16384" width="10.83203125" style="84"/>
  </cols>
  <sheetData>
    <row r="2" spans="1:5" x14ac:dyDescent="0.15">
      <c r="A2" s="84" t="s">
        <v>131</v>
      </c>
    </row>
    <row r="4" spans="1:5" x14ac:dyDescent="0.15">
      <c r="A4" s="132" t="s">
        <v>64</v>
      </c>
    </row>
    <row r="6" spans="1:5" x14ac:dyDescent="0.15">
      <c r="A6" s="132" t="s">
        <v>65</v>
      </c>
    </row>
    <row r="8" spans="1:5" x14ac:dyDescent="0.15">
      <c r="A8" s="742"/>
      <c r="B8" s="739" t="s">
        <v>53</v>
      </c>
      <c r="C8" s="740"/>
      <c r="D8" s="741"/>
    </row>
    <row r="9" spans="1:5" x14ac:dyDescent="0.15">
      <c r="A9" s="743"/>
      <c r="B9" s="124" t="s">
        <v>69</v>
      </c>
      <c r="C9" s="118" t="s">
        <v>70</v>
      </c>
      <c r="D9" s="116" t="s">
        <v>71</v>
      </c>
    </row>
    <row r="10" spans="1:5" x14ac:dyDescent="0.15">
      <c r="A10" s="105" t="s">
        <v>66</v>
      </c>
      <c r="B10" s="120">
        <v>0.01</v>
      </c>
      <c r="C10" s="122">
        <v>-0.02</v>
      </c>
      <c r="D10" s="126">
        <v>0.05</v>
      </c>
    </row>
    <row r="11" spans="1:5" x14ac:dyDescent="0.15">
      <c r="A11" s="106" t="s">
        <v>67</v>
      </c>
      <c r="B11" s="120">
        <v>0.02</v>
      </c>
      <c r="C11" s="122">
        <v>-0.04</v>
      </c>
      <c r="D11" s="126">
        <v>0.08</v>
      </c>
    </row>
    <row r="12" spans="1:5" x14ac:dyDescent="0.15">
      <c r="A12" s="107" t="s">
        <v>68</v>
      </c>
      <c r="B12" s="130">
        <v>0.01</v>
      </c>
      <c r="C12" s="123">
        <v>-0.02</v>
      </c>
      <c r="D12" s="127">
        <v>0.03</v>
      </c>
    </row>
    <row r="14" spans="1:5" x14ac:dyDescent="0.15">
      <c r="A14" s="132" t="s">
        <v>72</v>
      </c>
    </row>
    <row r="16" spans="1:5" x14ac:dyDescent="0.15">
      <c r="B16" s="746" t="s">
        <v>73</v>
      </c>
      <c r="C16" s="747"/>
      <c r="D16" s="747"/>
      <c r="E16" s="748"/>
    </row>
    <row r="17" spans="1:7" x14ac:dyDescent="0.15">
      <c r="B17" s="739" t="s">
        <v>53</v>
      </c>
      <c r="C17" s="740"/>
      <c r="D17" s="741"/>
      <c r="E17" s="744" t="s">
        <v>3</v>
      </c>
    </row>
    <row r="18" spans="1:7" x14ac:dyDescent="0.15">
      <c r="B18" s="124" t="s">
        <v>69</v>
      </c>
      <c r="C18" s="118" t="s">
        <v>70</v>
      </c>
      <c r="D18" s="116" t="s">
        <v>71</v>
      </c>
      <c r="E18" s="745"/>
      <c r="G18" s="117" t="s">
        <v>85</v>
      </c>
    </row>
    <row r="19" spans="1:7" x14ac:dyDescent="0.15">
      <c r="B19" s="105"/>
      <c r="C19" s="105"/>
      <c r="D19" s="105"/>
      <c r="E19" s="105"/>
      <c r="G19" s="106"/>
    </row>
    <row r="20" spans="1:7" x14ac:dyDescent="0.15">
      <c r="A20" s="103" t="s">
        <v>54</v>
      </c>
      <c r="B20" s="125">
        <f>+B24/B26</f>
        <v>128140000</v>
      </c>
      <c r="C20" s="125">
        <f>$E20*C21</f>
        <v>123000000</v>
      </c>
      <c r="D20" s="125">
        <f>$E20*D21</f>
        <v>77900000</v>
      </c>
      <c r="E20" s="113">
        <v>410000000</v>
      </c>
      <c r="G20" s="131">
        <f>+E20-B20-C20-D20</f>
        <v>80960000</v>
      </c>
    </row>
    <row r="21" spans="1:7" x14ac:dyDescent="0.15">
      <c r="B21" s="134">
        <f>B20/E20</f>
        <v>0.31253658536585366</v>
      </c>
      <c r="C21" s="111">
        <v>0.3</v>
      </c>
      <c r="D21" s="111">
        <v>0.19</v>
      </c>
      <c r="E21" s="145"/>
      <c r="F21" s="121"/>
      <c r="G21" s="119">
        <f>G20/E20</f>
        <v>0.19746341463414635</v>
      </c>
    </row>
    <row r="22" spans="1:7" x14ac:dyDescent="0.15">
      <c r="A22" s="84" t="s">
        <v>55</v>
      </c>
      <c r="B22" s="138">
        <v>22111</v>
      </c>
      <c r="C22" s="142">
        <f>C20/180</f>
        <v>683333.33333333337</v>
      </c>
      <c r="D22" s="142">
        <f>ROUND(D28/D30,0)</f>
        <v>3158</v>
      </c>
      <c r="E22" s="106"/>
    </row>
    <row r="23" spans="1:7" x14ac:dyDescent="0.15">
      <c r="B23" s="106"/>
      <c r="C23" s="106"/>
      <c r="D23" s="106"/>
      <c r="E23" s="106"/>
    </row>
    <row r="24" spans="1:7" x14ac:dyDescent="0.15">
      <c r="A24" s="103" t="s">
        <v>57</v>
      </c>
      <c r="B24" s="112">
        <f>+B25*E24</f>
        <v>38442000</v>
      </c>
      <c r="C24" s="112">
        <f>C25*E24</f>
        <v>79446800</v>
      </c>
      <c r="D24" s="125">
        <f>+E24-C24-B24</f>
        <v>10251200</v>
      </c>
      <c r="E24" s="115">
        <v>128140000</v>
      </c>
    </row>
    <row r="25" spans="1:7" x14ac:dyDescent="0.15">
      <c r="A25" s="104" t="s">
        <v>74</v>
      </c>
      <c r="B25" s="111">
        <v>0.3</v>
      </c>
      <c r="C25" s="111">
        <v>0.62</v>
      </c>
      <c r="D25" s="134">
        <f>+D24/E24</f>
        <v>0.08</v>
      </c>
      <c r="E25" s="134">
        <f>+E24/E24</f>
        <v>1</v>
      </c>
    </row>
    <row r="26" spans="1:7" x14ac:dyDescent="0.15">
      <c r="A26" s="84" t="s">
        <v>56</v>
      </c>
      <c r="B26" s="111">
        <v>0.3</v>
      </c>
      <c r="C26" s="134">
        <f>C24/C20</f>
        <v>0.64590894308943092</v>
      </c>
      <c r="D26" s="114">
        <f>D24/D20</f>
        <v>0.13159435173299103</v>
      </c>
      <c r="E26" s="114">
        <f>E24/E20</f>
        <v>0.31253658536585366</v>
      </c>
    </row>
    <row r="27" spans="1:7" x14ac:dyDescent="0.15">
      <c r="B27" s="134"/>
      <c r="C27" s="134"/>
      <c r="D27" s="106"/>
      <c r="E27" s="114"/>
    </row>
    <row r="28" spans="1:7" x14ac:dyDescent="0.15">
      <c r="A28" s="84" t="s">
        <v>58</v>
      </c>
      <c r="B28" s="139">
        <v>6200</v>
      </c>
      <c r="C28" s="143">
        <f>C24/C40</f>
        <v>441371.11111111112</v>
      </c>
      <c r="D28" s="138">
        <v>600</v>
      </c>
      <c r="E28" s="114"/>
    </row>
    <row r="29" spans="1:7" x14ac:dyDescent="0.15">
      <c r="A29" s="84" t="s">
        <v>59</v>
      </c>
      <c r="B29" s="140">
        <f>+B24/B28</f>
        <v>6200.322580645161</v>
      </c>
      <c r="C29" s="140">
        <f t="shared" ref="C29:D29" si="0">+C24/C28</f>
        <v>180</v>
      </c>
      <c r="D29" s="140">
        <f t="shared" si="0"/>
        <v>17085.333333333332</v>
      </c>
      <c r="E29" s="114"/>
    </row>
    <row r="30" spans="1:7" x14ac:dyDescent="0.15">
      <c r="A30" s="84" t="s">
        <v>60</v>
      </c>
      <c r="B30" s="134">
        <f>B28/B22</f>
        <v>0.28040341911265887</v>
      </c>
      <c r="C30" s="134">
        <f>C28/C22</f>
        <v>0.64590894308943092</v>
      </c>
      <c r="D30" s="144">
        <v>0.19</v>
      </c>
      <c r="E30" s="114"/>
    </row>
    <row r="31" spans="1:7" x14ac:dyDescent="0.15">
      <c r="B31" s="134"/>
      <c r="C31" s="134"/>
      <c r="D31" s="134"/>
      <c r="E31" s="114"/>
    </row>
    <row r="32" spans="1:7" x14ac:dyDescent="0.15">
      <c r="A32" s="84" t="s">
        <v>87</v>
      </c>
      <c r="B32" s="134"/>
      <c r="C32" s="134"/>
      <c r="D32" s="134"/>
      <c r="E32" s="114"/>
    </row>
    <row r="33" spans="1:5" x14ac:dyDescent="0.15">
      <c r="A33" s="103" t="s">
        <v>63</v>
      </c>
      <c r="B33" s="187">
        <v>180</v>
      </c>
      <c r="C33" s="187">
        <v>180</v>
      </c>
      <c r="D33" s="187">
        <v>180</v>
      </c>
      <c r="E33" s="114"/>
    </row>
    <row r="34" spans="1:5" x14ac:dyDescent="0.15">
      <c r="A34" s="103" t="s">
        <v>62</v>
      </c>
      <c r="B34" s="187">
        <v>500</v>
      </c>
      <c r="C34" s="187">
        <v>500</v>
      </c>
      <c r="D34" s="187">
        <v>500</v>
      </c>
      <c r="E34" s="114"/>
    </row>
    <row r="35" spans="1:5" x14ac:dyDescent="0.15">
      <c r="B35" s="106"/>
      <c r="C35" s="106"/>
      <c r="D35" s="106"/>
      <c r="E35" s="106"/>
    </row>
    <row r="36" spans="1:5" x14ac:dyDescent="0.15">
      <c r="A36" s="84" t="s">
        <v>76</v>
      </c>
      <c r="B36" s="106"/>
      <c r="C36" s="106"/>
      <c r="D36" s="106"/>
      <c r="E36" s="106"/>
    </row>
    <row r="37" spans="1:5" x14ac:dyDescent="0.15">
      <c r="A37" s="103" t="s">
        <v>63</v>
      </c>
      <c r="B37" s="110">
        <v>0.71</v>
      </c>
      <c r="C37" s="110">
        <v>1</v>
      </c>
      <c r="D37" s="110">
        <v>0.09</v>
      </c>
      <c r="E37" s="110">
        <v>0.84</v>
      </c>
    </row>
    <row r="38" spans="1:5" x14ac:dyDescent="0.15">
      <c r="A38" s="103" t="s">
        <v>62</v>
      </c>
      <c r="B38" s="110">
        <f>1-B37</f>
        <v>0.29000000000000004</v>
      </c>
      <c r="C38" s="110">
        <v>0</v>
      </c>
      <c r="D38" s="110">
        <v>0.91</v>
      </c>
      <c r="E38" s="110">
        <f>1-E37</f>
        <v>0.16000000000000003</v>
      </c>
    </row>
    <row r="39" spans="1:5" x14ac:dyDescent="0.15">
      <c r="B39" s="134"/>
      <c r="C39" s="134"/>
      <c r="D39" s="134"/>
      <c r="E39" s="114"/>
    </row>
    <row r="40" spans="1:5" x14ac:dyDescent="0.15">
      <c r="A40" s="84" t="s">
        <v>88</v>
      </c>
      <c r="B40" s="140">
        <f>B33*B37+B34*B38</f>
        <v>272.8</v>
      </c>
      <c r="C40" s="140">
        <f t="shared" ref="C40:D40" si="1">C33*C37+C34*C38</f>
        <v>180</v>
      </c>
      <c r="D40" s="140">
        <f t="shared" si="1"/>
        <v>471.2</v>
      </c>
      <c r="E40" s="114"/>
    </row>
    <row r="41" spans="1:5" x14ac:dyDescent="0.15">
      <c r="A41" s="104"/>
      <c r="B41" s="106"/>
      <c r="C41" s="106"/>
      <c r="D41" s="106"/>
      <c r="E41" s="106"/>
    </row>
    <row r="42" spans="1:5" x14ac:dyDescent="0.15">
      <c r="A42" s="104" t="s">
        <v>77</v>
      </c>
      <c r="B42" s="106"/>
      <c r="C42" s="106"/>
      <c r="D42" s="106"/>
      <c r="E42" s="106"/>
    </row>
    <row r="43" spans="1:5" x14ac:dyDescent="0.15">
      <c r="A43" s="103" t="s">
        <v>63</v>
      </c>
      <c r="B43" s="112">
        <f t="shared" ref="B43:E44" si="2">B37*B$24</f>
        <v>27293820</v>
      </c>
      <c r="C43" s="112">
        <f t="shared" si="2"/>
        <v>79446800</v>
      </c>
      <c r="D43" s="112">
        <f t="shared" si="2"/>
        <v>922608</v>
      </c>
      <c r="E43" s="112">
        <f t="shared" si="2"/>
        <v>107637600</v>
      </c>
    </row>
    <row r="44" spans="1:5" x14ac:dyDescent="0.15">
      <c r="A44" s="103" t="s">
        <v>62</v>
      </c>
      <c r="B44" s="112">
        <f t="shared" si="2"/>
        <v>11148180.000000002</v>
      </c>
      <c r="C44" s="112">
        <f t="shared" si="2"/>
        <v>0</v>
      </c>
      <c r="D44" s="112">
        <f t="shared" si="2"/>
        <v>9328592</v>
      </c>
      <c r="E44" s="112">
        <f t="shared" si="2"/>
        <v>20502400.000000004</v>
      </c>
    </row>
    <row r="45" spans="1:5" x14ac:dyDescent="0.15">
      <c r="A45" s="104"/>
      <c r="B45" s="106"/>
      <c r="C45" s="106"/>
      <c r="D45" s="106"/>
      <c r="E45" s="106"/>
    </row>
    <row r="46" spans="1:5" x14ac:dyDescent="0.15">
      <c r="A46" s="104" t="s">
        <v>83</v>
      </c>
      <c r="B46" s="110">
        <v>0.01</v>
      </c>
      <c r="C46" s="110">
        <v>0</v>
      </c>
      <c r="D46" s="110">
        <v>0.1</v>
      </c>
      <c r="E46" s="106"/>
    </row>
    <row r="47" spans="1:5" x14ac:dyDescent="0.15">
      <c r="A47" s="84" t="s">
        <v>75</v>
      </c>
      <c r="B47" s="108">
        <v>90</v>
      </c>
      <c r="C47" s="108">
        <v>30</v>
      </c>
      <c r="D47" s="108">
        <v>150</v>
      </c>
      <c r="E47" s="106"/>
    </row>
    <row r="48" spans="1:5" x14ac:dyDescent="0.15">
      <c r="A48" s="84" t="s">
        <v>84</v>
      </c>
      <c r="B48" s="110">
        <v>0.12</v>
      </c>
      <c r="C48" s="106"/>
      <c r="D48" s="110">
        <v>0.06</v>
      </c>
      <c r="E48" s="106"/>
    </row>
    <row r="49" spans="1:5" x14ac:dyDescent="0.15">
      <c r="A49" s="104"/>
      <c r="B49" s="106"/>
      <c r="C49" s="106"/>
      <c r="D49" s="106"/>
      <c r="E49" s="106"/>
    </row>
    <row r="50" spans="1:5" x14ac:dyDescent="0.15">
      <c r="A50" s="104"/>
      <c r="B50" s="106"/>
      <c r="C50" s="106"/>
      <c r="D50" s="106"/>
      <c r="E50" s="106"/>
    </row>
    <row r="51" spans="1:5" x14ac:dyDescent="0.15">
      <c r="A51" s="104" t="s">
        <v>78</v>
      </c>
      <c r="B51" s="106"/>
      <c r="C51" s="106"/>
      <c r="D51" s="106"/>
      <c r="E51" s="106"/>
    </row>
    <row r="52" spans="1:5" x14ac:dyDescent="0.15">
      <c r="A52" s="104" t="s">
        <v>79</v>
      </c>
      <c r="B52" s="108">
        <v>50</v>
      </c>
      <c r="C52" s="108">
        <v>0</v>
      </c>
      <c r="D52" s="108">
        <v>7</v>
      </c>
      <c r="E52" s="106"/>
    </row>
    <row r="53" spans="1:5" x14ac:dyDescent="0.15">
      <c r="A53" s="104" t="s">
        <v>80</v>
      </c>
      <c r="B53" s="108">
        <v>40</v>
      </c>
      <c r="C53" s="108">
        <v>0</v>
      </c>
      <c r="D53" s="108">
        <v>2</v>
      </c>
      <c r="E53" s="106"/>
    </row>
    <row r="54" spans="1:5" x14ac:dyDescent="0.15">
      <c r="A54" s="104" t="s">
        <v>81</v>
      </c>
      <c r="B54" s="108">
        <v>25</v>
      </c>
      <c r="C54" s="108">
        <v>0</v>
      </c>
      <c r="D54" s="108">
        <v>3</v>
      </c>
      <c r="E54" s="106"/>
    </row>
    <row r="55" spans="1:5" x14ac:dyDescent="0.15">
      <c r="A55" s="128" t="s">
        <v>82</v>
      </c>
      <c r="B55" s="141">
        <f>SUM(B52:B54)</f>
        <v>115</v>
      </c>
      <c r="C55" s="141">
        <f t="shared" ref="C55:D55" si="3">SUM(C52:C54)</f>
        <v>0</v>
      </c>
      <c r="D55" s="141">
        <f t="shared" si="3"/>
        <v>12</v>
      </c>
      <c r="E55" s="107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>
    <pageSetUpPr fitToPage="1"/>
  </sheetPr>
  <dimension ref="B2:U30"/>
  <sheetViews>
    <sheetView showGridLines="0" zoomScale="130" zoomScaleNormal="130" workbookViewId="0">
      <selection activeCell="B4" sqref="B4:O27"/>
    </sheetView>
  </sheetViews>
  <sheetFormatPr baseColWidth="10" defaultRowHeight="17" customHeight="1" x14ac:dyDescent="0.15"/>
  <cols>
    <col min="1" max="1" width="10.83203125" style="268"/>
    <col min="2" max="2" width="25.6640625" style="268" customWidth="1"/>
    <col min="3" max="9" width="13.5" style="268" bestFit="1" customWidth="1"/>
    <col min="10" max="10" width="12.5" style="268" bestFit="1" customWidth="1"/>
    <col min="11" max="13" width="13.5" style="268" bestFit="1" customWidth="1"/>
    <col min="14" max="14" width="12.5" style="268" bestFit="1" customWidth="1"/>
    <col min="15" max="15" width="13.1640625" style="268" customWidth="1"/>
    <col min="16" max="16" width="4.1640625" style="268" customWidth="1"/>
    <col min="17" max="16384" width="10.83203125" style="268"/>
  </cols>
  <sheetData>
    <row r="2" spans="2:21" ht="17" customHeight="1" x14ac:dyDescent="0.15">
      <c r="B2" s="84" t="s">
        <v>132</v>
      </c>
    </row>
    <row r="3" spans="2:21" ht="17" customHeight="1" thickBot="1" x14ac:dyDescent="0.2"/>
    <row r="4" spans="2:21" ht="17" customHeight="1" thickBot="1" x14ac:dyDescent="0.2">
      <c r="B4" s="272" t="s">
        <v>133</v>
      </c>
    </row>
    <row r="5" spans="2:21" s="84" customFormat="1" ht="17" customHeight="1" x14ac:dyDescent="0.15">
      <c r="B5" s="269"/>
      <c r="C5" s="798" t="s">
        <v>99</v>
      </c>
      <c r="D5" s="756"/>
      <c r="E5" s="756"/>
      <c r="F5" s="756"/>
      <c r="G5" s="756"/>
      <c r="H5" s="756"/>
      <c r="I5" s="756"/>
      <c r="J5" s="756"/>
      <c r="K5" s="756"/>
      <c r="L5" s="756"/>
      <c r="M5" s="756"/>
      <c r="N5" s="756"/>
      <c r="O5" s="757"/>
      <c r="Q5" s="799" t="s">
        <v>138</v>
      </c>
      <c r="R5" s="800"/>
      <c r="S5" s="800"/>
      <c r="T5" s="801"/>
      <c r="U5" s="268"/>
    </row>
    <row r="6" spans="2:21" s="84" customFormat="1" ht="17" customHeight="1" x14ac:dyDescent="0.15">
      <c r="B6" s="279"/>
      <c r="C6" s="277" t="s">
        <v>114</v>
      </c>
      <c r="D6" s="277" t="s">
        <v>115</v>
      </c>
      <c r="E6" s="277" t="s">
        <v>116</v>
      </c>
      <c r="F6" s="277" t="s">
        <v>117</v>
      </c>
      <c r="G6" s="277" t="s">
        <v>118</v>
      </c>
      <c r="H6" s="277" t="s">
        <v>119</v>
      </c>
      <c r="I6" s="277" t="s">
        <v>120</v>
      </c>
      <c r="J6" s="277" t="s">
        <v>121</v>
      </c>
      <c r="K6" s="277" t="s">
        <v>122</v>
      </c>
      <c r="L6" s="277" t="s">
        <v>123</v>
      </c>
      <c r="M6" s="277" t="s">
        <v>124</v>
      </c>
      <c r="N6" s="277" t="s">
        <v>125</v>
      </c>
      <c r="O6" s="282" t="s">
        <v>82</v>
      </c>
      <c r="Q6" s="327" t="s">
        <v>114</v>
      </c>
      <c r="R6" s="277" t="s">
        <v>115</v>
      </c>
      <c r="S6" s="277" t="s">
        <v>116</v>
      </c>
      <c r="T6" s="328"/>
      <c r="U6" s="273"/>
    </row>
    <row r="7" spans="2:21" s="84" customFormat="1" ht="17" customHeight="1" x14ac:dyDescent="0.15">
      <c r="B7" s="160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8"/>
      <c r="Q7" s="270"/>
      <c r="R7" s="104"/>
      <c r="S7" s="104"/>
      <c r="T7" s="283"/>
      <c r="U7" s="104"/>
    </row>
    <row r="8" spans="2:21" s="84" customFormat="1" ht="17" customHeight="1" x14ac:dyDescent="0.15">
      <c r="B8" s="160" t="s">
        <v>135</v>
      </c>
      <c r="C8" s="274">
        <v>125000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8"/>
      <c r="Q8" s="270"/>
      <c r="R8" s="104"/>
      <c r="S8" s="104"/>
      <c r="T8" s="283"/>
      <c r="U8" s="104"/>
    </row>
    <row r="9" spans="2:21" s="84" customFormat="1" ht="17" customHeight="1" x14ac:dyDescent="0.15">
      <c r="B9" s="160" t="s">
        <v>136</v>
      </c>
      <c r="C9" s="288">
        <v>6</v>
      </c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8"/>
      <c r="Q9" s="270"/>
      <c r="R9" s="104"/>
      <c r="S9" s="104"/>
      <c r="T9" s="283"/>
      <c r="U9" s="104"/>
    </row>
    <row r="10" spans="2:21" s="84" customFormat="1" ht="17" customHeight="1" x14ac:dyDescent="0.15">
      <c r="B10" s="160" t="s">
        <v>137</v>
      </c>
      <c r="C10" s="273">
        <f>1/C9*360</f>
        <v>60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8"/>
      <c r="Q10" s="270"/>
      <c r="R10" s="104"/>
      <c r="S10" s="104"/>
      <c r="T10" s="283"/>
      <c r="U10" s="104"/>
    </row>
    <row r="11" spans="2:21" s="84" customFormat="1" ht="17" customHeight="1" x14ac:dyDescent="0.15">
      <c r="B11" s="160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8"/>
      <c r="Q11" s="270"/>
      <c r="R11" s="104"/>
      <c r="S11" s="104"/>
      <c r="T11" s="283"/>
      <c r="U11" s="104"/>
    </row>
    <row r="12" spans="2:21" s="104" customFormat="1" ht="23" customHeight="1" x14ac:dyDescent="0.15">
      <c r="B12" s="160" t="s">
        <v>134</v>
      </c>
      <c r="C12" s="287">
        <f>+C8</f>
        <v>125000</v>
      </c>
      <c r="D12" s="271">
        <f>+C14</f>
        <v>125797.19690665754</v>
      </c>
      <c r="E12" s="271">
        <f t="shared" ref="E12:N12" si="0">+D14</f>
        <v>127814.97304613743</v>
      </c>
      <c r="F12" s="271">
        <f t="shared" si="0"/>
        <v>128409.79302550908</v>
      </c>
      <c r="G12" s="271">
        <f t="shared" si="0"/>
        <v>129339.85608327619</v>
      </c>
      <c r="H12" s="271">
        <f t="shared" si="0"/>
        <v>130269.9191410433</v>
      </c>
      <c r="I12" s="271">
        <f t="shared" si="0"/>
        <v>131244.27091584692</v>
      </c>
      <c r="J12" s="271">
        <f t="shared" si="0"/>
        <v>124378.62269065055</v>
      </c>
      <c r="K12" s="271">
        <f t="shared" si="0"/>
        <v>124910.08729508889</v>
      </c>
      <c r="L12" s="271">
        <f t="shared" si="0"/>
        <v>122005.20154404032</v>
      </c>
      <c r="M12" s="271">
        <f t="shared" si="0"/>
        <v>114812.44144985593</v>
      </c>
      <c r="N12" s="271">
        <f t="shared" si="0"/>
        <v>115742.50450762303</v>
      </c>
      <c r="O12" s="178"/>
      <c r="Q12" s="323">
        <f>+N14</f>
        <v>108433.96911206137</v>
      </c>
      <c r="T12" s="283"/>
    </row>
    <row r="13" spans="2:21" s="104" customFormat="1" ht="23" customHeight="1" x14ac:dyDescent="0.15">
      <c r="B13" s="280" t="s">
        <v>141</v>
      </c>
      <c r="C13" s="271">
        <f>QUANTITÀ!B11</f>
        <v>52287.943518874388</v>
      </c>
      <c r="D13" s="271">
        <f>QUANTITÀ!C11</f>
        <v>58097.71502097154</v>
      </c>
      <c r="E13" s="271">
        <f>QUANTITÀ!D11</f>
        <v>66812.372274117282</v>
      </c>
      <c r="F13" s="271">
        <f>QUANTITÀ!E11</f>
        <v>61002.600772020131</v>
      </c>
      <c r="G13" s="271">
        <f>QUANTITÀ!F11</f>
        <v>61002.600772020131</v>
      </c>
      <c r="H13" s="271">
        <f>QUANTITÀ!G11</f>
        <v>63907.486523068706</v>
      </c>
      <c r="I13" s="271">
        <f>QUANTITÀ!H11</f>
        <v>63907.486523068706</v>
      </c>
      <c r="J13" s="271">
        <f>QUANTITÀ!I11</f>
        <v>34858.629012582933</v>
      </c>
      <c r="K13" s="271">
        <f>QUANTITÀ!J11</f>
        <v>63907.486523068706</v>
      </c>
      <c r="L13" s="271">
        <f>QUANTITÀ!K11</f>
        <v>61002.600772020131</v>
      </c>
      <c r="M13" s="271">
        <f>QUANTITÀ!L11</f>
        <v>61002.600772020131</v>
      </c>
      <c r="N13" s="271">
        <f>QUANTITÀ!M11</f>
        <v>34858.629012582933</v>
      </c>
      <c r="O13" s="178">
        <f>SUM(C13:N13)</f>
        <v>682648.15149641572</v>
      </c>
      <c r="Q13" s="284">
        <f>QUANTITÀ!P11</f>
        <v>51363.459053081671</v>
      </c>
      <c r="R13" s="275">
        <f>QUANTITÀ!Q11</f>
        <v>57070.510058979649</v>
      </c>
      <c r="S13" s="275">
        <f>QUANTITÀ!R11</f>
        <v>65631.086567826584</v>
      </c>
      <c r="T13" s="285">
        <f>QUANTITÀ!S11</f>
        <v>59924.03556192862</v>
      </c>
      <c r="U13" s="275"/>
    </row>
    <row r="14" spans="2:21" s="104" customFormat="1" ht="23" customHeight="1" thickBot="1" x14ac:dyDescent="0.2">
      <c r="B14" s="280" t="s">
        <v>139</v>
      </c>
      <c r="C14" s="271">
        <f>+C12-C13+C15</f>
        <v>125797.19690665754</v>
      </c>
      <c r="D14" s="271">
        <f t="shared" ref="D14:N14" si="1">+D12-D13+D15</f>
        <v>127814.97304613743</v>
      </c>
      <c r="E14" s="271">
        <f t="shared" si="1"/>
        <v>128409.79302550908</v>
      </c>
      <c r="F14" s="271">
        <f t="shared" si="1"/>
        <v>129339.85608327619</v>
      </c>
      <c r="G14" s="271">
        <f t="shared" si="1"/>
        <v>130269.9191410433</v>
      </c>
      <c r="H14" s="271">
        <f t="shared" si="1"/>
        <v>131244.27091584692</v>
      </c>
      <c r="I14" s="271">
        <f t="shared" si="1"/>
        <v>124378.62269065055</v>
      </c>
      <c r="J14" s="271">
        <f t="shared" si="1"/>
        <v>124910.08729508889</v>
      </c>
      <c r="K14" s="271">
        <f t="shared" si="1"/>
        <v>122005.20154404032</v>
      </c>
      <c r="L14" s="271">
        <f t="shared" si="1"/>
        <v>114812.44144985593</v>
      </c>
      <c r="M14" s="271">
        <f t="shared" si="1"/>
        <v>115742.50450762303</v>
      </c>
      <c r="N14" s="271">
        <f t="shared" si="1"/>
        <v>108433.96911206137</v>
      </c>
      <c r="O14" s="178"/>
      <c r="Q14" s="284">
        <f>(R13+S13)</f>
        <v>122701.59662680623</v>
      </c>
      <c r="T14" s="283"/>
    </row>
    <row r="15" spans="2:21" s="104" customFormat="1" ht="19" customHeight="1" thickBot="1" x14ac:dyDescent="0.2">
      <c r="B15" s="281" t="s">
        <v>140</v>
      </c>
      <c r="C15" s="525">
        <v>53085.140425531914</v>
      </c>
      <c r="D15" s="525">
        <v>60115.491160451427</v>
      </c>
      <c r="E15" s="525">
        <v>67407.192253488931</v>
      </c>
      <c r="F15" s="525">
        <v>61932.663829787234</v>
      </c>
      <c r="G15" s="525">
        <v>61932.663829787234</v>
      </c>
      <c r="H15" s="525">
        <v>64881.838297872338</v>
      </c>
      <c r="I15" s="525">
        <v>57041.838297872338</v>
      </c>
      <c r="J15" s="525">
        <v>35390.093617021274</v>
      </c>
      <c r="K15" s="525">
        <v>61002.600772020145</v>
      </c>
      <c r="L15" s="525">
        <v>53809.840677835746</v>
      </c>
      <c r="M15" s="525">
        <v>61932.663829787234</v>
      </c>
      <c r="N15" s="525">
        <v>27550.093617021277</v>
      </c>
      <c r="O15" s="286">
        <f>SUM(C15:N15)</f>
        <v>666082.12060847704</v>
      </c>
      <c r="Q15" s="324">
        <f t="shared" ref="Q15" si="2">(Q14-Q12+Q13)</f>
        <v>65631.08656782654</v>
      </c>
      <c r="R15" s="325"/>
      <c r="S15" s="325"/>
      <c r="T15" s="326"/>
    </row>
    <row r="16" spans="2:21" s="104" customFormat="1" ht="17" customHeight="1" thickBot="1" x14ac:dyDescent="0.2"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</row>
    <row r="17" spans="2:21" ht="17" customHeight="1" thickBot="1" x14ac:dyDescent="0.2">
      <c r="B17" s="272" t="s">
        <v>144</v>
      </c>
      <c r="U17" s="104"/>
    </row>
    <row r="18" spans="2:21" s="84" customFormat="1" ht="17" customHeight="1" x14ac:dyDescent="0.15">
      <c r="B18" s="269"/>
      <c r="C18" s="798" t="s">
        <v>99</v>
      </c>
      <c r="D18" s="756"/>
      <c r="E18" s="756"/>
      <c r="F18" s="756"/>
      <c r="G18" s="756"/>
      <c r="H18" s="756"/>
      <c r="I18" s="756"/>
      <c r="J18" s="756"/>
      <c r="K18" s="756"/>
      <c r="L18" s="756"/>
      <c r="M18" s="756"/>
      <c r="N18" s="756"/>
      <c r="O18" s="757"/>
      <c r="Q18" s="799" t="s">
        <v>138</v>
      </c>
      <c r="R18" s="800"/>
      <c r="S18" s="800"/>
      <c r="T18" s="801"/>
      <c r="U18" s="104"/>
    </row>
    <row r="19" spans="2:21" s="84" customFormat="1" ht="17" customHeight="1" x14ac:dyDescent="0.15">
      <c r="B19" s="279"/>
      <c r="C19" s="277" t="s">
        <v>114</v>
      </c>
      <c r="D19" s="277" t="s">
        <v>115</v>
      </c>
      <c r="E19" s="277" t="s">
        <v>116</v>
      </c>
      <c r="F19" s="277" t="s">
        <v>117</v>
      </c>
      <c r="G19" s="277" t="s">
        <v>118</v>
      </c>
      <c r="H19" s="277" t="s">
        <v>119</v>
      </c>
      <c r="I19" s="277" t="s">
        <v>120</v>
      </c>
      <c r="J19" s="277" t="s">
        <v>121</v>
      </c>
      <c r="K19" s="277" t="s">
        <v>122</v>
      </c>
      <c r="L19" s="277" t="s">
        <v>123</v>
      </c>
      <c r="M19" s="277" t="s">
        <v>124</v>
      </c>
      <c r="N19" s="277" t="s">
        <v>125</v>
      </c>
      <c r="O19" s="282" t="s">
        <v>82</v>
      </c>
      <c r="Q19" s="327" t="s">
        <v>114</v>
      </c>
      <c r="R19" s="277" t="s">
        <v>115</v>
      </c>
      <c r="S19" s="277" t="s">
        <v>116</v>
      </c>
      <c r="T19" s="328" t="s">
        <v>117</v>
      </c>
      <c r="U19" s="104"/>
    </row>
    <row r="20" spans="2:21" s="84" customFormat="1" ht="17" customHeight="1" x14ac:dyDescent="0.15">
      <c r="B20" s="160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8"/>
      <c r="Q20" s="270"/>
      <c r="R20" s="104"/>
      <c r="S20" s="104"/>
      <c r="T20" s="283"/>
      <c r="U20" s="104"/>
    </row>
    <row r="21" spans="2:21" s="84" customFormat="1" ht="17" customHeight="1" x14ac:dyDescent="0.15">
      <c r="B21" s="160" t="s">
        <v>135</v>
      </c>
      <c r="C21" s="274">
        <v>11000</v>
      </c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8"/>
      <c r="Q21" s="270"/>
      <c r="R21" s="104"/>
      <c r="S21" s="104"/>
      <c r="T21" s="283"/>
      <c r="U21" s="104"/>
    </row>
    <row r="22" spans="2:21" s="84" customFormat="1" ht="17" customHeight="1" x14ac:dyDescent="0.15">
      <c r="B22" s="160" t="s">
        <v>136</v>
      </c>
      <c r="C22" s="288">
        <v>4</v>
      </c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8"/>
      <c r="Q22" s="270"/>
      <c r="R22" s="104"/>
      <c r="S22" s="104"/>
      <c r="T22" s="283"/>
      <c r="U22" s="104"/>
    </row>
    <row r="23" spans="2:21" s="84" customFormat="1" ht="17" customHeight="1" x14ac:dyDescent="0.15">
      <c r="B23" s="160" t="s">
        <v>137</v>
      </c>
      <c r="C23" s="273">
        <f>1/C22*360</f>
        <v>90</v>
      </c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8"/>
      <c r="Q23" s="270"/>
      <c r="R23" s="104"/>
      <c r="S23" s="104"/>
      <c r="T23" s="283"/>
      <c r="U23" s="104"/>
    </row>
    <row r="24" spans="2:21" s="84" customFormat="1" ht="17" customHeight="1" x14ac:dyDescent="0.15">
      <c r="B24" s="160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8"/>
      <c r="Q24" s="270"/>
      <c r="R24" s="104"/>
      <c r="S24" s="104"/>
      <c r="T24" s="283"/>
      <c r="U24" s="104"/>
    </row>
    <row r="25" spans="2:21" s="104" customFormat="1" ht="23" customHeight="1" x14ac:dyDescent="0.15">
      <c r="B25" s="160" t="s">
        <v>134</v>
      </c>
      <c r="C25" s="287">
        <f>+C21</f>
        <v>11000</v>
      </c>
      <c r="D25" s="271">
        <f>+C27</f>
        <v>11401.657185339744</v>
      </c>
      <c r="E25" s="271">
        <f t="shared" ref="E25:N25" si="3">+D27</f>
        <v>11579.808078860675</v>
      </c>
      <c r="F25" s="271">
        <f t="shared" si="3"/>
        <v>11401.657185339751</v>
      </c>
      <c r="G25" s="271">
        <f t="shared" si="3"/>
        <v>11579.808078860684</v>
      </c>
      <c r="H25" s="271">
        <f t="shared" si="3"/>
        <v>10342.064669320534</v>
      </c>
      <c r="I25" s="271">
        <f t="shared" si="3"/>
        <v>10974.404586328084</v>
      </c>
      <c r="J25" s="271">
        <f t="shared" si="3"/>
        <v>11056.744503335634</v>
      </c>
      <c r="K25" s="271">
        <f t="shared" si="3"/>
        <v>11401.657185339753</v>
      </c>
      <c r="L25" s="271">
        <f t="shared" si="3"/>
        <v>10490.804079045449</v>
      </c>
      <c r="M25" s="271">
        <f t="shared" si="3"/>
        <v>11094.401272552655</v>
      </c>
      <c r="N25" s="271">
        <f t="shared" si="3"/>
        <v>11697.99846605986</v>
      </c>
      <c r="O25" s="178"/>
      <c r="Q25" s="323">
        <f>+N27</f>
        <v>11492.911148063979</v>
      </c>
      <c r="T25" s="283"/>
    </row>
    <row r="26" spans="2:21" s="104" customFormat="1" ht="23" customHeight="1" x14ac:dyDescent="0.15">
      <c r="B26" s="280" t="s">
        <v>141</v>
      </c>
      <c r="C26" s="271">
        <f>QUANTITÀ!B18</f>
        <v>3206.7160833768021</v>
      </c>
      <c r="D26" s="271">
        <f>QUANTITÀ!C18</f>
        <v>3563.0178704186692</v>
      </c>
      <c r="E26" s="271">
        <f>QUANTITÀ!D18</f>
        <v>4097.4705509814694</v>
      </c>
      <c r="F26" s="271">
        <f>QUANTITÀ!E18</f>
        <v>3741.1687639396023</v>
      </c>
      <c r="G26" s="271">
        <f>QUANTITÀ!F18</f>
        <v>3741.1687639396023</v>
      </c>
      <c r="H26" s="271">
        <f>QUANTITÀ!G18</f>
        <v>3919.3196574605354</v>
      </c>
      <c r="I26" s="271">
        <f>QUANTITÀ!H18</f>
        <v>3919.3196574605354</v>
      </c>
      <c r="J26" s="271">
        <f>QUANTITÀ!I18</f>
        <v>2137.8107222512012</v>
      </c>
      <c r="K26" s="271">
        <f>QUANTITÀ!J18</f>
        <v>3919.3196574605354</v>
      </c>
      <c r="L26" s="271">
        <f>QUANTITÀ!K18</f>
        <v>3741.1687639396023</v>
      </c>
      <c r="M26" s="271">
        <f>QUANTITÀ!L18</f>
        <v>3741.1687639396023</v>
      </c>
      <c r="N26" s="271">
        <f>QUANTITÀ!M18</f>
        <v>2137.8107222512012</v>
      </c>
      <c r="O26" s="178">
        <f>SUM(C26:N26)</f>
        <v>41865.459977419363</v>
      </c>
      <c r="Q26" s="284">
        <f>QUANTITÀ!P18</f>
        <v>3391.3508305762525</v>
      </c>
      <c r="R26" s="275">
        <f>QUANTITÀ!Q18</f>
        <v>3768.1675895291692</v>
      </c>
      <c r="S26" s="275">
        <f>QUANTITÀ!R18</f>
        <v>4333.392727958545</v>
      </c>
      <c r="T26" s="329">
        <f>QUANTITÀ!S18</f>
        <v>3956.5759690056279</v>
      </c>
      <c r="U26" s="275"/>
    </row>
    <row r="27" spans="2:21" s="104" customFormat="1" ht="23" customHeight="1" thickBot="1" x14ac:dyDescent="0.2">
      <c r="B27" s="280" t="s">
        <v>139</v>
      </c>
      <c r="C27" s="271">
        <f>+C25-C26+C28</f>
        <v>11401.657185339744</v>
      </c>
      <c r="D27" s="271">
        <f t="shared" ref="D27" si="4">+D25-D26+D28</f>
        <v>11579.808078860675</v>
      </c>
      <c r="E27" s="271">
        <f t="shared" ref="E27" si="5">+E25-E26+E28</f>
        <v>11401.657185339751</v>
      </c>
      <c r="F27" s="271">
        <f t="shared" ref="F27" si="6">+F25-F26+F28</f>
        <v>11579.808078860684</v>
      </c>
      <c r="G27" s="271">
        <f t="shared" ref="G27" si="7">+G25-G26+G28</f>
        <v>10342.064669320534</v>
      </c>
      <c r="H27" s="271">
        <f t="shared" ref="H27" si="8">+H25-H26+H28</f>
        <v>10974.404586328084</v>
      </c>
      <c r="I27" s="271">
        <f t="shared" ref="I27" si="9">+I25-I26+I28</f>
        <v>11056.744503335634</v>
      </c>
      <c r="J27" s="271">
        <f t="shared" ref="J27" si="10">+J25-J26+J28</f>
        <v>11401.657185339753</v>
      </c>
      <c r="K27" s="271">
        <f t="shared" ref="K27" si="11">+K25-K26+K28</f>
        <v>10490.804079045449</v>
      </c>
      <c r="L27" s="271">
        <f t="shared" ref="L27" si="12">+L25-L26+L28</f>
        <v>11094.401272552655</v>
      </c>
      <c r="M27" s="271">
        <f t="shared" ref="M27" si="13">+M25-M26+M28</f>
        <v>11697.99846605986</v>
      </c>
      <c r="N27" s="271">
        <f t="shared" ref="N27" si="14">+N25-N26+N28</f>
        <v>11492.911148063979</v>
      </c>
      <c r="O27" s="178"/>
      <c r="Q27" s="284">
        <f>(R26+S26+T26)</f>
        <v>12058.136286493342</v>
      </c>
      <c r="T27" s="283"/>
    </row>
    <row r="28" spans="2:21" s="104" customFormat="1" ht="19" customHeight="1" thickBot="1" x14ac:dyDescent="0.2">
      <c r="B28" s="281" t="s">
        <v>140</v>
      </c>
      <c r="C28" s="525">
        <v>3608.3732687165466</v>
      </c>
      <c r="D28" s="525">
        <v>3741.1687639395996</v>
      </c>
      <c r="E28" s="525">
        <v>3919.3196574605463</v>
      </c>
      <c r="F28" s="525">
        <v>3919.3196574605354</v>
      </c>
      <c r="G28" s="525">
        <v>2503.4253543994528</v>
      </c>
      <c r="H28" s="525">
        <v>4551.6595744680844</v>
      </c>
      <c r="I28" s="525">
        <v>4001.6595744680844</v>
      </c>
      <c r="J28" s="525">
        <v>2482.7234042553191</v>
      </c>
      <c r="K28" s="525">
        <v>3008.4665511662315</v>
      </c>
      <c r="L28" s="525">
        <v>4344.765957446808</v>
      </c>
      <c r="M28" s="525">
        <v>4344.765957446808</v>
      </c>
      <c r="N28" s="525">
        <v>1932.7234042553191</v>
      </c>
      <c r="O28" s="286">
        <f>SUM(C28:N28)</f>
        <v>42358.371125483332</v>
      </c>
      <c r="Q28" s="324">
        <f t="shared" ref="Q28" si="15">Q27-Q25+Q26</f>
        <v>3956.5759690056157</v>
      </c>
      <c r="R28" s="325"/>
      <c r="S28" s="325"/>
      <c r="T28" s="326"/>
    </row>
    <row r="29" spans="2:21" s="104" customFormat="1" ht="17" customHeight="1" x14ac:dyDescent="0.15"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</row>
    <row r="30" spans="2:21" ht="17" customHeight="1" x14ac:dyDescent="0.15">
      <c r="B30" s="344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>
    <tabColor theme="0" tint="-0.499984740745262"/>
  </sheetPr>
  <dimension ref="B1:F48"/>
  <sheetViews>
    <sheetView showGridLines="0" zoomScale="140" zoomScaleNormal="140" workbookViewId="0">
      <selection activeCell="H28" sqref="H28"/>
    </sheetView>
  </sheetViews>
  <sheetFormatPr baseColWidth="10" defaultColWidth="9.1640625" defaultRowHeight="19" x14ac:dyDescent="0.15"/>
  <cols>
    <col min="1" max="1" width="9.1640625" style="302"/>
    <col min="2" max="2" width="29" style="302" bestFit="1" customWidth="1"/>
    <col min="3" max="3" width="20.6640625" style="302" customWidth="1"/>
    <col min="4" max="4" width="13.1640625" style="302" customWidth="1"/>
    <col min="5" max="5" width="12.33203125" style="302" bestFit="1" customWidth="1"/>
    <col min="6" max="6" width="11.5" style="302" customWidth="1"/>
    <col min="7" max="7" width="2.6640625" style="302" customWidth="1"/>
    <col min="8" max="16384" width="9.1640625" style="302"/>
  </cols>
  <sheetData>
    <row r="1" spans="2:6" x14ac:dyDescent="0.15">
      <c r="B1" s="302" t="s">
        <v>182</v>
      </c>
    </row>
    <row r="2" spans="2:6" ht="20" thickBot="1" x14ac:dyDescent="0.2"/>
    <row r="3" spans="2:6" x14ac:dyDescent="0.15">
      <c r="B3" s="804" t="s">
        <v>148</v>
      </c>
      <c r="C3" s="806" t="s">
        <v>73</v>
      </c>
      <c r="D3" s="807"/>
      <c r="E3" s="807"/>
      <c r="F3" s="808"/>
    </row>
    <row r="4" spans="2:6" x14ac:dyDescent="0.15">
      <c r="B4" s="805"/>
      <c r="C4" s="308" t="s">
        <v>149</v>
      </c>
      <c r="D4" s="309" t="s">
        <v>150</v>
      </c>
      <c r="E4" s="309" t="s">
        <v>158</v>
      </c>
      <c r="F4" s="310" t="s">
        <v>159</v>
      </c>
    </row>
    <row r="5" spans="2:6" x14ac:dyDescent="0.15">
      <c r="B5" s="305" t="s">
        <v>145</v>
      </c>
      <c r="C5" s="306" t="s">
        <v>151</v>
      </c>
      <c r="D5" s="304">
        <v>0.75</v>
      </c>
      <c r="E5" s="315">
        <f>0.005*1000</f>
        <v>5</v>
      </c>
      <c r="F5" s="312">
        <f>E5*D5</f>
        <v>3.75</v>
      </c>
    </row>
    <row r="6" spans="2:6" x14ac:dyDescent="0.15">
      <c r="B6" s="305" t="s">
        <v>146</v>
      </c>
      <c r="C6" s="306" t="s">
        <v>151</v>
      </c>
      <c r="D6" s="304">
        <v>1</v>
      </c>
      <c r="E6" s="315">
        <f>0.078947*1000</f>
        <v>78.947000000000003</v>
      </c>
      <c r="F6" s="312">
        <f t="shared" ref="F6:F7" si="0">E6*D6</f>
        <v>78.947000000000003</v>
      </c>
    </row>
    <row r="7" spans="2:6" x14ac:dyDescent="0.15">
      <c r="B7" s="305" t="s">
        <v>147</v>
      </c>
      <c r="C7" s="306" t="s">
        <v>151</v>
      </c>
      <c r="D7" s="304">
        <v>1</v>
      </c>
      <c r="E7" s="315">
        <f>0.03*1000</f>
        <v>30</v>
      </c>
      <c r="F7" s="312">
        <f t="shared" si="0"/>
        <v>30</v>
      </c>
    </row>
    <row r="8" spans="2:6" ht="20" thickBot="1" x14ac:dyDescent="0.2">
      <c r="B8" s="307"/>
      <c r="C8" s="313"/>
      <c r="D8" s="313"/>
      <c r="E8" s="313"/>
      <c r="F8" s="314">
        <f>SUM(F5:F7)</f>
        <v>112.697</v>
      </c>
    </row>
    <row r="9" spans="2:6" ht="41" customHeight="1" thickBot="1" x14ac:dyDescent="0.2">
      <c r="C9" s="301"/>
      <c r="D9" s="301"/>
      <c r="E9" s="301"/>
      <c r="F9" s="301"/>
    </row>
    <row r="10" spans="2:6" x14ac:dyDescent="0.15">
      <c r="B10" s="804" t="s">
        <v>152</v>
      </c>
      <c r="C10" s="806" t="s">
        <v>73</v>
      </c>
      <c r="D10" s="807"/>
      <c r="E10" s="807"/>
      <c r="F10" s="808"/>
    </row>
    <row r="11" spans="2:6" x14ac:dyDescent="0.15">
      <c r="B11" s="805"/>
      <c r="C11" s="308" t="s">
        <v>149</v>
      </c>
      <c r="D11" s="309" t="s">
        <v>150</v>
      </c>
      <c r="E11" s="309" t="s">
        <v>158</v>
      </c>
      <c r="F11" s="310" t="s">
        <v>159</v>
      </c>
    </row>
    <row r="12" spans="2:6" x14ac:dyDescent="0.15">
      <c r="B12" s="305" t="s">
        <v>93</v>
      </c>
      <c r="C12" s="306" t="s">
        <v>151</v>
      </c>
      <c r="D12" s="304">
        <v>0.5</v>
      </c>
      <c r="E12" s="315">
        <f>0.05*1000</f>
        <v>50</v>
      </c>
      <c r="F12" s="312">
        <f>E12*D12</f>
        <v>25</v>
      </c>
    </row>
    <row r="13" spans="2:6" x14ac:dyDescent="0.15">
      <c r="B13" s="305" t="s">
        <v>153</v>
      </c>
      <c r="C13" s="306" t="s">
        <v>156</v>
      </c>
      <c r="D13" s="304">
        <v>2.2200000000000002</v>
      </c>
      <c r="E13" s="315">
        <f>0.015*1000</f>
        <v>15</v>
      </c>
      <c r="F13" s="312">
        <f t="shared" ref="F13:F16" si="1">E13*D13</f>
        <v>33.300000000000004</v>
      </c>
    </row>
    <row r="14" spans="2:6" x14ac:dyDescent="0.15">
      <c r="B14" s="305" t="s">
        <v>147</v>
      </c>
      <c r="C14" s="306" t="s">
        <v>151</v>
      </c>
      <c r="D14" s="304">
        <v>0.8</v>
      </c>
      <c r="E14" s="315">
        <f>0.03*1000</f>
        <v>30</v>
      </c>
      <c r="F14" s="312">
        <f t="shared" si="1"/>
        <v>24</v>
      </c>
    </row>
    <row r="15" spans="2:6" x14ac:dyDescent="0.15">
      <c r="B15" s="305" t="s">
        <v>154</v>
      </c>
      <c r="C15" s="306" t="s">
        <v>157</v>
      </c>
      <c r="D15" s="304">
        <v>3</v>
      </c>
      <c r="E15" s="315">
        <f>0.02*1000</f>
        <v>20</v>
      </c>
      <c r="F15" s="312">
        <f t="shared" si="1"/>
        <v>60</v>
      </c>
    </row>
    <row r="16" spans="2:6" x14ac:dyDescent="0.15">
      <c r="B16" s="305" t="s">
        <v>155</v>
      </c>
      <c r="C16" s="306" t="s">
        <v>157</v>
      </c>
      <c r="D16" s="304">
        <v>1</v>
      </c>
      <c r="E16" s="315">
        <f>0.045*1000</f>
        <v>45</v>
      </c>
      <c r="F16" s="312">
        <f t="shared" si="1"/>
        <v>45</v>
      </c>
    </row>
    <row r="17" spans="2:6" ht="20" thickBot="1" x14ac:dyDescent="0.2">
      <c r="B17" s="307"/>
      <c r="C17" s="313"/>
      <c r="D17" s="313"/>
      <c r="E17" s="313"/>
      <c r="F17" s="314">
        <f>SUM(F12:F16)</f>
        <v>187.3</v>
      </c>
    </row>
    <row r="18" spans="2:6" x14ac:dyDescent="0.15">
      <c r="B18" s="303"/>
      <c r="C18" s="303"/>
      <c r="D18" s="303"/>
      <c r="E18" s="303"/>
      <c r="F18" s="311"/>
    </row>
    <row r="19" spans="2:6" x14ac:dyDescent="0.15">
      <c r="B19" s="303"/>
      <c r="C19" s="303"/>
      <c r="D19" s="303"/>
      <c r="E19" s="303"/>
      <c r="F19" s="311"/>
    </row>
    <row r="20" spans="2:6" x14ac:dyDescent="0.15">
      <c r="B20" s="303"/>
      <c r="C20" s="303"/>
      <c r="D20" s="303"/>
      <c r="E20" s="303"/>
      <c r="F20" s="311"/>
    </row>
    <row r="21" spans="2:6" x14ac:dyDescent="0.15">
      <c r="B21" s="302" t="s">
        <v>181</v>
      </c>
      <c r="C21" s="303"/>
      <c r="D21" s="303"/>
      <c r="E21" s="303"/>
      <c r="F21" s="311"/>
    </row>
    <row r="22" spans="2:6" ht="20" thickBot="1" x14ac:dyDescent="0.2">
      <c r="B22" s="303"/>
      <c r="C22" s="303"/>
      <c r="D22" s="303"/>
      <c r="E22" s="303"/>
      <c r="F22" s="311"/>
    </row>
    <row r="23" spans="2:6" x14ac:dyDescent="0.15">
      <c r="B23" s="317"/>
      <c r="C23" s="802" t="s">
        <v>73</v>
      </c>
      <c r="D23" s="803"/>
      <c r="E23" s="303"/>
      <c r="F23" s="311"/>
    </row>
    <row r="24" spans="2:6" ht="38" customHeight="1" x14ac:dyDescent="0.15">
      <c r="B24" s="490"/>
      <c r="C24" s="316" t="s">
        <v>161</v>
      </c>
      <c r="D24" s="310" t="s">
        <v>162</v>
      </c>
      <c r="E24" s="303"/>
      <c r="F24" s="311"/>
    </row>
    <row r="25" spans="2:6" x14ac:dyDescent="0.15">
      <c r="B25" s="305" t="s">
        <v>145</v>
      </c>
      <c r="C25" s="491">
        <v>30</v>
      </c>
      <c r="D25" s="341">
        <v>45000</v>
      </c>
      <c r="E25" s="303"/>
      <c r="F25" s="311"/>
    </row>
    <row r="26" spans="2:6" x14ac:dyDescent="0.15">
      <c r="B26" s="305" t="s">
        <v>146</v>
      </c>
      <c r="C26" s="491">
        <v>15</v>
      </c>
      <c r="D26" s="341">
        <v>60000</v>
      </c>
      <c r="E26" s="303"/>
      <c r="F26" s="311"/>
    </row>
    <row r="27" spans="2:6" x14ac:dyDescent="0.15">
      <c r="B27" s="305" t="s">
        <v>147</v>
      </c>
      <c r="C27" s="491">
        <v>15</v>
      </c>
      <c r="D27" s="341">
        <v>62800</v>
      </c>
      <c r="E27" s="303"/>
      <c r="F27" s="311"/>
    </row>
    <row r="28" spans="2:6" x14ac:dyDescent="0.15">
      <c r="B28" s="305" t="s">
        <v>93</v>
      </c>
      <c r="C28" s="491">
        <v>30</v>
      </c>
      <c r="D28" s="341">
        <v>3500</v>
      </c>
      <c r="E28" s="303"/>
      <c r="F28" s="311"/>
    </row>
    <row r="29" spans="2:6" x14ac:dyDescent="0.15">
      <c r="B29" s="305" t="s">
        <v>153</v>
      </c>
      <c r="C29" s="491">
        <v>30</v>
      </c>
      <c r="D29" s="341">
        <v>7777.78</v>
      </c>
      <c r="E29" s="303"/>
      <c r="F29" s="311"/>
    </row>
    <row r="30" spans="2:6" x14ac:dyDescent="0.15">
      <c r="B30" s="305" t="s">
        <v>154</v>
      </c>
      <c r="C30" s="491">
        <v>30</v>
      </c>
      <c r="D30" s="341">
        <v>21000</v>
      </c>
      <c r="E30" s="303"/>
      <c r="F30" s="311"/>
    </row>
    <row r="31" spans="2:6" ht="20" thickBot="1" x14ac:dyDescent="0.2">
      <c r="B31" s="307" t="s">
        <v>155</v>
      </c>
      <c r="C31" s="492">
        <v>30</v>
      </c>
      <c r="D31" s="342">
        <v>3500</v>
      </c>
      <c r="E31" s="303"/>
      <c r="F31" s="311"/>
    </row>
    <row r="32" spans="2:6" x14ac:dyDescent="0.15">
      <c r="B32" s="303"/>
      <c r="C32" s="303"/>
      <c r="D32" s="303"/>
      <c r="E32" s="303"/>
      <c r="F32" s="311"/>
    </row>
    <row r="33" spans="2:6" x14ac:dyDescent="0.15">
      <c r="B33" s="303"/>
      <c r="C33" s="303"/>
      <c r="D33" s="303"/>
      <c r="E33" s="303"/>
      <c r="F33" s="311"/>
    </row>
    <row r="34" spans="2:6" x14ac:dyDescent="0.15">
      <c r="B34" s="303"/>
      <c r="C34" s="303"/>
      <c r="D34" s="303"/>
      <c r="E34" s="303"/>
      <c r="F34" s="311"/>
    </row>
    <row r="35" spans="2:6" x14ac:dyDescent="0.15">
      <c r="B35" s="302" t="s">
        <v>183</v>
      </c>
      <c r="C35" s="303"/>
      <c r="D35" s="303"/>
      <c r="E35" s="303"/>
      <c r="F35" s="311"/>
    </row>
    <row r="36" spans="2:6" ht="20" thickBot="1" x14ac:dyDescent="0.2">
      <c r="B36" s="303"/>
      <c r="C36" s="303"/>
      <c r="D36" s="303"/>
      <c r="E36" s="303"/>
      <c r="F36" s="311"/>
    </row>
    <row r="37" spans="2:6" x14ac:dyDescent="0.15">
      <c r="B37" s="487"/>
      <c r="C37" s="319" t="s">
        <v>99</v>
      </c>
      <c r="D37" s="303"/>
      <c r="E37" s="311"/>
    </row>
    <row r="38" spans="2:6" x14ac:dyDescent="0.15">
      <c r="B38" s="305" t="s">
        <v>145</v>
      </c>
      <c r="C38" s="488">
        <v>49000</v>
      </c>
      <c r="D38" s="303"/>
      <c r="E38" s="311"/>
    </row>
    <row r="39" spans="2:6" x14ac:dyDescent="0.15">
      <c r="B39" s="305" t="s">
        <v>146</v>
      </c>
      <c r="C39" s="488">
        <v>60000</v>
      </c>
      <c r="D39" s="303"/>
      <c r="E39" s="311"/>
    </row>
    <row r="40" spans="2:6" x14ac:dyDescent="0.15">
      <c r="B40" s="305" t="s">
        <v>147</v>
      </c>
      <c r="C40" s="488">
        <v>62800</v>
      </c>
      <c r="D40" s="303"/>
      <c r="E40" s="311"/>
    </row>
    <row r="41" spans="2:6" x14ac:dyDescent="0.15">
      <c r="B41" s="305" t="s">
        <v>93</v>
      </c>
      <c r="C41" s="488">
        <v>3500</v>
      </c>
      <c r="D41" s="303"/>
      <c r="E41" s="311"/>
    </row>
    <row r="42" spans="2:6" x14ac:dyDescent="0.15">
      <c r="B42" s="305" t="s">
        <v>153</v>
      </c>
      <c r="C42" s="488">
        <v>7000</v>
      </c>
      <c r="D42" s="303"/>
      <c r="E42" s="311"/>
    </row>
    <row r="43" spans="2:6" x14ac:dyDescent="0.15">
      <c r="B43" s="305" t="s">
        <v>154</v>
      </c>
      <c r="C43" s="488">
        <v>21000</v>
      </c>
      <c r="D43" s="303"/>
      <c r="E43" s="311"/>
    </row>
    <row r="44" spans="2:6" ht="20" thickBot="1" x14ac:dyDescent="0.2">
      <c r="B44" s="307" t="s">
        <v>155</v>
      </c>
      <c r="C44" s="489">
        <v>3500</v>
      </c>
      <c r="D44" s="303"/>
      <c r="E44" s="311"/>
    </row>
    <row r="45" spans="2:6" x14ac:dyDescent="0.15">
      <c r="B45" s="303"/>
      <c r="C45" s="303"/>
      <c r="D45" s="303"/>
      <c r="E45" s="303"/>
      <c r="F45" s="311"/>
    </row>
    <row r="46" spans="2:6" x14ac:dyDescent="0.15">
      <c r="B46" s="303"/>
      <c r="C46" s="303"/>
      <c r="D46" s="303"/>
      <c r="E46" s="303"/>
      <c r="F46" s="311"/>
    </row>
    <row r="47" spans="2:6" x14ac:dyDescent="0.15">
      <c r="B47" s="303"/>
      <c r="C47" s="303"/>
      <c r="D47" s="303"/>
      <c r="E47" s="303"/>
      <c r="F47" s="311"/>
    </row>
    <row r="48" spans="2:6" x14ac:dyDescent="0.15">
      <c r="B48" s="303"/>
      <c r="C48" s="303"/>
      <c r="D48" s="303"/>
      <c r="E48" s="303"/>
      <c r="F48" s="311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48"/>
  <sheetViews>
    <sheetView showGridLines="0" topLeftCell="A21" zoomScale="140" zoomScaleNormal="140" workbookViewId="0">
      <selection activeCell="D34" sqref="D34"/>
    </sheetView>
  </sheetViews>
  <sheetFormatPr baseColWidth="10" defaultColWidth="9.1640625" defaultRowHeight="19" x14ac:dyDescent="0.15"/>
  <cols>
    <col min="1" max="1" width="9.1640625" style="302"/>
    <col min="2" max="2" width="29" style="302" bestFit="1" customWidth="1"/>
    <col min="3" max="3" width="20.6640625" style="302" customWidth="1"/>
    <col min="4" max="4" width="13.1640625" style="302" customWidth="1"/>
    <col min="5" max="5" width="12.33203125" style="302" bestFit="1" customWidth="1"/>
    <col min="6" max="6" width="11.5" style="302" customWidth="1"/>
    <col min="7" max="7" width="2.6640625" style="302" customWidth="1"/>
    <col min="8" max="8" width="9.1640625" style="302" customWidth="1"/>
    <col min="9" max="9" width="11.83203125" style="302" customWidth="1"/>
    <col min="10" max="10" width="2.6640625" style="302" customWidth="1"/>
    <col min="11" max="16384" width="9.1640625" style="302"/>
  </cols>
  <sheetData>
    <row r="1" spans="2:9" x14ac:dyDescent="0.15">
      <c r="B1" s="302" t="s">
        <v>171</v>
      </c>
    </row>
    <row r="2" spans="2:9" ht="20" thickBot="1" x14ac:dyDescent="0.2"/>
    <row r="3" spans="2:9" x14ac:dyDescent="0.15">
      <c r="B3" s="804" t="s">
        <v>148</v>
      </c>
      <c r="C3" s="809" t="s">
        <v>99</v>
      </c>
      <c r="D3" s="810"/>
      <c r="E3" s="810"/>
      <c r="F3" s="811"/>
    </row>
    <row r="4" spans="2:9" x14ac:dyDescent="0.15">
      <c r="B4" s="805"/>
      <c r="C4" s="308" t="s">
        <v>149</v>
      </c>
      <c r="D4" s="309" t="s">
        <v>150</v>
      </c>
      <c r="E4" s="309" t="s">
        <v>158</v>
      </c>
      <c r="F4" s="310" t="s">
        <v>159</v>
      </c>
      <c r="H4" s="301" t="s">
        <v>168</v>
      </c>
      <c r="I4" s="301" t="s">
        <v>169</v>
      </c>
    </row>
    <row r="5" spans="2:9" x14ac:dyDescent="0.15">
      <c r="B5" s="305" t="s">
        <v>145</v>
      </c>
      <c r="C5" s="306" t="s">
        <v>151</v>
      </c>
      <c r="D5" s="304">
        <v>0.75</v>
      </c>
      <c r="E5" s="315">
        <f>0.005*1000</f>
        <v>5</v>
      </c>
      <c r="F5" s="312">
        <f>E5*D5</f>
        <v>3.75</v>
      </c>
    </row>
    <row r="6" spans="2:9" x14ac:dyDescent="0.15">
      <c r="B6" s="305" t="s">
        <v>146</v>
      </c>
      <c r="C6" s="306" t="s">
        <v>151</v>
      </c>
      <c r="D6" s="304">
        <v>1</v>
      </c>
      <c r="E6" s="337">
        <f>'All. 1-2-3'!E6*(1+'Tab. 6'!I6)</f>
        <v>74.999650000000003</v>
      </c>
      <c r="F6" s="312">
        <f t="shared" ref="F6:F7" si="0">E6*D6</f>
        <v>74.999650000000003</v>
      </c>
      <c r="I6" s="336">
        <v>-0.05</v>
      </c>
    </row>
    <row r="7" spans="2:9" x14ac:dyDescent="0.15">
      <c r="B7" s="305" t="s">
        <v>147</v>
      </c>
      <c r="C7" s="306" t="s">
        <v>151</v>
      </c>
      <c r="D7" s="304">
        <v>1</v>
      </c>
      <c r="E7" s="315">
        <f>0.03*1000</f>
        <v>30</v>
      </c>
      <c r="F7" s="312">
        <f t="shared" si="0"/>
        <v>30</v>
      </c>
    </row>
    <row r="8" spans="2:9" ht="20" thickBot="1" x14ac:dyDescent="0.2">
      <c r="B8" s="307"/>
      <c r="C8" s="313"/>
      <c r="D8" s="313"/>
      <c r="E8" s="313"/>
      <c r="F8" s="314">
        <f>SUM(F5:F7)</f>
        <v>108.74965</v>
      </c>
    </row>
    <row r="9" spans="2:9" ht="41" customHeight="1" thickBot="1" x14ac:dyDescent="0.2">
      <c r="C9" s="301"/>
      <c r="D9" s="301"/>
      <c r="E9" s="301"/>
      <c r="F9" s="301"/>
    </row>
    <row r="10" spans="2:9" x14ac:dyDescent="0.15">
      <c r="B10" s="804" t="s">
        <v>152</v>
      </c>
      <c r="C10" s="809" t="s">
        <v>99</v>
      </c>
      <c r="D10" s="810"/>
      <c r="E10" s="810"/>
      <c r="F10" s="811"/>
    </row>
    <row r="11" spans="2:9" x14ac:dyDescent="0.15">
      <c r="B11" s="805"/>
      <c r="C11" s="308" t="s">
        <v>149</v>
      </c>
      <c r="D11" s="309" t="s">
        <v>150</v>
      </c>
      <c r="E11" s="309" t="s">
        <v>158</v>
      </c>
      <c r="F11" s="310" t="s">
        <v>159</v>
      </c>
    </row>
    <row r="12" spans="2:9" x14ac:dyDescent="0.15">
      <c r="B12" s="305" t="s">
        <v>93</v>
      </c>
      <c r="C12" s="306" t="s">
        <v>151</v>
      </c>
      <c r="D12" s="304">
        <v>0.5</v>
      </c>
      <c r="E12" s="315">
        <f>0.05*1000</f>
        <v>50</v>
      </c>
      <c r="F12" s="312">
        <f>E12*D12</f>
        <v>25</v>
      </c>
    </row>
    <row r="13" spans="2:9" x14ac:dyDescent="0.15">
      <c r="B13" s="305" t="s">
        <v>153</v>
      </c>
      <c r="C13" s="306" t="s">
        <v>156</v>
      </c>
      <c r="D13" s="339">
        <f>ROUND('All. 1-2-3'!D13*(1+'Tab. 6'!H13),0)</f>
        <v>2</v>
      </c>
      <c r="E13" s="315">
        <f>0.015*1000</f>
        <v>15</v>
      </c>
      <c r="F13" s="312">
        <f t="shared" ref="F13:F16" si="1">E13*D13</f>
        <v>30</v>
      </c>
      <c r="H13" s="336">
        <v>-0.1</v>
      </c>
    </row>
    <row r="14" spans="2:9" x14ac:dyDescent="0.15">
      <c r="B14" s="305" t="s">
        <v>147</v>
      </c>
      <c r="C14" s="306" t="s">
        <v>151</v>
      </c>
      <c r="D14" s="304">
        <v>0.8</v>
      </c>
      <c r="E14" s="315">
        <f>0.03*1000</f>
        <v>30</v>
      </c>
      <c r="F14" s="312">
        <f t="shared" si="1"/>
        <v>24</v>
      </c>
    </row>
    <row r="15" spans="2:9" x14ac:dyDescent="0.15">
      <c r="B15" s="305" t="s">
        <v>154</v>
      </c>
      <c r="C15" s="306" t="s">
        <v>157</v>
      </c>
      <c r="D15" s="304">
        <v>3</v>
      </c>
      <c r="E15" s="315">
        <f>0.02*1000</f>
        <v>20</v>
      </c>
      <c r="F15" s="312">
        <f t="shared" si="1"/>
        <v>60</v>
      </c>
    </row>
    <row r="16" spans="2:9" x14ac:dyDescent="0.15">
      <c r="B16" s="305" t="s">
        <v>155</v>
      </c>
      <c r="C16" s="306" t="s">
        <v>157</v>
      </c>
      <c r="D16" s="304">
        <v>1</v>
      </c>
      <c r="E16" s="337">
        <f>'All. 1-2-3'!E16+'Tab. 6'!I16</f>
        <v>50</v>
      </c>
      <c r="F16" s="312">
        <f t="shared" si="1"/>
        <v>50</v>
      </c>
      <c r="I16" s="338">
        <v>5</v>
      </c>
    </row>
    <row r="17" spans="2:8" ht="20" thickBot="1" x14ac:dyDescent="0.2">
      <c r="B17" s="307"/>
      <c r="C17" s="313"/>
      <c r="D17" s="313"/>
      <c r="E17" s="313"/>
      <c r="F17" s="314">
        <f>SUM(F12:F16)</f>
        <v>189</v>
      </c>
    </row>
    <row r="18" spans="2:8" x14ac:dyDescent="0.15">
      <c r="B18" s="303"/>
      <c r="C18" s="303"/>
      <c r="D18" s="303"/>
      <c r="E18" s="303"/>
      <c r="F18" s="311"/>
    </row>
    <row r="19" spans="2:8" x14ac:dyDescent="0.15">
      <c r="B19" s="303"/>
      <c r="C19" s="303"/>
      <c r="D19" s="303"/>
      <c r="E19" s="303"/>
      <c r="F19" s="311"/>
    </row>
    <row r="20" spans="2:8" x14ac:dyDescent="0.15">
      <c r="B20" s="303"/>
      <c r="C20" s="303"/>
      <c r="D20" s="303"/>
      <c r="E20" s="303"/>
      <c r="F20" s="311"/>
    </row>
    <row r="21" spans="2:8" x14ac:dyDescent="0.15">
      <c r="B21" s="302" t="s">
        <v>160</v>
      </c>
      <c r="C21" s="303"/>
      <c r="D21" s="303"/>
      <c r="E21" s="303"/>
      <c r="F21" s="311"/>
    </row>
    <row r="22" spans="2:8" ht="20" thickBot="1" x14ac:dyDescent="0.2">
      <c r="B22" s="303"/>
      <c r="C22" s="303"/>
      <c r="D22" s="303"/>
      <c r="E22" s="303"/>
      <c r="F22" s="311"/>
    </row>
    <row r="23" spans="2:8" x14ac:dyDescent="0.15">
      <c r="B23" s="317"/>
      <c r="C23" s="809" t="s">
        <v>99</v>
      </c>
      <c r="D23" s="811"/>
      <c r="E23" s="303"/>
      <c r="F23" s="311"/>
    </row>
    <row r="24" spans="2:8" ht="38" customHeight="1" x14ac:dyDescent="0.15">
      <c r="B24" s="318"/>
      <c r="C24" s="316" t="s">
        <v>161</v>
      </c>
      <c r="D24" s="310" t="s">
        <v>162</v>
      </c>
      <c r="E24" s="303"/>
      <c r="F24" s="311"/>
    </row>
    <row r="25" spans="2:8" x14ac:dyDescent="0.15">
      <c r="B25" s="305" t="s">
        <v>145</v>
      </c>
      <c r="C25" s="306">
        <v>30</v>
      </c>
      <c r="D25" s="334">
        <v>45000</v>
      </c>
      <c r="E25" s="303"/>
      <c r="F25" s="311"/>
    </row>
    <row r="26" spans="2:8" x14ac:dyDescent="0.15">
      <c r="B26" s="305" t="s">
        <v>146</v>
      </c>
      <c r="C26" s="306">
        <v>15</v>
      </c>
      <c r="D26" s="334">
        <v>60000</v>
      </c>
      <c r="E26" s="303"/>
      <c r="F26" s="311"/>
    </row>
    <row r="27" spans="2:8" x14ac:dyDescent="0.15">
      <c r="B27" s="305" t="s">
        <v>147</v>
      </c>
      <c r="C27" s="306">
        <v>15</v>
      </c>
      <c r="D27" s="334">
        <v>62800</v>
      </c>
      <c r="E27" s="303"/>
      <c r="F27" s="311"/>
    </row>
    <row r="28" spans="2:8" x14ac:dyDescent="0.15">
      <c r="B28" s="305" t="s">
        <v>93</v>
      </c>
      <c r="C28" s="306">
        <v>30</v>
      </c>
      <c r="D28" s="334">
        <v>3500</v>
      </c>
      <c r="E28" s="303"/>
      <c r="F28" s="311"/>
    </row>
    <row r="29" spans="2:8" x14ac:dyDescent="0.15">
      <c r="B29" s="305" t="s">
        <v>153</v>
      </c>
      <c r="C29" s="306">
        <v>30</v>
      </c>
      <c r="D29" s="343">
        <f>'All. 1-2-3'!D29*(1+'Tab. 6'!H29)</f>
        <v>7000.0019999999995</v>
      </c>
      <c r="E29" s="303"/>
      <c r="F29" s="311"/>
      <c r="H29" s="336">
        <v>-0.1</v>
      </c>
    </row>
    <row r="30" spans="2:8" x14ac:dyDescent="0.15">
      <c r="B30" s="305" t="s">
        <v>154</v>
      </c>
      <c r="C30" s="306">
        <v>30</v>
      </c>
      <c r="D30" s="334">
        <v>21000</v>
      </c>
      <c r="E30" s="303"/>
      <c r="F30" s="311"/>
    </row>
    <row r="31" spans="2:8" ht="20" thickBot="1" x14ac:dyDescent="0.2">
      <c r="B31" s="307" t="s">
        <v>155</v>
      </c>
      <c r="C31" s="313">
        <v>30</v>
      </c>
      <c r="D31" s="335">
        <v>3500</v>
      </c>
      <c r="E31" s="303"/>
      <c r="F31" s="311"/>
    </row>
    <row r="32" spans="2:8" x14ac:dyDescent="0.15">
      <c r="B32" s="303"/>
      <c r="C32" s="303"/>
      <c r="D32" s="303"/>
      <c r="E32" s="303"/>
      <c r="F32" s="311"/>
    </row>
    <row r="33" spans="2:6" x14ac:dyDescent="0.15">
      <c r="B33" s="303"/>
      <c r="C33" s="303"/>
      <c r="D33" s="303"/>
      <c r="E33" s="303"/>
      <c r="F33" s="311"/>
    </row>
    <row r="34" spans="2:6" x14ac:dyDescent="0.15">
      <c r="B34" s="303"/>
      <c r="C34" s="303"/>
      <c r="D34" s="303"/>
      <c r="E34" s="303"/>
      <c r="F34" s="311"/>
    </row>
    <row r="35" spans="2:6" x14ac:dyDescent="0.15">
      <c r="B35" s="302" t="s">
        <v>163</v>
      </c>
      <c r="C35" s="303"/>
      <c r="D35" s="303"/>
      <c r="E35" s="303"/>
      <c r="F35" s="311"/>
    </row>
    <row r="36" spans="2:6" ht="20" thickBot="1" x14ac:dyDescent="0.2">
      <c r="B36" s="303"/>
      <c r="C36" s="303"/>
      <c r="D36" s="303"/>
      <c r="E36" s="303"/>
      <c r="F36" s="311"/>
    </row>
    <row r="37" spans="2:6" x14ac:dyDescent="0.15">
      <c r="B37" s="317"/>
      <c r="C37" s="340" t="s">
        <v>99</v>
      </c>
      <c r="D37" s="303"/>
      <c r="E37" s="311"/>
    </row>
    <row r="38" spans="2:6" x14ac:dyDescent="0.15">
      <c r="B38" s="305" t="s">
        <v>145</v>
      </c>
      <c r="C38" s="334">
        <v>49000</v>
      </c>
      <c r="D38" s="303"/>
      <c r="E38" s="311"/>
    </row>
    <row r="39" spans="2:6" x14ac:dyDescent="0.15">
      <c r="B39" s="305" t="s">
        <v>146</v>
      </c>
      <c r="C39" s="334">
        <v>60000</v>
      </c>
      <c r="D39" s="303"/>
      <c r="E39" s="311"/>
    </row>
    <row r="40" spans="2:6" x14ac:dyDescent="0.15">
      <c r="B40" s="305" t="s">
        <v>147</v>
      </c>
      <c r="C40" s="334">
        <v>62800</v>
      </c>
      <c r="D40" s="303"/>
      <c r="E40" s="311"/>
    </row>
    <row r="41" spans="2:6" x14ac:dyDescent="0.15">
      <c r="B41" s="305" t="s">
        <v>93</v>
      </c>
      <c r="C41" s="334">
        <v>3500</v>
      </c>
      <c r="D41" s="303"/>
      <c r="E41" s="311"/>
    </row>
    <row r="42" spans="2:6" x14ac:dyDescent="0.15">
      <c r="B42" s="305" t="s">
        <v>153</v>
      </c>
      <c r="C42" s="334">
        <v>7000</v>
      </c>
      <c r="D42" s="303"/>
      <c r="E42" s="311"/>
    </row>
    <row r="43" spans="2:6" x14ac:dyDescent="0.15">
      <c r="B43" s="305" t="s">
        <v>154</v>
      </c>
      <c r="C43" s="334">
        <v>21000</v>
      </c>
      <c r="D43" s="303"/>
      <c r="E43" s="311"/>
    </row>
    <row r="44" spans="2:6" ht="20" thickBot="1" x14ac:dyDescent="0.2">
      <c r="B44" s="307" t="s">
        <v>155</v>
      </c>
      <c r="C44" s="335">
        <v>3500</v>
      </c>
      <c r="D44" s="303"/>
      <c r="E44" s="311"/>
    </row>
    <row r="45" spans="2:6" x14ac:dyDescent="0.15">
      <c r="B45" s="303"/>
      <c r="C45" s="303"/>
      <c r="D45" s="303"/>
      <c r="E45" s="303"/>
      <c r="F45" s="311"/>
    </row>
    <row r="46" spans="2:6" x14ac:dyDescent="0.15">
      <c r="B46" s="303"/>
      <c r="C46" s="303"/>
      <c r="D46" s="303"/>
      <c r="E46" s="303"/>
      <c r="F46" s="311"/>
    </row>
    <row r="47" spans="2:6" x14ac:dyDescent="0.15">
      <c r="B47" s="303"/>
      <c r="C47" s="303"/>
      <c r="D47" s="303"/>
      <c r="E47" s="303"/>
      <c r="F47" s="311"/>
    </row>
    <row r="48" spans="2:6" x14ac:dyDescent="0.15">
      <c r="B48" s="303"/>
      <c r="C48" s="303"/>
      <c r="D48" s="303"/>
      <c r="E48" s="303"/>
      <c r="F48" s="311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>
    <pageSetUpPr fitToPage="1"/>
  </sheetPr>
  <dimension ref="B2:Q69"/>
  <sheetViews>
    <sheetView showGridLines="0" zoomScale="170" zoomScaleNormal="170" workbookViewId="0">
      <selection activeCell="D40" sqref="D40"/>
    </sheetView>
  </sheetViews>
  <sheetFormatPr baseColWidth="10" defaultRowHeight="13" x14ac:dyDescent="0.15"/>
  <cols>
    <col min="2" max="2" width="29" bestFit="1" customWidth="1"/>
    <col min="16" max="16" width="2.1640625" customWidth="1"/>
  </cols>
  <sheetData>
    <row r="2" spans="2:17" ht="16" x14ac:dyDescent="0.15">
      <c r="B2" s="84" t="s">
        <v>170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2:17" x14ac:dyDescent="0.15"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2:17" ht="14" thickBot="1" x14ac:dyDescent="0.2"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2:17" ht="16" x14ac:dyDescent="0.15">
      <c r="B5" s="269"/>
      <c r="C5" s="798" t="s">
        <v>99</v>
      </c>
      <c r="D5" s="756"/>
      <c r="E5" s="756"/>
      <c r="F5" s="756"/>
      <c r="G5" s="756"/>
      <c r="H5" s="756"/>
      <c r="I5" s="756"/>
      <c r="J5" s="756"/>
      <c r="K5" s="756"/>
      <c r="L5" s="756"/>
      <c r="M5" s="756"/>
      <c r="N5" s="756"/>
      <c r="O5" s="757"/>
      <c r="Q5" s="330" t="s">
        <v>143</v>
      </c>
    </row>
    <row r="6" spans="2:17" ht="16" x14ac:dyDescent="0.15">
      <c r="B6" s="279"/>
      <c r="C6" s="277" t="s">
        <v>114</v>
      </c>
      <c r="D6" s="277" t="s">
        <v>115</v>
      </c>
      <c r="E6" s="277" t="s">
        <v>116</v>
      </c>
      <c r="F6" s="277" t="s">
        <v>117</v>
      </c>
      <c r="G6" s="277" t="s">
        <v>118</v>
      </c>
      <c r="H6" s="277" t="s">
        <v>119</v>
      </c>
      <c r="I6" s="277" t="s">
        <v>120</v>
      </c>
      <c r="J6" s="277" t="s">
        <v>121</v>
      </c>
      <c r="K6" s="277" t="s">
        <v>122</v>
      </c>
      <c r="L6" s="277" t="s">
        <v>123</v>
      </c>
      <c r="M6" s="277" t="s">
        <v>124</v>
      </c>
      <c r="N6" s="277" t="s">
        <v>125</v>
      </c>
      <c r="O6" s="282" t="s">
        <v>82</v>
      </c>
      <c r="Q6" s="331" t="s">
        <v>114</v>
      </c>
    </row>
    <row r="7" spans="2:17" ht="16" x14ac:dyDescent="0.15">
      <c r="B7" s="320" t="s">
        <v>145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8"/>
      <c r="Q7" s="169"/>
    </row>
    <row r="8" spans="2:17" ht="16" x14ac:dyDescent="0.15">
      <c r="B8" s="322" t="s">
        <v>135</v>
      </c>
      <c r="C8" s="321">
        <f>VLOOKUP(B7,'Tab. 6'!$B$38:$C$44,2,0)</f>
        <v>49000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8"/>
      <c r="Q8" s="169"/>
    </row>
    <row r="9" spans="2:17" ht="16" x14ac:dyDescent="0.15">
      <c r="B9" s="322" t="s">
        <v>164</v>
      </c>
      <c r="C9" s="321">
        <f>VLOOKUP(B7,'Tab. 6'!$B$25:$D$31,2,0)</f>
        <v>30</v>
      </c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8"/>
      <c r="Q9" s="169"/>
    </row>
    <row r="10" spans="2:17" ht="16" x14ac:dyDescent="0.15">
      <c r="B10" s="322" t="s">
        <v>165</v>
      </c>
      <c r="C10" s="321">
        <f>VLOOKUP(B7,'Tab. 6'!$B$25:$D$31,3,0)</f>
        <v>45000</v>
      </c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8"/>
      <c r="Q10" s="169"/>
    </row>
    <row r="11" spans="2:17" ht="16" x14ac:dyDescent="0.15">
      <c r="B11" s="160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8"/>
      <c r="Q11" s="169"/>
    </row>
    <row r="12" spans="2:17" ht="16" x14ac:dyDescent="0.15">
      <c r="B12" s="160" t="s">
        <v>134</v>
      </c>
      <c r="C12" s="287">
        <f>+C8</f>
        <v>49000</v>
      </c>
      <c r="D12" s="271">
        <f>+C14</f>
        <v>45086.618370338569</v>
      </c>
      <c r="E12" s="271">
        <f t="shared" ref="E12:N12" si="0">+D14</f>
        <v>50555.394190116698</v>
      </c>
      <c r="F12" s="271">
        <f t="shared" si="0"/>
        <v>46449.497872340427</v>
      </c>
      <c r="G12" s="271">
        <f t="shared" si="0"/>
        <v>46449.497872340427</v>
      </c>
      <c r="H12" s="271">
        <f t="shared" si="0"/>
        <v>48661.378723404254</v>
      </c>
      <c r="I12" s="271">
        <f t="shared" si="0"/>
        <v>45000</v>
      </c>
      <c r="J12" s="271">
        <f t="shared" si="0"/>
        <v>45000</v>
      </c>
      <c r="K12" s="271">
        <f t="shared" si="0"/>
        <v>45751.950579015109</v>
      </c>
      <c r="L12" s="271">
        <f t="shared" si="0"/>
        <v>45000</v>
      </c>
      <c r="M12" s="271">
        <f t="shared" si="0"/>
        <v>46449.497872340427</v>
      </c>
      <c r="N12" s="271">
        <f t="shared" si="0"/>
        <v>45000</v>
      </c>
      <c r="O12" s="178"/>
      <c r="Q12" s="332"/>
    </row>
    <row r="13" spans="2:17" ht="16" x14ac:dyDescent="0.15">
      <c r="B13" s="280" t="s">
        <v>166</v>
      </c>
      <c r="C13" s="271">
        <f>IFERROR(VLOOKUP($B7,'Tab. 6'!$B$5:$D$7,3,0),0)*'Tab 5'!C$15+IFERROR(VLOOKUP($B7,'Tab. 6'!$B$12:$D$16,3,0),0)*'Tab 5'!C$28</f>
        <v>39813.855319148934</v>
      </c>
      <c r="D13" s="271">
        <f>IFERROR(VLOOKUP($B7,'Tab. 6'!$B$5:$D$7,3,0),0)*'Tab 5'!D$15+IFERROR(VLOOKUP($B7,'Tab. 6'!$B$12:$D$16,3,0),0)*'Tab 5'!D$28</f>
        <v>45086.618370338569</v>
      </c>
      <c r="E13" s="271">
        <f>IFERROR(VLOOKUP($B7,'Tab. 6'!$B$5:$D$7,3,0),0)*'Tab 5'!E$15+IFERROR(VLOOKUP($B7,'Tab. 6'!$B$12:$D$16,3,0),0)*'Tab 5'!E$28</f>
        <v>50555.394190116698</v>
      </c>
      <c r="F13" s="271">
        <f>IFERROR(VLOOKUP($B7,'Tab. 6'!$B$5:$D$7,3,0),0)*'Tab 5'!F$15+IFERROR(VLOOKUP($B7,'Tab. 6'!$B$12:$D$16,3,0),0)*'Tab 5'!F$28</f>
        <v>46449.497872340427</v>
      </c>
      <c r="G13" s="271">
        <f>IFERROR(VLOOKUP($B7,'Tab. 6'!$B$5:$D$7,3,0),0)*'Tab 5'!G$15+IFERROR(VLOOKUP($B7,'Tab. 6'!$B$12:$D$16,3,0),0)*'Tab 5'!G$28</f>
        <v>46449.497872340427</v>
      </c>
      <c r="H13" s="271">
        <f>IFERROR(VLOOKUP($B7,'Tab. 6'!$B$5:$D$7,3,0),0)*'Tab 5'!H$15+IFERROR(VLOOKUP($B7,'Tab. 6'!$B$12:$D$16,3,0),0)*'Tab 5'!H$28</f>
        <v>48661.378723404254</v>
      </c>
      <c r="I13" s="271">
        <f>IFERROR(VLOOKUP($B7,'Tab. 6'!$B$5:$D$7,3,0),0)*'Tab 5'!I$15+IFERROR(VLOOKUP($B7,'Tab. 6'!$B$12:$D$16,3,0),0)*'Tab 5'!I$28</f>
        <v>42781.378723404254</v>
      </c>
      <c r="J13" s="271">
        <f>IFERROR(VLOOKUP($B7,'Tab. 6'!$B$5:$D$7,3,0),0)*'Tab 5'!J$15+IFERROR(VLOOKUP($B7,'Tab. 6'!$B$12:$D$16,3,0),0)*'Tab 5'!J$28</f>
        <v>26542.570212765953</v>
      </c>
      <c r="K13" s="271">
        <f>IFERROR(VLOOKUP($B7,'Tab. 6'!$B$5:$D$7,3,0),0)*'Tab 5'!K$15+IFERROR(VLOOKUP($B7,'Tab. 6'!$B$12:$D$16,3,0),0)*'Tab 5'!K$28</f>
        <v>45751.950579015109</v>
      </c>
      <c r="L13" s="271">
        <f>IFERROR(VLOOKUP($B7,'Tab. 6'!$B$5:$D$7,3,0),0)*'Tab 5'!L$15+IFERROR(VLOOKUP($B7,'Tab. 6'!$B$12:$D$16,3,0),0)*'Tab 5'!L$28</f>
        <v>40357.380508376809</v>
      </c>
      <c r="M13" s="271">
        <f>IFERROR(VLOOKUP($B7,'Tab. 6'!$B$5:$D$7,3,0),0)*'Tab 5'!M$15+IFERROR(VLOOKUP($B7,'Tab. 6'!$B$12:$D$16,3,0),0)*'Tab 5'!M$28</f>
        <v>46449.497872340427</v>
      </c>
      <c r="N13" s="271">
        <f>IFERROR(VLOOKUP($B7,'Tab. 6'!$B$5:$D$7,3,0),0)*'Tab 5'!N$15+IFERROR(VLOOKUP($B7,'Tab. 6'!$B$12:$D$16,3,0),0)*'Tab 5'!N$28</f>
        <v>20662.570212765957</v>
      </c>
      <c r="O13" s="178">
        <f>SUM(C13:N13)</f>
        <v>499561.59045635787</v>
      </c>
      <c r="Q13" s="332">
        <f>IFERROR(VLOOKUP($B7,'Tab. 6'!$B$5:$D$7,3,0),0)*'Tab 5'!Q$15+IFERROR(VLOOKUP($B7,'Tab. 6'!$B$12:$D$16,3,0),0)*'Tab 5'!Q$28</f>
        <v>49223.314925869905</v>
      </c>
    </row>
    <row r="14" spans="2:17" ht="17" thickBot="1" x14ac:dyDescent="0.2">
      <c r="B14" s="280" t="s">
        <v>139</v>
      </c>
      <c r="C14" s="271">
        <f>+IF(D13&gt;=$C10,D13,$C10)</f>
        <v>45086.618370338569</v>
      </c>
      <c r="D14" s="271">
        <f t="shared" ref="D14:G14" si="1">+IF(E13&gt;=$C10,E13,$C10)</f>
        <v>50555.394190116698</v>
      </c>
      <c r="E14" s="271">
        <f t="shared" si="1"/>
        <v>46449.497872340427</v>
      </c>
      <c r="F14" s="271">
        <f t="shared" si="1"/>
        <v>46449.497872340427</v>
      </c>
      <c r="G14" s="271">
        <f t="shared" si="1"/>
        <v>48661.378723404254</v>
      </c>
      <c r="H14" s="271">
        <f>+IF(I13&gt;=$C10,I13,$C10)</f>
        <v>45000</v>
      </c>
      <c r="I14" s="271">
        <f>+IF(J13&gt;=$C10,J13,$C10)</f>
        <v>45000</v>
      </c>
      <c r="J14" s="271">
        <f>+IF(K13&gt;=$C10,K13,$C10)</f>
        <v>45751.950579015109</v>
      </c>
      <c r="K14" s="271">
        <f t="shared" ref="K14" si="2">+IF(L13&gt;=$C10,L13,$C10)</f>
        <v>45000</v>
      </c>
      <c r="L14" s="271">
        <f>+IF(M13&gt;=$C10,M13,$C10)</f>
        <v>46449.497872340427</v>
      </c>
      <c r="M14" s="271">
        <f t="shared" ref="M14" si="3">+IF(N13&gt;=$C10,N13,$C10)</f>
        <v>45000</v>
      </c>
      <c r="N14" s="271">
        <f>+IF(Q13&gt;=$C10,Q13,$C10)</f>
        <v>49223.314925869905</v>
      </c>
      <c r="O14" s="178"/>
      <c r="Q14" s="333"/>
    </row>
    <row r="15" spans="2:17" ht="17" thickBot="1" x14ac:dyDescent="0.2">
      <c r="B15" s="281" t="s">
        <v>167</v>
      </c>
      <c r="C15" s="276">
        <f>(C14-C12+C13)</f>
        <v>35900.473689487502</v>
      </c>
      <c r="D15" s="276">
        <f t="shared" ref="D15:N15" si="4">(D14-D12+D13)</f>
        <v>50555.394190116698</v>
      </c>
      <c r="E15" s="276">
        <f t="shared" si="4"/>
        <v>46449.497872340427</v>
      </c>
      <c r="F15" s="276">
        <f t="shared" si="4"/>
        <v>46449.497872340427</v>
      </c>
      <c r="G15" s="276">
        <f t="shared" si="4"/>
        <v>48661.378723404254</v>
      </c>
      <c r="H15" s="276">
        <f>(H14-H12+H13)</f>
        <v>45000</v>
      </c>
      <c r="I15" s="276">
        <f t="shared" si="4"/>
        <v>42781.378723404254</v>
      </c>
      <c r="J15" s="276">
        <f t="shared" si="4"/>
        <v>27294.520791781062</v>
      </c>
      <c r="K15" s="276">
        <f t="shared" si="4"/>
        <v>45000</v>
      </c>
      <c r="L15" s="276">
        <f t="shared" si="4"/>
        <v>41806.878380717237</v>
      </c>
      <c r="M15" s="276">
        <f t="shared" si="4"/>
        <v>45000</v>
      </c>
      <c r="N15" s="276">
        <f t="shared" si="4"/>
        <v>24885.885138635862</v>
      </c>
      <c r="O15" s="286">
        <f>SUM(C15:N15)</f>
        <v>499784.90538222779</v>
      </c>
    </row>
    <row r="16" spans="2:17" ht="16" x14ac:dyDescent="0.15">
      <c r="B16" s="320" t="s">
        <v>146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8"/>
      <c r="Q16" s="168"/>
    </row>
    <row r="17" spans="2:17" ht="16" x14ac:dyDescent="0.15">
      <c r="B17" s="322" t="s">
        <v>135</v>
      </c>
      <c r="C17" s="321">
        <f>VLOOKUP(B16,'Tab. 6'!$B$38:$C$44,2,0)</f>
        <v>60000</v>
      </c>
      <c r="D17" s="273"/>
      <c r="E17" s="273"/>
      <c r="F17" s="273"/>
      <c r="G17" s="273"/>
      <c r="H17" s="350"/>
      <c r="I17" s="350"/>
      <c r="J17" s="273"/>
      <c r="K17" s="273"/>
      <c r="L17" s="273"/>
      <c r="M17" s="273"/>
      <c r="N17" s="273"/>
      <c r="O17" s="278"/>
      <c r="Q17" s="169"/>
    </row>
    <row r="18" spans="2:17" ht="16" x14ac:dyDescent="0.15">
      <c r="B18" s="322" t="s">
        <v>164</v>
      </c>
      <c r="C18" s="321">
        <f>VLOOKUP(B16,'Tab. 6'!$B$25:$D$31,2,0)</f>
        <v>15</v>
      </c>
      <c r="D18" s="273"/>
      <c r="E18" s="273"/>
      <c r="F18" s="273"/>
      <c r="G18" s="273"/>
      <c r="H18" s="350"/>
      <c r="I18" s="273"/>
      <c r="J18" s="273"/>
      <c r="K18" s="273"/>
      <c r="L18" s="273"/>
      <c r="M18" s="273"/>
      <c r="N18" s="273"/>
      <c r="O18" s="278"/>
      <c r="Q18" s="169"/>
    </row>
    <row r="19" spans="2:17" ht="16" x14ac:dyDescent="0.15">
      <c r="B19" s="322" t="s">
        <v>165</v>
      </c>
      <c r="C19" s="321">
        <f>VLOOKUP(B16,'Tab. 6'!$B$25:$D$31,3,0)</f>
        <v>60000</v>
      </c>
      <c r="D19" s="273"/>
      <c r="E19" s="273"/>
      <c r="F19" s="273"/>
      <c r="G19" s="273"/>
      <c r="H19" s="350"/>
      <c r="I19" s="273"/>
      <c r="J19" s="273"/>
      <c r="K19" s="273"/>
      <c r="L19" s="273"/>
      <c r="M19" s="273"/>
      <c r="N19" s="273"/>
      <c r="O19" s="278"/>
      <c r="Q19" s="169"/>
    </row>
    <row r="20" spans="2:17" ht="16" x14ac:dyDescent="0.15">
      <c r="B20" s="160"/>
      <c r="C20" s="273"/>
      <c r="D20" s="273"/>
      <c r="E20" s="273"/>
      <c r="F20" s="273"/>
      <c r="G20" s="273"/>
      <c r="H20" s="350"/>
      <c r="I20" s="273"/>
      <c r="J20" s="273"/>
      <c r="K20" s="273"/>
      <c r="L20" s="273"/>
      <c r="M20" s="273"/>
      <c r="N20" s="273"/>
      <c r="O20" s="278"/>
      <c r="Q20" s="169"/>
    </row>
    <row r="21" spans="2:17" ht="16" x14ac:dyDescent="0.15">
      <c r="B21" s="160" t="s">
        <v>134</v>
      </c>
      <c r="C21" s="287">
        <f>+C17</f>
        <v>60000</v>
      </c>
      <c r="D21" s="271">
        <f>+C23</f>
        <v>60000</v>
      </c>
      <c r="E21" s="271">
        <f t="shared" ref="E21" si="5">+D23</f>
        <v>60000</v>
      </c>
      <c r="F21" s="271">
        <f t="shared" ref="F21" si="6">+E23</f>
        <v>60000</v>
      </c>
      <c r="G21" s="271">
        <f t="shared" ref="G21" si="7">+F23</f>
        <v>60000</v>
      </c>
      <c r="H21" s="271">
        <f t="shared" ref="H21" si="8">+G23</f>
        <v>60000</v>
      </c>
      <c r="I21" s="271">
        <f t="shared" ref="I21" si="9">+H23</f>
        <v>60000</v>
      </c>
      <c r="J21" s="271">
        <f t="shared" ref="J21" si="10">+I23</f>
        <v>60000</v>
      </c>
      <c r="K21" s="271">
        <f t="shared" ref="K21" si="11">+J23</f>
        <v>60000</v>
      </c>
      <c r="L21" s="271">
        <f t="shared" ref="L21" si="12">+K23</f>
        <v>60000</v>
      </c>
      <c r="M21" s="271">
        <f t="shared" ref="M21" si="13">+L23</f>
        <v>60000</v>
      </c>
      <c r="N21" s="271">
        <f t="shared" ref="N21" si="14">+M23</f>
        <v>60000</v>
      </c>
      <c r="O21" s="178"/>
      <c r="Q21" s="332"/>
    </row>
    <row r="22" spans="2:17" ht="16" x14ac:dyDescent="0.15">
      <c r="B22" s="280" t="s">
        <v>166</v>
      </c>
      <c r="C22" s="271">
        <f>IFERROR(VLOOKUP($B16,'Tab. 6'!$B$5:$D$7,3,0),0)*'Tab 5'!C$15+IFERROR(VLOOKUP($B16,'Tab. 6'!$B$12:$D$16,3,0),0)*'Tab 5'!C$28</f>
        <v>53085.140425531914</v>
      </c>
      <c r="D22" s="271">
        <f>IFERROR(VLOOKUP($B16,'Tab. 6'!$B$5:$D$7,3,0),0)*'Tab 5'!D$15+IFERROR(VLOOKUP($B16,'Tab. 6'!$B$12:$D$16,3,0),0)*'Tab 5'!D$28</f>
        <v>60115.491160451427</v>
      </c>
      <c r="E22" s="271">
        <f>IFERROR(VLOOKUP($B16,'Tab. 6'!$B$5:$D$7,3,0),0)*'Tab 5'!E$15+IFERROR(VLOOKUP($B16,'Tab. 6'!$B$12:$D$16,3,0),0)*'Tab 5'!E$28</f>
        <v>67407.192253488931</v>
      </c>
      <c r="F22" s="271">
        <f>IFERROR(VLOOKUP($B16,'Tab. 6'!$B$5:$D$7,3,0),0)*'Tab 5'!F$15+IFERROR(VLOOKUP($B16,'Tab. 6'!$B$12:$D$16,3,0),0)*'Tab 5'!F$28</f>
        <v>61932.663829787234</v>
      </c>
      <c r="G22" s="271">
        <f>IFERROR(VLOOKUP($B16,'Tab. 6'!$B$5:$D$7,3,0),0)*'Tab 5'!G$15+IFERROR(VLOOKUP($B16,'Tab. 6'!$B$12:$D$16,3,0),0)*'Tab 5'!G$28</f>
        <v>61932.663829787234</v>
      </c>
      <c r="H22" s="271">
        <f>IFERROR(VLOOKUP($B16,'Tab. 6'!$B$5:$D$7,3,0),0)*'Tab 5'!H$15+IFERROR(VLOOKUP($B16,'Tab. 6'!$B$12:$D$16,3,0),0)*'Tab 5'!H$28</f>
        <v>64881.838297872338</v>
      </c>
      <c r="I22" s="271">
        <f>IFERROR(VLOOKUP($B16,'Tab. 6'!$B$5:$D$7,3,0),0)*'Tab 5'!I$15+IFERROR(VLOOKUP($B16,'Tab. 6'!$B$12:$D$16,3,0),0)*'Tab 5'!I$28</f>
        <v>57041.838297872338</v>
      </c>
      <c r="J22" s="271">
        <f>IFERROR(VLOOKUP($B16,'Tab. 6'!$B$5:$D$7,3,0),0)*'Tab 5'!J$15+IFERROR(VLOOKUP($B16,'Tab. 6'!$B$12:$D$16,3,0),0)*'Tab 5'!J$28</f>
        <v>35390.093617021274</v>
      </c>
      <c r="K22" s="271">
        <f>IFERROR(VLOOKUP($B16,'Tab. 6'!$B$5:$D$7,3,0),0)*'Tab 5'!K$15+IFERROR(VLOOKUP($B16,'Tab. 6'!$B$12:$D$16,3,0),0)*'Tab 5'!K$28</f>
        <v>61002.600772020145</v>
      </c>
      <c r="L22" s="271">
        <f>IFERROR(VLOOKUP($B16,'Tab. 6'!$B$5:$D$7,3,0),0)*'Tab 5'!L$15+IFERROR(VLOOKUP($B16,'Tab. 6'!$B$12:$D$16,3,0),0)*'Tab 5'!L$28</f>
        <v>53809.840677835746</v>
      </c>
      <c r="M22" s="271">
        <f>IFERROR(VLOOKUP($B16,'Tab. 6'!$B$5:$D$7,3,0),0)*'Tab 5'!M$15+IFERROR(VLOOKUP($B16,'Tab. 6'!$B$12:$D$16,3,0),0)*'Tab 5'!M$28</f>
        <v>61932.663829787234</v>
      </c>
      <c r="N22" s="271">
        <f>IFERROR(VLOOKUP($B16,'Tab. 6'!$B$5:$D$7,3,0),0)*'Tab 5'!N$15+IFERROR(VLOOKUP($B16,'Tab. 6'!$B$12:$D$16,3,0),0)*'Tab 5'!N$28</f>
        <v>27550.093617021277</v>
      </c>
      <c r="O22" s="178">
        <f>SUM(C22:N22)</f>
        <v>666082.12060847704</v>
      </c>
      <c r="Q22" s="332">
        <f>IFERROR(VLOOKUP($B16,'Tab. 6'!$B$5:$D$7,3,0),0)*'Tab 5'!Q$15+IFERROR(VLOOKUP($B16,'Tab. 6'!$B$12:$D$16,3,0),0)*'Tab 5'!Q$28</f>
        <v>65631.08656782654</v>
      </c>
    </row>
    <row r="23" spans="2:17" ht="17" thickBot="1" x14ac:dyDescent="0.2">
      <c r="B23" s="280" t="s">
        <v>139</v>
      </c>
      <c r="C23" s="271">
        <f>+IF(D22/2&gt;=$C19,D22/2,$C19)</f>
        <v>60000</v>
      </c>
      <c r="D23" s="271">
        <f t="shared" ref="D23:M23" si="15">+IF(E22/2&gt;=$C19,E22/2,$C19)</f>
        <v>60000</v>
      </c>
      <c r="E23" s="271">
        <f t="shared" si="15"/>
        <v>60000</v>
      </c>
      <c r="F23" s="271">
        <f t="shared" si="15"/>
        <v>60000</v>
      </c>
      <c r="G23" s="271">
        <f t="shared" si="15"/>
        <v>60000</v>
      </c>
      <c r="H23" s="271">
        <f t="shared" si="15"/>
        <v>60000</v>
      </c>
      <c r="I23" s="271">
        <f t="shared" si="15"/>
        <v>60000</v>
      </c>
      <c r="J23" s="271">
        <f t="shared" si="15"/>
        <v>60000</v>
      </c>
      <c r="K23" s="271">
        <f t="shared" si="15"/>
        <v>60000</v>
      </c>
      <c r="L23" s="271">
        <f t="shared" si="15"/>
        <v>60000</v>
      </c>
      <c r="M23" s="271">
        <f t="shared" si="15"/>
        <v>60000</v>
      </c>
      <c r="N23" s="271">
        <f>+IF(Q22/2&gt;=$C19,Q22/2,$C19)</f>
        <v>60000</v>
      </c>
      <c r="O23" s="178"/>
      <c r="Q23" s="333"/>
    </row>
    <row r="24" spans="2:17" ht="17" thickBot="1" x14ac:dyDescent="0.2">
      <c r="B24" s="281" t="s">
        <v>167</v>
      </c>
      <c r="C24" s="276">
        <f>(C23-C21+C22)</f>
        <v>53085.140425531914</v>
      </c>
      <c r="D24" s="276">
        <f t="shared" ref="D24:N24" si="16">(D23-D21+D22)</f>
        <v>60115.491160451427</v>
      </c>
      <c r="E24" s="276">
        <f t="shared" si="16"/>
        <v>67407.192253488931</v>
      </c>
      <c r="F24" s="276">
        <f t="shared" si="16"/>
        <v>61932.663829787234</v>
      </c>
      <c r="G24" s="276">
        <f t="shared" si="16"/>
        <v>61932.663829787234</v>
      </c>
      <c r="H24" s="276">
        <f t="shared" si="16"/>
        <v>64881.838297872338</v>
      </c>
      <c r="I24" s="276">
        <f t="shared" si="16"/>
        <v>57041.838297872338</v>
      </c>
      <c r="J24" s="276">
        <f t="shared" si="16"/>
        <v>35390.093617021274</v>
      </c>
      <c r="K24" s="276">
        <f t="shared" si="16"/>
        <v>61002.600772020145</v>
      </c>
      <c r="L24" s="276">
        <f t="shared" si="16"/>
        <v>53809.840677835746</v>
      </c>
      <c r="M24" s="276">
        <f t="shared" si="16"/>
        <v>61932.663829787234</v>
      </c>
      <c r="N24" s="276">
        <f t="shared" si="16"/>
        <v>27550.093617021277</v>
      </c>
      <c r="O24" s="286">
        <f>SUM(C24:N24)</f>
        <v>666082.12060847704</v>
      </c>
    </row>
    <row r="25" spans="2:17" ht="16" x14ac:dyDescent="0.15">
      <c r="B25" s="320" t="s">
        <v>147</v>
      </c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8"/>
      <c r="Q25" s="168"/>
    </row>
    <row r="26" spans="2:17" ht="16" x14ac:dyDescent="0.15">
      <c r="B26" s="322" t="s">
        <v>135</v>
      </c>
      <c r="C26" s="321">
        <f>VLOOKUP(B25,'Tab. 6'!$B$38:$C$44,2,0)</f>
        <v>62800</v>
      </c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8"/>
      <c r="Q26" s="169"/>
    </row>
    <row r="27" spans="2:17" ht="16" x14ac:dyDescent="0.15">
      <c r="B27" s="322" t="s">
        <v>164</v>
      </c>
      <c r="C27" s="321">
        <f>VLOOKUP(B25,'Tab. 6'!$B$25:$D$31,2,0)</f>
        <v>15</v>
      </c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8"/>
      <c r="Q27" s="169"/>
    </row>
    <row r="28" spans="2:17" ht="16" x14ac:dyDescent="0.15">
      <c r="B28" s="322" t="s">
        <v>165</v>
      </c>
      <c r="C28" s="321">
        <f>VLOOKUP(B25,'Tab. 6'!$B$25:$D$31,3,0)</f>
        <v>62800</v>
      </c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8"/>
      <c r="Q28" s="169"/>
    </row>
    <row r="29" spans="2:17" ht="16" x14ac:dyDescent="0.15">
      <c r="B29" s="160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8"/>
      <c r="Q29" s="169"/>
    </row>
    <row r="30" spans="2:17" ht="16" x14ac:dyDescent="0.15">
      <c r="B30" s="160" t="s">
        <v>134</v>
      </c>
      <c r="C30" s="287">
        <f>+C26</f>
        <v>62800</v>
      </c>
      <c r="D30" s="271">
        <f>+C32</f>
        <v>62800</v>
      </c>
      <c r="E30" s="271">
        <f t="shared" ref="E30" si="17">+D32</f>
        <v>62800</v>
      </c>
      <c r="F30" s="271">
        <f t="shared" ref="F30" si="18">+E32</f>
        <v>62800</v>
      </c>
      <c r="G30" s="271">
        <f t="shared" ref="G30" si="19">+F32</f>
        <v>62800</v>
      </c>
      <c r="H30" s="271">
        <f t="shared" ref="H30" si="20">+G32</f>
        <v>62800</v>
      </c>
      <c r="I30" s="271">
        <f t="shared" ref="I30" si="21">+H32</f>
        <v>62800</v>
      </c>
      <c r="J30" s="271">
        <f t="shared" ref="J30" si="22">+I32</f>
        <v>62800</v>
      </c>
      <c r="K30" s="271">
        <f t="shared" ref="K30" si="23">+J32</f>
        <v>62800</v>
      </c>
      <c r="L30" s="271">
        <f t="shared" ref="L30" si="24">+K32</f>
        <v>62800</v>
      </c>
      <c r="M30" s="271">
        <f t="shared" ref="M30" si="25">+L32</f>
        <v>62800</v>
      </c>
      <c r="N30" s="271">
        <f t="shared" ref="N30" si="26">+M32</f>
        <v>62800</v>
      </c>
      <c r="O30" s="178"/>
      <c r="Q30" s="332"/>
    </row>
    <row r="31" spans="2:17" ht="16" x14ac:dyDescent="0.15">
      <c r="B31" s="280" t="s">
        <v>166</v>
      </c>
      <c r="C31" s="271">
        <f>IFERROR(VLOOKUP($B25,'Tab. 6'!$B$5:$D$7,3,0),0)*'Tab 5'!C$15+IFERROR(VLOOKUP($B25,'Tab. 6'!$B$12:$D$16,3,0),0)*'Tab 5'!C$28</f>
        <v>55971.839040505154</v>
      </c>
      <c r="D31" s="271">
        <f>IFERROR(VLOOKUP($B25,'Tab. 6'!$B$5:$D$7,3,0),0)*'Tab 5'!D$15+IFERROR(VLOOKUP($B25,'Tab. 6'!$B$12:$D$16,3,0),0)*'Tab 5'!D$28</f>
        <v>63108.426171603103</v>
      </c>
      <c r="E31" s="271">
        <f>IFERROR(VLOOKUP($B25,'Tab. 6'!$B$5:$D$7,3,0),0)*'Tab 5'!E$15+IFERROR(VLOOKUP($B25,'Tab. 6'!$B$12:$D$16,3,0),0)*'Tab 5'!E$28</f>
        <v>70542.647979457368</v>
      </c>
      <c r="F31" s="271">
        <f>IFERROR(VLOOKUP($B25,'Tab. 6'!$B$5:$D$7,3,0),0)*'Tab 5'!F$15+IFERROR(VLOOKUP($B25,'Tab. 6'!$B$12:$D$16,3,0),0)*'Tab 5'!F$28</f>
        <v>65068.119555755664</v>
      </c>
      <c r="G31" s="271">
        <f>IFERROR(VLOOKUP($B25,'Tab. 6'!$B$5:$D$7,3,0),0)*'Tab 5'!G$15+IFERROR(VLOOKUP($B25,'Tab. 6'!$B$12:$D$16,3,0),0)*'Tab 5'!G$28</f>
        <v>63935.404113306795</v>
      </c>
      <c r="H31" s="271">
        <f>IFERROR(VLOOKUP($B25,'Tab. 6'!$B$5:$D$7,3,0),0)*'Tab 5'!H$15+IFERROR(VLOOKUP($B25,'Tab. 6'!$B$12:$D$16,3,0),0)*'Tab 5'!H$28</f>
        <v>68523.165957446807</v>
      </c>
      <c r="I31" s="271">
        <f>IFERROR(VLOOKUP($B25,'Tab. 6'!$B$5:$D$7,3,0),0)*'Tab 5'!I$15+IFERROR(VLOOKUP($B25,'Tab. 6'!$B$12:$D$16,3,0),0)*'Tab 5'!I$28</f>
        <v>60243.165957446807</v>
      </c>
      <c r="J31" s="271">
        <f>IFERROR(VLOOKUP($B25,'Tab. 6'!$B$5:$D$7,3,0),0)*'Tab 5'!J$15+IFERROR(VLOOKUP($B25,'Tab. 6'!$B$12:$D$16,3,0),0)*'Tab 5'!J$28</f>
        <v>37376.27234042553</v>
      </c>
      <c r="K31" s="271">
        <f>IFERROR(VLOOKUP($B25,'Tab. 6'!$B$5:$D$7,3,0),0)*'Tab 5'!K$15+IFERROR(VLOOKUP($B25,'Tab. 6'!$B$12:$D$16,3,0),0)*'Tab 5'!K$28</f>
        <v>63409.374012953129</v>
      </c>
      <c r="L31" s="271">
        <f>IFERROR(VLOOKUP($B25,'Tab. 6'!$B$5:$D$7,3,0),0)*'Tab 5'!L$15+IFERROR(VLOOKUP($B25,'Tab. 6'!$B$12:$D$16,3,0),0)*'Tab 5'!L$28</f>
        <v>57285.653443793191</v>
      </c>
      <c r="M31" s="271">
        <f>IFERROR(VLOOKUP($B25,'Tab. 6'!$B$5:$D$7,3,0),0)*'Tab 5'!M$15+IFERROR(VLOOKUP($B25,'Tab. 6'!$B$12:$D$16,3,0),0)*'Tab 5'!M$28</f>
        <v>65408.47659574468</v>
      </c>
      <c r="N31" s="271">
        <f>IFERROR(VLOOKUP($B25,'Tab. 6'!$B$5:$D$7,3,0),0)*'Tab 5'!N$15+IFERROR(VLOOKUP($B25,'Tab. 6'!$B$12:$D$16,3,0),0)*'Tab 5'!N$28</f>
        <v>29096.272340425534</v>
      </c>
      <c r="O31" s="178">
        <f>SUM(C31:N31)</f>
        <v>699968.81750886375</v>
      </c>
      <c r="Q31" s="332">
        <f>IFERROR(VLOOKUP($B25,'Tab. 6'!$B$5:$D$7,3,0),0)*'Tab 5'!Q$15+IFERROR(VLOOKUP($B25,'Tab. 6'!$B$12:$D$16,3,0),0)*'Tab 5'!Q$28</f>
        <v>68796.347343031026</v>
      </c>
    </row>
    <row r="32" spans="2:17" ht="17" thickBot="1" x14ac:dyDescent="0.2">
      <c r="B32" s="280" t="s">
        <v>139</v>
      </c>
      <c r="C32" s="271">
        <f>+IF(D31/2&gt;=$C28,D31/2,$C28)</f>
        <v>62800</v>
      </c>
      <c r="D32" s="271">
        <f t="shared" ref="D32:M32" si="27">+IF(E31/2&gt;=$C28,E31/2,$C28)</f>
        <v>62800</v>
      </c>
      <c r="E32" s="271">
        <f t="shared" si="27"/>
        <v>62800</v>
      </c>
      <c r="F32" s="271">
        <f t="shared" si="27"/>
        <v>62800</v>
      </c>
      <c r="G32" s="271">
        <f t="shared" si="27"/>
        <v>62800</v>
      </c>
      <c r="H32" s="271">
        <f t="shared" si="27"/>
        <v>62800</v>
      </c>
      <c r="I32" s="271">
        <f t="shared" si="27"/>
        <v>62800</v>
      </c>
      <c r="J32" s="271">
        <f t="shared" si="27"/>
        <v>62800</v>
      </c>
      <c r="K32" s="271">
        <f t="shared" si="27"/>
        <v>62800</v>
      </c>
      <c r="L32" s="271">
        <f t="shared" si="27"/>
        <v>62800</v>
      </c>
      <c r="M32" s="271">
        <f t="shared" si="27"/>
        <v>62800</v>
      </c>
      <c r="N32" s="271">
        <f>+IF(Q31/2&gt;=$C28,Q31/2,$C28)</f>
        <v>62800</v>
      </c>
      <c r="O32" s="178"/>
      <c r="Q32" s="333"/>
    </row>
    <row r="33" spans="2:17" ht="17" thickBot="1" x14ac:dyDescent="0.2">
      <c r="B33" s="281" t="s">
        <v>167</v>
      </c>
      <c r="C33" s="276">
        <f>(C32-C30+C31)</f>
        <v>55971.839040505154</v>
      </c>
      <c r="D33" s="276">
        <f t="shared" ref="D33:N33" si="28">(D32-D30+D31)</f>
        <v>63108.426171603103</v>
      </c>
      <c r="E33" s="276">
        <f t="shared" si="28"/>
        <v>70542.647979457368</v>
      </c>
      <c r="F33" s="276">
        <f t="shared" si="28"/>
        <v>65068.119555755664</v>
      </c>
      <c r="G33" s="276">
        <f t="shared" si="28"/>
        <v>63935.404113306795</v>
      </c>
      <c r="H33" s="276">
        <f t="shared" si="28"/>
        <v>68523.165957446807</v>
      </c>
      <c r="I33" s="276">
        <f t="shared" si="28"/>
        <v>60243.165957446807</v>
      </c>
      <c r="J33" s="276">
        <f t="shared" si="28"/>
        <v>37376.27234042553</v>
      </c>
      <c r="K33" s="276">
        <f t="shared" si="28"/>
        <v>63409.374012953129</v>
      </c>
      <c r="L33" s="276">
        <f t="shared" si="28"/>
        <v>57285.653443793191</v>
      </c>
      <c r="M33" s="276">
        <f t="shared" si="28"/>
        <v>65408.47659574468</v>
      </c>
      <c r="N33" s="276">
        <f t="shared" si="28"/>
        <v>29096.272340425534</v>
      </c>
      <c r="O33" s="286">
        <f>SUM(C33:N33)</f>
        <v>699968.81750886375</v>
      </c>
    </row>
    <row r="34" spans="2:17" ht="16" x14ac:dyDescent="0.15">
      <c r="B34" s="320" t="s">
        <v>93</v>
      </c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8"/>
      <c r="Q34" s="168"/>
    </row>
    <row r="35" spans="2:17" ht="16" x14ac:dyDescent="0.15">
      <c r="B35" s="322" t="s">
        <v>135</v>
      </c>
      <c r="C35" s="321">
        <f>VLOOKUP(B34,'Tab. 6'!$B$38:$C$44,2,0)</f>
        <v>3500</v>
      </c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8"/>
      <c r="Q35" s="169"/>
    </row>
    <row r="36" spans="2:17" ht="16" x14ac:dyDescent="0.15">
      <c r="B36" s="322" t="s">
        <v>164</v>
      </c>
      <c r="C36" s="321">
        <f>VLOOKUP(B34,'Tab. 6'!$B$25:$D$31,2,0)</f>
        <v>30</v>
      </c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8"/>
      <c r="Q36" s="169"/>
    </row>
    <row r="37" spans="2:17" ht="16" x14ac:dyDescent="0.15">
      <c r="B37" s="322" t="s">
        <v>165</v>
      </c>
      <c r="C37" s="321">
        <f>VLOOKUP(B34,'Tab. 6'!$B$25:$D$31,3,0)</f>
        <v>3500</v>
      </c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8"/>
      <c r="Q37" s="169"/>
    </row>
    <row r="38" spans="2:17" ht="16" x14ac:dyDescent="0.15">
      <c r="B38" s="160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8"/>
      <c r="Q38" s="169"/>
    </row>
    <row r="39" spans="2:17" ht="16" x14ac:dyDescent="0.15">
      <c r="B39" s="160" t="s">
        <v>134</v>
      </c>
      <c r="C39" s="287">
        <f>+C35</f>
        <v>3500</v>
      </c>
      <c r="D39" s="271">
        <f>+C41</f>
        <v>3500</v>
      </c>
      <c r="E39" s="271">
        <f t="shared" ref="E39" si="29">+D41</f>
        <v>3500</v>
      </c>
      <c r="F39" s="271">
        <f t="shared" ref="F39" si="30">+E41</f>
        <v>3500</v>
      </c>
      <c r="G39" s="271">
        <f t="shared" ref="G39" si="31">+F41</f>
        <v>3500</v>
      </c>
      <c r="H39" s="271">
        <f t="shared" ref="H39" si="32">+G41</f>
        <v>3500</v>
      </c>
      <c r="I39" s="271">
        <f t="shared" ref="I39" si="33">+H41</f>
        <v>3500</v>
      </c>
      <c r="J39" s="271">
        <f t="shared" ref="J39" si="34">+I41</f>
        <v>3500</v>
      </c>
      <c r="K39" s="271">
        <f t="shared" ref="K39" si="35">+J41</f>
        <v>3500</v>
      </c>
      <c r="L39" s="271">
        <f t="shared" ref="L39" si="36">+K41</f>
        <v>3500</v>
      </c>
      <c r="M39" s="271">
        <f t="shared" ref="M39" si="37">+L41</f>
        <v>3500</v>
      </c>
      <c r="N39" s="271">
        <f t="shared" ref="N39" si="38">+M41</f>
        <v>3500</v>
      </c>
      <c r="O39" s="178"/>
      <c r="Q39" s="332"/>
    </row>
    <row r="40" spans="2:17" ht="16" x14ac:dyDescent="0.15">
      <c r="B40" s="280" t="s">
        <v>166</v>
      </c>
      <c r="C40" s="271">
        <f>IFERROR(VLOOKUP($B34,'Tab. 6'!$B$5:$D$7,3,0),0)*'Tab 5'!C$15+IFERROR(VLOOKUP($B34,'Tab. 6'!$B$12:$D$16,3,0),0)*'Tab 5'!C$28</f>
        <v>1804.1866343582733</v>
      </c>
      <c r="D40" s="271">
        <f>IFERROR(VLOOKUP($B34,'Tab. 6'!$B$5:$D$7,3,0),0)*'Tab 5'!D$15+IFERROR(VLOOKUP($B34,'Tab. 6'!$B$12:$D$16,3,0),0)*'Tab 5'!D$28</f>
        <v>1870.5843819697998</v>
      </c>
      <c r="E40" s="271">
        <f>IFERROR(VLOOKUP($B34,'Tab. 6'!$B$5:$D$7,3,0),0)*'Tab 5'!E$15+IFERROR(VLOOKUP($B34,'Tab. 6'!$B$12:$D$16,3,0),0)*'Tab 5'!E$28</f>
        <v>1959.6598287302731</v>
      </c>
      <c r="F40" s="271">
        <f>IFERROR(VLOOKUP($B34,'Tab. 6'!$B$5:$D$7,3,0),0)*'Tab 5'!F$15+IFERROR(VLOOKUP($B34,'Tab. 6'!$B$12:$D$16,3,0),0)*'Tab 5'!F$28</f>
        <v>1959.6598287302677</v>
      </c>
      <c r="G40" s="271">
        <f>IFERROR(VLOOKUP($B34,'Tab. 6'!$B$5:$D$7,3,0),0)*'Tab 5'!G$15+IFERROR(VLOOKUP($B34,'Tab. 6'!$B$12:$D$16,3,0),0)*'Tab 5'!G$28</f>
        <v>1251.7126771997264</v>
      </c>
      <c r="H40" s="271">
        <f>IFERROR(VLOOKUP($B34,'Tab. 6'!$B$5:$D$7,3,0),0)*'Tab 5'!H$15+IFERROR(VLOOKUP($B34,'Tab. 6'!$B$12:$D$16,3,0),0)*'Tab 5'!H$28</f>
        <v>2275.8297872340422</v>
      </c>
      <c r="I40" s="271">
        <f>IFERROR(VLOOKUP($B34,'Tab. 6'!$B$5:$D$7,3,0),0)*'Tab 5'!I$15+IFERROR(VLOOKUP($B34,'Tab. 6'!$B$12:$D$16,3,0),0)*'Tab 5'!I$28</f>
        <v>2000.8297872340422</v>
      </c>
      <c r="J40" s="271">
        <f>IFERROR(VLOOKUP($B34,'Tab. 6'!$B$5:$D$7,3,0),0)*'Tab 5'!J$15+IFERROR(VLOOKUP($B34,'Tab. 6'!$B$12:$D$16,3,0),0)*'Tab 5'!J$28</f>
        <v>1241.3617021276596</v>
      </c>
      <c r="K40" s="271">
        <f>IFERROR(VLOOKUP($B34,'Tab. 6'!$B$5:$D$7,3,0),0)*'Tab 5'!K$15+IFERROR(VLOOKUP($B34,'Tab. 6'!$B$12:$D$16,3,0),0)*'Tab 5'!K$28</f>
        <v>1504.2332755831158</v>
      </c>
      <c r="L40" s="271">
        <f>IFERROR(VLOOKUP($B34,'Tab. 6'!$B$5:$D$7,3,0),0)*'Tab 5'!L$15+IFERROR(VLOOKUP($B34,'Tab. 6'!$B$12:$D$16,3,0),0)*'Tab 5'!L$28</f>
        <v>2172.382978723404</v>
      </c>
      <c r="M40" s="271">
        <f>IFERROR(VLOOKUP($B34,'Tab. 6'!$B$5:$D$7,3,0),0)*'Tab 5'!M$15+IFERROR(VLOOKUP($B34,'Tab. 6'!$B$12:$D$16,3,0),0)*'Tab 5'!M$28</f>
        <v>2172.382978723404</v>
      </c>
      <c r="N40" s="271">
        <f>IFERROR(VLOOKUP($B34,'Tab. 6'!$B$5:$D$7,3,0),0)*'Tab 5'!N$15+IFERROR(VLOOKUP($B34,'Tab. 6'!$B$12:$D$16,3,0),0)*'Tab 5'!N$28</f>
        <v>966.36170212765956</v>
      </c>
      <c r="O40" s="178">
        <f>SUM(C40:N40)</f>
        <v>21179.185562741666</v>
      </c>
      <c r="Q40" s="332">
        <f>IFERROR(VLOOKUP($B34,'Tab. 6'!$B$5:$D$7,3,0),0)*'Tab 5'!Q$15+IFERROR(VLOOKUP($B34,'Tab. 6'!$B$12:$D$16,3,0),0)*'Tab 5'!Q$28</f>
        <v>1978.2879845028078</v>
      </c>
    </row>
    <row r="41" spans="2:17" ht="17" thickBot="1" x14ac:dyDescent="0.2">
      <c r="B41" s="280" t="s">
        <v>139</v>
      </c>
      <c r="C41" s="271">
        <f>+IF(D40&gt;=$C37,D40,$C37)</f>
        <v>3500</v>
      </c>
      <c r="D41" s="271">
        <f t="shared" ref="D41:G41" si="39">+IF(E40&gt;=$C37,E40,$C37)</f>
        <v>3500</v>
      </c>
      <c r="E41" s="271">
        <f t="shared" si="39"/>
        <v>3500</v>
      </c>
      <c r="F41" s="271">
        <f t="shared" si="39"/>
        <v>3500</v>
      </c>
      <c r="G41" s="271">
        <f t="shared" si="39"/>
        <v>3500</v>
      </c>
      <c r="H41" s="271">
        <f>+IF(I40&gt;=$C37,I40,$C37)</f>
        <v>3500</v>
      </c>
      <c r="I41" s="271">
        <f>+IF(J40&gt;=$C37,J40,$C37)</f>
        <v>3500</v>
      </c>
      <c r="J41" s="271">
        <f>+IF(K40&gt;=$C37,K40,$C37)</f>
        <v>3500</v>
      </c>
      <c r="K41" s="271">
        <f t="shared" ref="K41" si="40">+IF(L40&gt;=$C37,L40,$C37)</f>
        <v>3500</v>
      </c>
      <c r="L41" s="271">
        <f>+IF(M40&gt;=$C37,M40,$C37)</f>
        <v>3500</v>
      </c>
      <c r="M41" s="271">
        <f t="shared" ref="M41" si="41">+IF(N40&gt;=$C37,N40,$C37)</f>
        <v>3500</v>
      </c>
      <c r="N41" s="271">
        <f>+IF(Q40&gt;=$C37,Q40,$C37)</f>
        <v>3500</v>
      </c>
      <c r="O41" s="178"/>
      <c r="Q41" s="333"/>
    </row>
    <row r="42" spans="2:17" ht="17" thickBot="1" x14ac:dyDescent="0.2">
      <c r="B42" s="281" t="s">
        <v>167</v>
      </c>
      <c r="C42" s="276">
        <f>(C41-C39+C40)</f>
        <v>1804.1866343582733</v>
      </c>
      <c r="D42" s="276">
        <f t="shared" ref="D42:N42" si="42">(D41-D39+D40)</f>
        <v>1870.5843819697998</v>
      </c>
      <c r="E42" s="276">
        <f t="shared" si="42"/>
        <v>1959.6598287302731</v>
      </c>
      <c r="F42" s="276">
        <f t="shared" si="42"/>
        <v>1959.6598287302677</v>
      </c>
      <c r="G42" s="276">
        <f t="shared" si="42"/>
        <v>1251.7126771997264</v>
      </c>
      <c r="H42" s="276">
        <f t="shared" si="42"/>
        <v>2275.8297872340422</v>
      </c>
      <c r="I42" s="276">
        <f t="shared" si="42"/>
        <v>2000.8297872340422</v>
      </c>
      <c r="J42" s="276">
        <f t="shared" si="42"/>
        <v>1241.3617021276596</v>
      </c>
      <c r="K42" s="276">
        <f t="shared" si="42"/>
        <v>1504.2332755831158</v>
      </c>
      <c r="L42" s="276">
        <f t="shared" si="42"/>
        <v>2172.382978723404</v>
      </c>
      <c r="M42" s="276">
        <f t="shared" si="42"/>
        <v>2172.382978723404</v>
      </c>
      <c r="N42" s="276">
        <f t="shared" si="42"/>
        <v>966.36170212765956</v>
      </c>
      <c r="O42" s="286">
        <f>SUM(C42:N42)</f>
        <v>21179.185562741666</v>
      </c>
    </row>
    <row r="43" spans="2:17" ht="16" x14ac:dyDescent="0.15">
      <c r="B43" s="320" t="s">
        <v>153</v>
      </c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8"/>
      <c r="Q43" s="168"/>
    </row>
    <row r="44" spans="2:17" ht="16" x14ac:dyDescent="0.15">
      <c r="B44" s="322" t="s">
        <v>135</v>
      </c>
      <c r="C44" s="321">
        <f>VLOOKUP(B43,'Tab. 6'!$B$38:$C$44,2,0)</f>
        <v>7000</v>
      </c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8"/>
      <c r="Q44" s="169"/>
    </row>
    <row r="45" spans="2:17" ht="16" x14ac:dyDescent="0.15">
      <c r="B45" s="322" t="s">
        <v>164</v>
      </c>
      <c r="C45" s="321">
        <f>VLOOKUP(B43,'Tab. 6'!$B$25:$D$31,2,0)</f>
        <v>30</v>
      </c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8"/>
      <c r="Q45" s="169"/>
    </row>
    <row r="46" spans="2:17" ht="16" x14ac:dyDescent="0.15">
      <c r="B46" s="322" t="s">
        <v>165</v>
      </c>
      <c r="C46" s="321">
        <f>VLOOKUP(B43,'Tab. 6'!$B$25:$D$31,3,0)</f>
        <v>7000.0019999999995</v>
      </c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8"/>
      <c r="Q46" s="169"/>
    </row>
    <row r="47" spans="2:17" ht="16" x14ac:dyDescent="0.15">
      <c r="B47" s="160"/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8"/>
      <c r="Q47" s="169"/>
    </row>
    <row r="48" spans="2:17" ht="16" x14ac:dyDescent="0.15">
      <c r="B48" s="160" t="s">
        <v>134</v>
      </c>
      <c r="C48" s="287">
        <f>+C44</f>
        <v>7000</v>
      </c>
      <c r="D48" s="271">
        <f>+C50</f>
        <v>7482.3375278791991</v>
      </c>
      <c r="E48" s="271">
        <f t="shared" ref="E48" si="43">+D50</f>
        <v>7838.6393149210926</v>
      </c>
      <c r="F48" s="271">
        <f t="shared" ref="F48" si="44">+E50</f>
        <v>7838.6393149210708</v>
      </c>
      <c r="G48" s="271">
        <f t="shared" ref="G48" si="45">+F50</f>
        <v>7000.0019999999995</v>
      </c>
      <c r="H48" s="271">
        <f t="shared" ref="H48" si="46">+G50</f>
        <v>9103.3191489361689</v>
      </c>
      <c r="I48" s="271">
        <f t="shared" ref="I48" si="47">+H50</f>
        <v>8003.3191489361689</v>
      </c>
      <c r="J48" s="271">
        <f t="shared" ref="J48" si="48">+I50</f>
        <v>7000.0019999999995</v>
      </c>
      <c r="K48" s="271">
        <f t="shared" ref="K48" si="49">+J50</f>
        <v>7000.0019999999995</v>
      </c>
      <c r="L48" s="271">
        <f t="shared" ref="L48" si="50">+K50</f>
        <v>8689.531914893616</v>
      </c>
      <c r="M48" s="271">
        <f t="shared" ref="M48" si="51">+L50</f>
        <v>8689.531914893616</v>
      </c>
      <c r="N48" s="271">
        <f t="shared" ref="N48" si="52">+M50</f>
        <v>7000.0019999999995</v>
      </c>
      <c r="O48" s="178"/>
      <c r="Q48" s="332"/>
    </row>
    <row r="49" spans="2:17" ht="16" x14ac:dyDescent="0.15">
      <c r="B49" s="280" t="s">
        <v>166</v>
      </c>
      <c r="C49" s="271">
        <f>IFERROR(VLOOKUP($B43,'Tab. 6'!$B$5:$D$7,3,0),0)*'Tab 5'!C$15+IFERROR(VLOOKUP($B43,'Tab. 6'!$B$12:$D$16,3,0),0)*'Tab 5'!C$28</f>
        <v>7216.7465374330932</v>
      </c>
      <c r="D49" s="271">
        <f>IFERROR(VLOOKUP($B43,'Tab. 6'!$B$5:$D$7,3,0),0)*'Tab 5'!D$15+IFERROR(VLOOKUP($B43,'Tab. 6'!$B$12:$D$16,3,0),0)*'Tab 5'!D$28</f>
        <v>7482.3375278791991</v>
      </c>
      <c r="E49" s="271">
        <f>IFERROR(VLOOKUP($B43,'Tab. 6'!$B$5:$D$7,3,0),0)*'Tab 5'!E$15+IFERROR(VLOOKUP($B43,'Tab. 6'!$B$12:$D$16,3,0),0)*'Tab 5'!E$28</f>
        <v>7838.6393149210926</v>
      </c>
      <c r="F49" s="271">
        <f>IFERROR(VLOOKUP($B43,'Tab. 6'!$B$5:$D$7,3,0),0)*'Tab 5'!F$15+IFERROR(VLOOKUP($B43,'Tab. 6'!$B$12:$D$16,3,0),0)*'Tab 5'!F$28</f>
        <v>7838.6393149210708</v>
      </c>
      <c r="G49" s="271">
        <f>IFERROR(VLOOKUP($B43,'Tab. 6'!$B$5:$D$7,3,0),0)*'Tab 5'!G$15+IFERROR(VLOOKUP($B43,'Tab. 6'!$B$12:$D$16,3,0),0)*'Tab 5'!G$28</f>
        <v>5006.8507087989055</v>
      </c>
      <c r="H49" s="271">
        <f>IFERROR(VLOOKUP($B43,'Tab. 6'!$B$5:$D$7,3,0),0)*'Tab 5'!H$15+IFERROR(VLOOKUP($B43,'Tab. 6'!$B$12:$D$16,3,0),0)*'Tab 5'!H$28</f>
        <v>9103.3191489361689</v>
      </c>
      <c r="I49" s="271">
        <f>IFERROR(VLOOKUP($B43,'Tab. 6'!$B$5:$D$7,3,0),0)*'Tab 5'!I$15+IFERROR(VLOOKUP($B43,'Tab. 6'!$B$12:$D$16,3,0),0)*'Tab 5'!I$28</f>
        <v>8003.3191489361689</v>
      </c>
      <c r="J49" s="271">
        <f>IFERROR(VLOOKUP($B43,'Tab. 6'!$B$5:$D$7,3,0),0)*'Tab 5'!J$15+IFERROR(VLOOKUP($B43,'Tab. 6'!$B$12:$D$16,3,0),0)*'Tab 5'!J$28</f>
        <v>4965.4468085106382</v>
      </c>
      <c r="K49" s="271">
        <f>IFERROR(VLOOKUP($B43,'Tab. 6'!$B$5:$D$7,3,0),0)*'Tab 5'!K$15+IFERROR(VLOOKUP($B43,'Tab. 6'!$B$12:$D$16,3,0),0)*'Tab 5'!K$28</f>
        <v>6016.933102332463</v>
      </c>
      <c r="L49" s="271">
        <f>IFERROR(VLOOKUP($B43,'Tab. 6'!$B$5:$D$7,3,0),0)*'Tab 5'!L$15+IFERROR(VLOOKUP($B43,'Tab. 6'!$B$12:$D$16,3,0),0)*'Tab 5'!L$28</f>
        <v>8689.531914893616</v>
      </c>
      <c r="M49" s="271">
        <f>IFERROR(VLOOKUP($B43,'Tab. 6'!$B$5:$D$7,3,0),0)*'Tab 5'!M$15+IFERROR(VLOOKUP($B43,'Tab. 6'!$B$12:$D$16,3,0),0)*'Tab 5'!M$28</f>
        <v>8689.531914893616</v>
      </c>
      <c r="N49" s="271">
        <f>IFERROR(VLOOKUP($B43,'Tab. 6'!$B$5:$D$7,3,0),0)*'Tab 5'!N$15+IFERROR(VLOOKUP($B43,'Tab. 6'!$B$12:$D$16,3,0),0)*'Tab 5'!N$28</f>
        <v>3865.4468085106382</v>
      </c>
      <c r="O49" s="178">
        <f>SUM(C49:N49)</f>
        <v>84716.742250966665</v>
      </c>
      <c r="Q49" s="332">
        <f>IFERROR(VLOOKUP($B43,'Tab. 6'!$B$5:$D$7,3,0),0)*'Tab 5'!Q$15+IFERROR(VLOOKUP($B43,'Tab. 6'!$B$12:$D$16,3,0),0)*'Tab 5'!Q$28</f>
        <v>7913.1519380112313</v>
      </c>
    </row>
    <row r="50" spans="2:17" ht="17" thickBot="1" x14ac:dyDescent="0.2">
      <c r="B50" s="280" t="s">
        <v>139</v>
      </c>
      <c r="C50" s="271">
        <f>+IF(D49&gt;=$C46,D49,$C46)</f>
        <v>7482.3375278791991</v>
      </c>
      <c r="D50" s="271">
        <f t="shared" ref="D50:G50" si="53">+IF(E49&gt;=$C46,E49,$C46)</f>
        <v>7838.6393149210926</v>
      </c>
      <c r="E50" s="271">
        <f t="shared" si="53"/>
        <v>7838.6393149210708</v>
      </c>
      <c r="F50" s="271">
        <f t="shared" si="53"/>
        <v>7000.0019999999995</v>
      </c>
      <c r="G50" s="271">
        <f t="shared" si="53"/>
        <v>9103.3191489361689</v>
      </c>
      <c r="H50" s="271">
        <f>+IF(I49&gt;=$C46,I49,$C46)</f>
        <v>8003.3191489361689</v>
      </c>
      <c r="I50" s="271">
        <f>+IF(J49&gt;=$C46,J49,$C46)</f>
        <v>7000.0019999999995</v>
      </c>
      <c r="J50" s="271">
        <f>+IF(K49&gt;=$C46,K49,$C46)</f>
        <v>7000.0019999999995</v>
      </c>
      <c r="K50" s="271">
        <f t="shared" ref="K50" si="54">+IF(L49&gt;=$C46,L49,$C46)</f>
        <v>8689.531914893616</v>
      </c>
      <c r="L50" s="271">
        <f>+IF(M49&gt;=$C46,M49,$C46)</f>
        <v>8689.531914893616</v>
      </c>
      <c r="M50" s="271">
        <f t="shared" ref="M50" si="55">+IF(N49&gt;=$C46,N49,$C46)</f>
        <v>7000.0019999999995</v>
      </c>
      <c r="N50" s="271">
        <f>+IF(Q49&gt;=$C46,Q49,$C46)</f>
        <v>7913.1519380112313</v>
      </c>
      <c r="O50" s="178"/>
      <c r="Q50" s="333"/>
    </row>
    <row r="51" spans="2:17" ht="17" thickBot="1" x14ac:dyDescent="0.2">
      <c r="B51" s="281" t="s">
        <v>167</v>
      </c>
      <c r="C51" s="276">
        <f>(C50-C48+C49)</f>
        <v>7699.0840653122923</v>
      </c>
      <c r="D51" s="276">
        <f t="shared" ref="D51:N51" si="56">(D50-D48+D49)</f>
        <v>7838.6393149210926</v>
      </c>
      <c r="E51" s="276">
        <f t="shared" si="56"/>
        <v>7838.6393149210708</v>
      </c>
      <c r="F51" s="276">
        <f t="shared" si="56"/>
        <v>7000.0019999999995</v>
      </c>
      <c r="G51" s="276">
        <f t="shared" si="56"/>
        <v>7110.1678577350749</v>
      </c>
      <c r="H51" s="276">
        <f t="shared" si="56"/>
        <v>8003.3191489361689</v>
      </c>
      <c r="I51" s="276">
        <f t="shared" si="56"/>
        <v>7000.0019999999995</v>
      </c>
      <c r="J51" s="276">
        <f t="shared" si="56"/>
        <v>4965.4468085106382</v>
      </c>
      <c r="K51" s="276">
        <f t="shared" si="56"/>
        <v>7706.4630172260795</v>
      </c>
      <c r="L51" s="276">
        <f t="shared" si="56"/>
        <v>8689.531914893616</v>
      </c>
      <c r="M51" s="276">
        <f t="shared" si="56"/>
        <v>7000.0019999999995</v>
      </c>
      <c r="N51" s="276">
        <f t="shared" si="56"/>
        <v>4778.59674652187</v>
      </c>
      <c r="O51" s="286">
        <f>SUM(C51:N51)</f>
        <v>85629.894188977894</v>
      </c>
    </row>
    <row r="52" spans="2:17" ht="16" x14ac:dyDescent="0.15">
      <c r="B52" s="320" t="s">
        <v>154</v>
      </c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8"/>
      <c r="Q52" s="168"/>
    </row>
    <row r="53" spans="2:17" ht="16" x14ac:dyDescent="0.15">
      <c r="B53" s="322" t="s">
        <v>135</v>
      </c>
      <c r="C53" s="321">
        <f>VLOOKUP(B52,'Tab. 6'!$B$38:$C$44,2,0)</f>
        <v>21000</v>
      </c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8"/>
      <c r="Q53" s="169"/>
    </row>
    <row r="54" spans="2:17" ht="16" x14ac:dyDescent="0.15">
      <c r="B54" s="322" t="s">
        <v>164</v>
      </c>
      <c r="C54" s="321">
        <f>VLOOKUP(B52,'Tab. 6'!$B$25:$D$31,2,0)</f>
        <v>30</v>
      </c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8"/>
      <c r="Q54" s="169"/>
    </row>
    <row r="55" spans="2:17" ht="16" x14ac:dyDescent="0.15">
      <c r="B55" s="322" t="s">
        <v>165</v>
      </c>
      <c r="C55" s="321">
        <f>VLOOKUP(B52,'Tab. 6'!$B$25:$D$31,3,0)</f>
        <v>21000</v>
      </c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8"/>
      <c r="Q55" s="169"/>
    </row>
    <row r="56" spans="2:17" ht="16" x14ac:dyDescent="0.15">
      <c r="B56" s="160"/>
      <c r="C56" s="273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8"/>
      <c r="Q56" s="169"/>
    </row>
    <row r="57" spans="2:17" ht="16" x14ac:dyDescent="0.15">
      <c r="B57" s="160" t="s">
        <v>134</v>
      </c>
      <c r="C57" s="287">
        <f>+C53</f>
        <v>21000</v>
      </c>
      <c r="D57" s="271">
        <f>+C59</f>
        <v>21000</v>
      </c>
      <c r="E57" s="271">
        <f t="shared" ref="E57" si="57">+D59</f>
        <v>21000</v>
      </c>
      <c r="F57" s="271">
        <f t="shared" ref="F57" si="58">+E59</f>
        <v>21000</v>
      </c>
      <c r="G57" s="271">
        <f t="shared" ref="G57" si="59">+F59</f>
        <v>21000</v>
      </c>
      <c r="H57" s="271">
        <f t="shared" ref="H57" si="60">+G59</f>
        <v>21000</v>
      </c>
      <c r="I57" s="271">
        <f t="shared" ref="I57" si="61">+H59</f>
        <v>21000</v>
      </c>
      <c r="J57" s="271">
        <f t="shared" ref="J57" si="62">+I59</f>
        <v>21000</v>
      </c>
      <c r="K57" s="271">
        <f t="shared" ref="K57" si="63">+J59</f>
        <v>21000</v>
      </c>
      <c r="L57" s="271">
        <f t="shared" ref="L57" si="64">+K59</f>
        <v>21000</v>
      </c>
      <c r="M57" s="271">
        <f t="shared" ref="M57" si="65">+L59</f>
        <v>21000</v>
      </c>
      <c r="N57" s="271">
        <f t="shared" ref="N57" si="66">+M59</f>
        <v>21000</v>
      </c>
      <c r="O57" s="178"/>
      <c r="Q57" s="332"/>
    </row>
    <row r="58" spans="2:17" ht="16" x14ac:dyDescent="0.15">
      <c r="B58" s="280" t="s">
        <v>166</v>
      </c>
      <c r="C58" s="271">
        <f>IFERROR(VLOOKUP($B52,'Tab. 6'!$B$5:$D$7,3,0),0)*'Tab 5'!C$15+IFERROR(VLOOKUP($B52,'Tab. 6'!$B$12:$D$16,3,0),0)*'Tab 5'!C$28</f>
        <v>10825.11980614964</v>
      </c>
      <c r="D58" s="271">
        <f>IFERROR(VLOOKUP($B52,'Tab. 6'!$B$5:$D$7,3,0),0)*'Tab 5'!D$15+IFERROR(VLOOKUP($B52,'Tab. 6'!$B$12:$D$16,3,0),0)*'Tab 5'!D$28</f>
        <v>11223.506291818798</v>
      </c>
      <c r="E58" s="271">
        <f>IFERROR(VLOOKUP($B52,'Tab. 6'!$B$5:$D$7,3,0),0)*'Tab 5'!E$15+IFERROR(VLOOKUP($B52,'Tab. 6'!$B$12:$D$16,3,0),0)*'Tab 5'!E$28</f>
        <v>11757.958972381639</v>
      </c>
      <c r="F58" s="271">
        <f>IFERROR(VLOOKUP($B52,'Tab. 6'!$B$5:$D$7,3,0),0)*'Tab 5'!F$15+IFERROR(VLOOKUP($B52,'Tab. 6'!$B$12:$D$16,3,0),0)*'Tab 5'!F$28</f>
        <v>11757.958972381606</v>
      </c>
      <c r="G58" s="271">
        <f>IFERROR(VLOOKUP($B52,'Tab. 6'!$B$5:$D$7,3,0),0)*'Tab 5'!G$15+IFERROR(VLOOKUP($B52,'Tab. 6'!$B$12:$D$16,3,0),0)*'Tab 5'!G$28</f>
        <v>7510.2760631983583</v>
      </c>
      <c r="H58" s="271">
        <f>IFERROR(VLOOKUP($B52,'Tab. 6'!$B$5:$D$7,3,0),0)*'Tab 5'!H$15+IFERROR(VLOOKUP($B52,'Tab. 6'!$B$12:$D$16,3,0),0)*'Tab 5'!H$28</f>
        <v>13654.978723404252</v>
      </c>
      <c r="I58" s="271">
        <f>IFERROR(VLOOKUP($B52,'Tab. 6'!$B$5:$D$7,3,0),0)*'Tab 5'!I$15+IFERROR(VLOOKUP($B52,'Tab. 6'!$B$12:$D$16,3,0),0)*'Tab 5'!I$28</f>
        <v>12004.978723404252</v>
      </c>
      <c r="J58" s="271">
        <f>IFERROR(VLOOKUP($B52,'Tab. 6'!$B$5:$D$7,3,0),0)*'Tab 5'!J$15+IFERROR(VLOOKUP($B52,'Tab. 6'!$B$12:$D$16,3,0),0)*'Tab 5'!J$28</f>
        <v>7448.1702127659573</v>
      </c>
      <c r="K58" s="271">
        <f>IFERROR(VLOOKUP($B52,'Tab. 6'!$B$5:$D$7,3,0),0)*'Tab 5'!K$15+IFERROR(VLOOKUP($B52,'Tab. 6'!$B$12:$D$16,3,0),0)*'Tab 5'!K$28</f>
        <v>9025.3996534986945</v>
      </c>
      <c r="L58" s="271">
        <f>IFERROR(VLOOKUP($B52,'Tab. 6'!$B$5:$D$7,3,0),0)*'Tab 5'!L$15+IFERROR(VLOOKUP($B52,'Tab. 6'!$B$12:$D$16,3,0),0)*'Tab 5'!L$28</f>
        <v>13034.297872340423</v>
      </c>
      <c r="M58" s="271">
        <f>IFERROR(VLOOKUP($B52,'Tab. 6'!$B$5:$D$7,3,0),0)*'Tab 5'!M$15+IFERROR(VLOOKUP($B52,'Tab. 6'!$B$12:$D$16,3,0),0)*'Tab 5'!M$28</f>
        <v>13034.297872340423</v>
      </c>
      <c r="N58" s="271">
        <f>IFERROR(VLOOKUP($B52,'Tab. 6'!$B$5:$D$7,3,0),0)*'Tab 5'!N$15+IFERROR(VLOOKUP($B52,'Tab. 6'!$B$12:$D$16,3,0),0)*'Tab 5'!N$28</f>
        <v>5798.1702127659573</v>
      </c>
      <c r="O58" s="178">
        <f>SUM(C58:N58)</f>
        <v>127075.11337645</v>
      </c>
      <c r="Q58" s="332">
        <f>IFERROR(VLOOKUP($B52,'Tab. 6'!$B$5:$D$7,3,0),0)*'Tab 5'!Q$15+IFERROR(VLOOKUP($B52,'Tab. 6'!$B$12:$D$16,3,0),0)*'Tab 5'!Q$28</f>
        <v>11869.727907016848</v>
      </c>
    </row>
    <row r="59" spans="2:17" ht="17" thickBot="1" x14ac:dyDescent="0.2">
      <c r="B59" s="280" t="s">
        <v>139</v>
      </c>
      <c r="C59" s="271">
        <f>+IF(D58&gt;=$C55,D58,$C55)</f>
        <v>21000</v>
      </c>
      <c r="D59" s="271">
        <f t="shared" ref="D59:G59" si="67">+IF(E58&gt;=$C55,E58,$C55)</f>
        <v>21000</v>
      </c>
      <c r="E59" s="271">
        <f t="shared" si="67"/>
        <v>21000</v>
      </c>
      <c r="F59" s="271">
        <f t="shared" si="67"/>
        <v>21000</v>
      </c>
      <c r="G59" s="271">
        <f t="shared" si="67"/>
        <v>21000</v>
      </c>
      <c r="H59" s="271">
        <f>+IF(I58&gt;=$C55,I58,$C55)</f>
        <v>21000</v>
      </c>
      <c r="I59" s="271">
        <f>+IF(J58&gt;=$C55,J58,$C55)</f>
        <v>21000</v>
      </c>
      <c r="J59" s="271">
        <f>+IF(K58&gt;=$C55,K58,$C55)</f>
        <v>21000</v>
      </c>
      <c r="K59" s="271">
        <f t="shared" ref="K59" si="68">+IF(L58&gt;=$C55,L58,$C55)</f>
        <v>21000</v>
      </c>
      <c r="L59" s="271">
        <f>+IF(M58&gt;=$C55,M58,$C55)</f>
        <v>21000</v>
      </c>
      <c r="M59" s="271">
        <f t="shared" ref="M59" si="69">+IF(N58&gt;=$C55,N58,$C55)</f>
        <v>21000</v>
      </c>
      <c r="N59" s="271">
        <f>+IF(Q58&gt;=$C55,Q58,$C55)</f>
        <v>21000</v>
      </c>
      <c r="O59" s="178"/>
      <c r="Q59" s="333"/>
    </row>
    <row r="60" spans="2:17" ht="17" thickBot="1" x14ac:dyDescent="0.2">
      <c r="B60" s="281" t="s">
        <v>167</v>
      </c>
      <c r="C60" s="276">
        <f>(C59-C57+C58)</f>
        <v>10825.11980614964</v>
      </c>
      <c r="D60" s="276">
        <f t="shared" ref="D60:N60" si="70">(D59-D57+D58)</f>
        <v>11223.506291818798</v>
      </c>
      <c r="E60" s="276">
        <f t="shared" si="70"/>
        <v>11757.958972381639</v>
      </c>
      <c r="F60" s="276">
        <f t="shared" si="70"/>
        <v>11757.958972381606</v>
      </c>
      <c r="G60" s="276">
        <f t="shared" si="70"/>
        <v>7510.2760631983583</v>
      </c>
      <c r="H60" s="276">
        <f t="shared" si="70"/>
        <v>13654.978723404252</v>
      </c>
      <c r="I60" s="276">
        <f t="shared" si="70"/>
        <v>12004.978723404252</v>
      </c>
      <c r="J60" s="276">
        <f t="shared" si="70"/>
        <v>7448.1702127659573</v>
      </c>
      <c r="K60" s="276">
        <f t="shared" si="70"/>
        <v>9025.3996534986945</v>
      </c>
      <c r="L60" s="276">
        <f t="shared" si="70"/>
        <v>13034.297872340423</v>
      </c>
      <c r="M60" s="276">
        <f t="shared" si="70"/>
        <v>13034.297872340423</v>
      </c>
      <c r="N60" s="276">
        <f t="shared" si="70"/>
        <v>5798.1702127659573</v>
      </c>
      <c r="O60" s="286">
        <f>SUM(C60:N60)</f>
        <v>127075.11337645</v>
      </c>
    </row>
    <row r="61" spans="2:17" ht="16" x14ac:dyDescent="0.15">
      <c r="B61" s="320" t="s">
        <v>155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8"/>
      <c r="Q61" s="168"/>
    </row>
    <row r="62" spans="2:17" ht="16" x14ac:dyDescent="0.15">
      <c r="B62" s="322" t="s">
        <v>135</v>
      </c>
      <c r="C62" s="321">
        <f>VLOOKUP(B61,'Tab. 6'!$B$38:$C$44,2,0)</f>
        <v>3500</v>
      </c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8"/>
      <c r="Q62" s="169"/>
    </row>
    <row r="63" spans="2:17" ht="16" x14ac:dyDescent="0.15">
      <c r="B63" s="322" t="s">
        <v>164</v>
      </c>
      <c r="C63" s="321">
        <f>VLOOKUP(B61,'Tab. 6'!$B$25:$D$31,2,0)</f>
        <v>30</v>
      </c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8"/>
      <c r="Q63" s="169"/>
    </row>
    <row r="64" spans="2:17" ht="16" x14ac:dyDescent="0.15">
      <c r="B64" s="322" t="s">
        <v>165</v>
      </c>
      <c r="C64" s="321">
        <f>VLOOKUP(B61,'Tab. 6'!$B$25:$D$31,3,0)</f>
        <v>3500</v>
      </c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8"/>
      <c r="Q64" s="169"/>
    </row>
    <row r="65" spans="2:17" ht="16" x14ac:dyDescent="0.15">
      <c r="B65" s="160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8"/>
      <c r="Q65" s="169"/>
    </row>
    <row r="66" spans="2:17" ht="16" x14ac:dyDescent="0.15">
      <c r="B66" s="160" t="s">
        <v>134</v>
      </c>
      <c r="C66" s="287">
        <f>+C62</f>
        <v>3500</v>
      </c>
      <c r="D66" s="271">
        <f>+C68</f>
        <v>3741.1687639395996</v>
      </c>
      <c r="E66" s="271">
        <f t="shared" ref="E66" si="71">+D68</f>
        <v>3919.3196574605463</v>
      </c>
      <c r="F66" s="271">
        <f t="shared" ref="F66" si="72">+E68</f>
        <v>3919.3196574605354</v>
      </c>
      <c r="G66" s="271">
        <f t="shared" ref="G66" si="73">+F68</f>
        <v>3500</v>
      </c>
      <c r="H66" s="271">
        <f t="shared" ref="H66" si="74">+G68</f>
        <v>4551.6595744680844</v>
      </c>
      <c r="I66" s="271">
        <f t="shared" ref="I66" si="75">+H68</f>
        <v>4001.6595744680844</v>
      </c>
      <c r="J66" s="271">
        <f t="shared" ref="J66" si="76">+I68</f>
        <v>3500</v>
      </c>
      <c r="K66" s="271">
        <f t="shared" ref="K66" si="77">+J68</f>
        <v>3500</v>
      </c>
      <c r="L66" s="271">
        <f t="shared" ref="L66" si="78">+K68</f>
        <v>4344.765957446808</v>
      </c>
      <c r="M66" s="271">
        <f t="shared" ref="M66" si="79">+L68</f>
        <v>4344.765957446808</v>
      </c>
      <c r="N66" s="271">
        <f t="shared" ref="N66" si="80">+M68</f>
        <v>3500</v>
      </c>
      <c r="O66" s="178"/>
      <c r="Q66" s="332"/>
    </row>
    <row r="67" spans="2:17" ht="16" x14ac:dyDescent="0.15">
      <c r="B67" s="280" t="s">
        <v>166</v>
      </c>
      <c r="C67" s="271">
        <f>IFERROR(VLOOKUP($B61,'Tab. 6'!$B$5:$D$7,3,0),0)*'Tab 5'!C$15+IFERROR(VLOOKUP($B61,'Tab. 6'!$B$12:$D$16,3,0),0)*'Tab 5'!C$28</f>
        <v>3608.3732687165466</v>
      </c>
      <c r="D67" s="271">
        <f>IFERROR(VLOOKUP($B61,'Tab. 6'!$B$5:$D$7,3,0),0)*'Tab 5'!D$15+IFERROR(VLOOKUP($B61,'Tab. 6'!$B$12:$D$16,3,0),0)*'Tab 5'!D$28</f>
        <v>3741.1687639395996</v>
      </c>
      <c r="E67" s="271">
        <f>IFERROR(VLOOKUP($B61,'Tab. 6'!$B$5:$D$7,3,0),0)*'Tab 5'!E$15+IFERROR(VLOOKUP($B61,'Tab. 6'!$B$12:$D$16,3,0),0)*'Tab 5'!E$28</f>
        <v>3919.3196574605463</v>
      </c>
      <c r="F67" s="271">
        <f>IFERROR(VLOOKUP($B61,'Tab. 6'!$B$5:$D$7,3,0),0)*'Tab 5'!F$15+IFERROR(VLOOKUP($B61,'Tab. 6'!$B$12:$D$16,3,0),0)*'Tab 5'!F$28</f>
        <v>3919.3196574605354</v>
      </c>
      <c r="G67" s="271">
        <f>IFERROR(VLOOKUP($B61,'Tab. 6'!$B$5:$D$7,3,0),0)*'Tab 5'!G$15+IFERROR(VLOOKUP($B61,'Tab. 6'!$B$12:$D$16,3,0),0)*'Tab 5'!G$28</f>
        <v>2503.4253543994528</v>
      </c>
      <c r="H67" s="271">
        <f>IFERROR(VLOOKUP($B61,'Tab. 6'!$B$5:$D$7,3,0),0)*'Tab 5'!H$15+IFERROR(VLOOKUP($B61,'Tab. 6'!$B$12:$D$16,3,0),0)*'Tab 5'!H$28</f>
        <v>4551.6595744680844</v>
      </c>
      <c r="I67" s="271">
        <f>IFERROR(VLOOKUP($B61,'Tab. 6'!$B$5:$D$7,3,0),0)*'Tab 5'!I$15+IFERROR(VLOOKUP($B61,'Tab. 6'!$B$12:$D$16,3,0),0)*'Tab 5'!I$28</f>
        <v>4001.6595744680844</v>
      </c>
      <c r="J67" s="271">
        <f>IFERROR(VLOOKUP($B61,'Tab. 6'!$B$5:$D$7,3,0),0)*'Tab 5'!J$15+IFERROR(VLOOKUP($B61,'Tab. 6'!$B$12:$D$16,3,0),0)*'Tab 5'!J$28</f>
        <v>2482.7234042553191</v>
      </c>
      <c r="K67" s="271">
        <f>IFERROR(VLOOKUP($B61,'Tab. 6'!$B$5:$D$7,3,0),0)*'Tab 5'!K$15+IFERROR(VLOOKUP($B61,'Tab. 6'!$B$12:$D$16,3,0),0)*'Tab 5'!K$28</f>
        <v>3008.4665511662315</v>
      </c>
      <c r="L67" s="271">
        <f>IFERROR(VLOOKUP($B61,'Tab. 6'!$B$5:$D$7,3,0),0)*'Tab 5'!L$15+IFERROR(VLOOKUP($B61,'Tab. 6'!$B$12:$D$16,3,0),0)*'Tab 5'!L$28</f>
        <v>4344.765957446808</v>
      </c>
      <c r="M67" s="271">
        <f>IFERROR(VLOOKUP($B61,'Tab. 6'!$B$5:$D$7,3,0),0)*'Tab 5'!M$15+IFERROR(VLOOKUP($B61,'Tab. 6'!$B$12:$D$16,3,0),0)*'Tab 5'!M$28</f>
        <v>4344.765957446808</v>
      </c>
      <c r="N67" s="271">
        <f>IFERROR(VLOOKUP($B61,'Tab. 6'!$B$5:$D$7,3,0),0)*'Tab 5'!N$15+IFERROR(VLOOKUP($B61,'Tab. 6'!$B$12:$D$16,3,0),0)*'Tab 5'!N$28</f>
        <v>1932.7234042553191</v>
      </c>
      <c r="O67" s="178">
        <f>SUM(C67:N67)</f>
        <v>42358.371125483332</v>
      </c>
      <c r="Q67" s="332">
        <f>IFERROR(VLOOKUP($B61,'Tab. 6'!$B$5:$D$7,3,0),0)*'Tab 5'!Q$15+IFERROR(VLOOKUP($B61,'Tab. 6'!$B$12:$D$16,3,0),0)*'Tab 5'!Q$28</f>
        <v>3956.5759690056157</v>
      </c>
    </row>
    <row r="68" spans="2:17" ht="17" thickBot="1" x14ac:dyDescent="0.2">
      <c r="B68" s="280" t="s">
        <v>139</v>
      </c>
      <c r="C68" s="271">
        <f>+IF(D67&gt;=$C64,D67,$C64)</f>
        <v>3741.1687639395996</v>
      </c>
      <c r="D68" s="271">
        <f t="shared" ref="D68:G68" si="81">+IF(E67&gt;=$C64,E67,$C64)</f>
        <v>3919.3196574605463</v>
      </c>
      <c r="E68" s="271">
        <f t="shared" si="81"/>
        <v>3919.3196574605354</v>
      </c>
      <c r="F68" s="271">
        <f t="shared" si="81"/>
        <v>3500</v>
      </c>
      <c r="G68" s="271">
        <f t="shared" si="81"/>
        <v>4551.6595744680844</v>
      </c>
      <c r="H68" s="271">
        <f>+IF(I67&gt;=$C64,I67,$C64)</f>
        <v>4001.6595744680844</v>
      </c>
      <c r="I68" s="271">
        <f>+IF(J67&gt;=$C64,J67,$C64)</f>
        <v>3500</v>
      </c>
      <c r="J68" s="271">
        <f>+IF(K67&gt;=$C64,K67,$C64)</f>
        <v>3500</v>
      </c>
      <c r="K68" s="271">
        <f t="shared" ref="K68" si="82">+IF(L67&gt;=$C64,L67,$C64)</f>
        <v>4344.765957446808</v>
      </c>
      <c r="L68" s="271">
        <f>+IF(M67&gt;=$C64,M67,$C64)</f>
        <v>4344.765957446808</v>
      </c>
      <c r="M68" s="271">
        <f t="shared" ref="M68" si="83">+IF(N67&gt;=$C64,N67,$C64)</f>
        <v>3500</v>
      </c>
      <c r="N68" s="271">
        <f>+IF(Q67&gt;=$C64,Q67,$C64)</f>
        <v>3956.5759690056157</v>
      </c>
      <c r="O68" s="178"/>
      <c r="Q68" s="333"/>
    </row>
    <row r="69" spans="2:17" ht="17" thickBot="1" x14ac:dyDescent="0.2">
      <c r="B69" s="281" t="s">
        <v>167</v>
      </c>
      <c r="C69" s="276">
        <f>(C68-C66+C67)</f>
        <v>3849.5420326561461</v>
      </c>
      <c r="D69" s="276">
        <f t="shared" ref="D69:N69" si="84">(D68-D66+D67)</f>
        <v>3919.3196574605463</v>
      </c>
      <c r="E69" s="276">
        <f t="shared" si="84"/>
        <v>3919.3196574605354</v>
      </c>
      <c r="F69" s="276">
        <f t="shared" si="84"/>
        <v>3500</v>
      </c>
      <c r="G69" s="276">
        <f t="shared" si="84"/>
        <v>3555.0849288675372</v>
      </c>
      <c r="H69" s="276">
        <f t="shared" si="84"/>
        <v>4001.6595744680844</v>
      </c>
      <c r="I69" s="276">
        <f t="shared" si="84"/>
        <v>3500</v>
      </c>
      <c r="J69" s="276">
        <f t="shared" si="84"/>
        <v>2482.7234042553191</v>
      </c>
      <c r="K69" s="276">
        <f t="shared" si="84"/>
        <v>3853.2325086130395</v>
      </c>
      <c r="L69" s="276">
        <f t="shared" si="84"/>
        <v>4344.765957446808</v>
      </c>
      <c r="M69" s="276">
        <f t="shared" si="84"/>
        <v>3500</v>
      </c>
      <c r="N69" s="276">
        <f t="shared" si="84"/>
        <v>2389.2993732609348</v>
      </c>
      <c r="O69" s="286">
        <f>SUM(C69:N69)</f>
        <v>42814.947094488954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>
    <pageSetUpPr fitToPage="1"/>
  </sheetPr>
  <dimension ref="B2:O66"/>
  <sheetViews>
    <sheetView showGridLines="0" topLeftCell="A41" zoomScale="170" zoomScaleNormal="170" workbookViewId="0">
      <selection activeCell="C13" sqref="C13:N13"/>
    </sheetView>
  </sheetViews>
  <sheetFormatPr baseColWidth="10" defaultRowHeight="13" x14ac:dyDescent="0.15"/>
  <cols>
    <col min="2" max="2" width="29" bestFit="1" customWidth="1"/>
    <col min="3" max="4" width="12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84" t="s">
        <v>175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2:15" x14ac:dyDescent="0.15"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2:15" ht="14" thickBot="1" x14ac:dyDescent="0.2"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2:15" ht="16" x14ac:dyDescent="0.15">
      <c r="B5" s="269"/>
      <c r="C5" s="798" t="s">
        <v>99</v>
      </c>
      <c r="D5" s="756"/>
      <c r="E5" s="756"/>
      <c r="F5" s="756"/>
      <c r="G5" s="756"/>
      <c r="H5" s="756"/>
      <c r="I5" s="756"/>
      <c r="J5" s="756"/>
      <c r="K5" s="756"/>
      <c r="L5" s="756"/>
      <c r="M5" s="756"/>
      <c r="N5" s="756"/>
      <c r="O5" s="757"/>
    </row>
    <row r="6" spans="2:15" ht="16" x14ac:dyDescent="0.15">
      <c r="B6" s="279"/>
      <c r="C6" s="277" t="s">
        <v>114</v>
      </c>
      <c r="D6" s="277" t="s">
        <v>115</v>
      </c>
      <c r="E6" s="277" t="s">
        <v>116</v>
      </c>
      <c r="F6" s="277" t="s">
        <v>117</v>
      </c>
      <c r="G6" s="277" t="s">
        <v>118</v>
      </c>
      <c r="H6" s="277" t="s">
        <v>119</v>
      </c>
      <c r="I6" s="277" t="s">
        <v>120</v>
      </c>
      <c r="J6" s="277" t="s">
        <v>121</v>
      </c>
      <c r="K6" s="277" t="s">
        <v>122</v>
      </c>
      <c r="L6" s="277" t="s">
        <v>123</v>
      </c>
      <c r="M6" s="277" t="s">
        <v>124</v>
      </c>
      <c r="N6" s="277" t="s">
        <v>125</v>
      </c>
      <c r="O6" s="282" t="s">
        <v>82</v>
      </c>
    </row>
    <row r="7" spans="2:15" ht="16" x14ac:dyDescent="0.15">
      <c r="B7" s="320" t="s">
        <v>145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8"/>
    </row>
    <row r="8" spans="2:15" ht="16" x14ac:dyDescent="0.15">
      <c r="B8" s="322" t="s">
        <v>172</v>
      </c>
      <c r="C8" s="345">
        <f>VLOOKUP(B7,'Tab. 6'!$B$5:$F$16,4,0)</f>
        <v>5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8"/>
    </row>
    <row r="9" spans="2:15" ht="16" x14ac:dyDescent="0.15">
      <c r="B9" s="160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8"/>
    </row>
    <row r="10" spans="2:15" ht="16" x14ac:dyDescent="0.15">
      <c r="B10" s="160" t="s">
        <v>134</v>
      </c>
      <c r="C10" s="346">
        <f>C8*'Tab. 7'!C12</f>
        <v>245000</v>
      </c>
      <c r="D10" s="347">
        <f>+C13</f>
        <v>225433.09185169285</v>
      </c>
      <c r="E10" s="347">
        <f t="shared" ref="E10:N10" si="0">+D13</f>
        <v>252776.97095058349</v>
      </c>
      <c r="F10" s="347">
        <f t="shared" si="0"/>
        <v>232247.48936170214</v>
      </c>
      <c r="G10" s="347">
        <f t="shared" si="0"/>
        <v>232247.48936170214</v>
      </c>
      <c r="H10" s="347">
        <f>+G13</f>
        <v>243306.89361702127</v>
      </c>
      <c r="I10" s="347">
        <f t="shared" si="0"/>
        <v>225000</v>
      </c>
      <c r="J10" s="347">
        <f t="shared" si="0"/>
        <v>225000</v>
      </c>
      <c r="K10" s="347">
        <f t="shared" si="0"/>
        <v>228759.75289507557</v>
      </c>
      <c r="L10" s="347">
        <f t="shared" si="0"/>
        <v>225000.00000000003</v>
      </c>
      <c r="M10" s="347">
        <f t="shared" si="0"/>
        <v>232247.48936170217</v>
      </c>
      <c r="N10" s="347">
        <f t="shared" si="0"/>
        <v>225000.00000000003</v>
      </c>
      <c r="O10" s="178"/>
    </row>
    <row r="11" spans="2:15" ht="16" x14ac:dyDescent="0.15">
      <c r="B11" s="280" t="s">
        <v>173</v>
      </c>
      <c r="C11" s="346">
        <f>$C8*'Tab. 7'!C13</f>
        <v>199069.27659574465</v>
      </c>
      <c r="D11" s="346">
        <f>$C8*'Tab. 7'!D13</f>
        <v>225433.09185169285</v>
      </c>
      <c r="E11" s="346">
        <f>$C8*'Tab. 7'!E13</f>
        <v>252776.97095058349</v>
      </c>
      <c r="F11" s="346">
        <f>$C8*'Tab. 7'!F13</f>
        <v>232247.48936170214</v>
      </c>
      <c r="G11" s="346">
        <f>$C8*'Tab. 7'!G13</f>
        <v>232247.48936170214</v>
      </c>
      <c r="H11" s="346">
        <f>$C8*'Tab. 7'!H13</f>
        <v>243306.89361702127</v>
      </c>
      <c r="I11" s="346">
        <f>$C8*'Tab. 7'!I13</f>
        <v>213906.89361702127</v>
      </c>
      <c r="J11" s="346">
        <f>$C8*'Tab. 7'!J13</f>
        <v>132712.85106382976</v>
      </c>
      <c r="K11" s="346">
        <f>$C8*'Tab. 7'!K13</f>
        <v>228759.75289507554</v>
      </c>
      <c r="L11" s="346">
        <f>$C8*'Tab. 7'!L13</f>
        <v>201786.90254188405</v>
      </c>
      <c r="M11" s="346">
        <f>$C8*'Tab. 7'!M13</f>
        <v>232247.48936170214</v>
      </c>
      <c r="N11" s="346">
        <f>$C8*'Tab. 7'!N13</f>
        <v>103312.85106382979</v>
      </c>
      <c r="O11" s="182">
        <f>SUM(C11:N11)</f>
        <v>2497807.9522817894</v>
      </c>
    </row>
    <row r="12" spans="2:15" ht="17" thickBot="1" x14ac:dyDescent="0.2">
      <c r="B12" s="280" t="s">
        <v>174</v>
      </c>
      <c r="C12" s="347">
        <f>$C8*'Tab. 7'!C15</f>
        <v>179502.3684474375</v>
      </c>
      <c r="D12" s="347">
        <f>$C8*'Tab. 7'!D15</f>
        <v>252776.97095058349</v>
      </c>
      <c r="E12" s="347">
        <f>$C8*'Tab. 7'!E15</f>
        <v>232247.48936170214</v>
      </c>
      <c r="F12" s="347">
        <f>$C8*'Tab. 7'!F15</f>
        <v>232247.48936170214</v>
      </c>
      <c r="G12" s="347">
        <f>$C8*'Tab. 7'!G15</f>
        <v>243306.89361702127</v>
      </c>
      <c r="H12" s="347">
        <f>$C8*'Tab. 7'!H15</f>
        <v>225000</v>
      </c>
      <c r="I12" s="347">
        <f>$C8*'Tab. 7'!I15</f>
        <v>213906.89361702127</v>
      </c>
      <c r="J12" s="347">
        <f>$C8*'Tab. 7'!J15</f>
        <v>136472.60395890533</v>
      </c>
      <c r="K12" s="347">
        <f>$C8*'Tab. 7'!K15</f>
        <v>225000</v>
      </c>
      <c r="L12" s="347">
        <f>$C8*'Tab. 7'!L15</f>
        <v>209034.39190358619</v>
      </c>
      <c r="M12" s="347">
        <f>$C8*'Tab. 7'!M15</f>
        <v>225000</v>
      </c>
      <c r="N12" s="347">
        <f>$C8*'Tab. 7'!N15</f>
        <v>124429.42569317931</v>
      </c>
      <c r="O12" s="182">
        <f>SUM(C12:N12)</f>
        <v>2498924.5269111386</v>
      </c>
    </row>
    <row r="13" spans="2:15" ht="17" thickBot="1" x14ac:dyDescent="0.2">
      <c r="B13" s="281" t="s">
        <v>139</v>
      </c>
      <c r="C13" s="721">
        <f>C10-C11+C12</f>
        <v>225433.09185169285</v>
      </c>
      <c r="D13" s="721">
        <f>D10-D11+D12</f>
        <v>252776.97095058349</v>
      </c>
      <c r="E13" s="721">
        <f t="shared" ref="E13" si="1">E10-E11+E12</f>
        <v>232247.48936170214</v>
      </c>
      <c r="F13" s="721">
        <f t="shared" ref="F13" si="2">F10-F11+F12</f>
        <v>232247.48936170214</v>
      </c>
      <c r="G13" s="721">
        <f t="shared" ref="G13" si="3">G10-G11+G12</f>
        <v>243306.89361702127</v>
      </c>
      <c r="H13" s="721">
        <f t="shared" ref="H13" si="4">H10-H11+H12</f>
        <v>225000</v>
      </c>
      <c r="I13" s="721">
        <f t="shared" ref="I13" si="5">I10-I11+I12</f>
        <v>225000</v>
      </c>
      <c r="J13" s="721">
        <f t="shared" ref="J13" si="6">J10-J11+J12</f>
        <v>228759.75289507557</v>
      </c>
      <c r="K13" s="721">
        <f t="shared" ref="K13" si="7">K10-K11+K12</f>
        <v>225000.00000000003</v>
      </c>
      <c r="L13" s="721">
        <f t="shared" ref="L13" si="8">L10-L11+L12</f>
        <v>232247.48936170217</v>
      </c>
      <c r="M13" s="721">
        <f t="shared" ref="M13" si="9">M10-M11+M12</f>
        <v>225000.00000000003</v>
      </c>
      <c r="N13" s="721">
        <f t="shared" ref="N13" si="10">N10-N11+N12</f>
        <v>246116.57462934955</v>
      </c>
      <c r="O13" s="286"/>
    </row>
    <row r="14" spans="2:15" ht="16" x14ac:dyDescent="0.15">
      <c r="B14" s="320" t="s">
        <v>146</v>
      </c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278"/>
    </row>
    <row r="15" spans="2:15" ht="16" x14ac:dyDescent="0.15">
      <c r="B15" s="322" t="s">
        <v>172</v>
      </c>
      <c r="C15" s="345">
        <f>VLOOKUP(B14,'Tab. 6'!$B$5:$F$16,4,0)</f>
        <v>74.999650000000003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8"/>
    </row>
    <row r="16" spans="2:15" ht="16" x14ac:dyDescent="0.15">
      <c r="B16" s="160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8"/>
    </row>
    <row r="17" spans="2:15" ht="16" x14ac:dyDescent="0.15">
      <c r="B17" s="160" t="s">
        <v>134</v>
      </c>
      <c r="C17" s="346">
        <f>C15*'Tab. 7'!C21</f>
        <v>4499979</v>
      </c>
      <c r="D17" s="347">
        <f>+C20</f>
        <v>4499979</v>
      </c>
      <c r="E17" s="347">
        <f t="shared" ref="E17:G17" si="11">+D20</f>
        <v>4499979</v>
      </c>
      <c r="F17" s="347">
        <f t="shared" si="11"/>
        <v>4499979</v>
      </c>
      <c r="G17" s="347">
        <f t="shared" si="11"/>
        <v>4499979</v>
      </c>
      <c r="H17" s="347">
        <f>+G20</f>
        <v>4499979</v>
      </c>
      <c r="I17" s="347">
        <f t="shared" ref="I17:N17" si="12">+H20</f>
        <v>4499979</v>
      </c>
      <c r="J17" s="347">
        <f t="shared" si="12"/>
        <v>4499979</v>
      </c>
      <c r="K17" s="347">
        <f t="shared" si="12"/>
        <v>4499979</v>
      </c>
      <c r="L17" s="347">
        <f t="shared" si="12"/>
        <v>4499979</v>
      </c>
      <c r="M17" s="347">
        <f t="shared" si="12"/>
        <v>4499979</v>
      </c>
      <c r="N17" s="347">
        <f t="shared" si="12"/>
        <v>4499979</v>
      </c>
      <c r="O17" s="178"/>
    </row>
    <row r="18" spans="2:15" ht="16" x14ac:dyDescent="0.15">
      <c r="B18" s="280" t="s">
        <v>173</v>
      </c>
      <c r="C18" s="346">
        <f>$C15*'Tab. 7'!C22</f>
        <v>3981366.9521157448</v>
      </c>
      <c r="D18" s="346">
        <f>$C15*'Tab. 7'!D22</f>
        <v>4508640.7966119507</v>
      </c>
      <c r="E18" s="346">
        <f>$C15*'Tab. 7'!E22</f>
        <v>5055515.8264943808</v>
      </c>
      <c r="F18" s="346">
        <f>$C15*'Tab. 7'!F22</f>
        <v>4644928.1108017024</v>
      </c>
      <c r="G18" s="346">
        <f>$C15*'Tab. 7'!G22</f>
        <v>4644928.1108017024</v>
      </c>
      <c r="H18" s="346">
        <f>$C15*'Tab. 7'!H22</f>
        <v>4866115.1636970211</v>
      </c>
      <c r="I18" s="346">
        <f>$C15*'Tab. 7'!I22</f>
        <v>4278117.907697021</v>
      </c>
      <c r="J18" s="346">
        <f>$C15*'Tab. 7'!J22</f>
        <v>2654244.6347438297</v>
      </c>
      <c r="K18" s="346">
        <f>$C15*'Tab. 7'!K22</f>
        <v>4575173.7069912404</v>
      </c>
      <c r="L18" s="346">
        <f>$C15*'Tab. 7'!L22</f>
        <v>4035719.2173934439</v>
      </c>
      <c r="M18" s="346">
        <f>$C15*'Tab. 7'!M22</f>
        <v>4644928.1108017024</v>
      </c>
      <c r="N18" s="346">
        <f>$C15*'Tab. 7'!N22</f>
        <v>2066247.3787438299</v>
      </c>
      <c r="O18" s="182">
        <f>SUM(C18:N18)</f>
        <v>49955925.916893572</v>
      </c>
    </row>
    <row r="19" spans="2:15" ht="17" thickBot="1" x14ac:dyDescent="0.2">
      <c r="B19" s="280" t="s">
        <v>174</v>
      </c>
      <c r="C19" s="347">
        <f>$C15*'Tab. 7'!C24</f>
        <v>3981366.9521157448</v>
      </c>
      <c r="D19" s="347">
        <f>$C15*'Tab. 7'!D24</f>
        <v>4508640.7966119507</v>
      </c>
      <c r="E19" s="347">
        <f>$C15*'Tab. 7'!E24</f>
        <v>5055515.8264943808</v>
      </c>
      <c r="F19" s="347">
        <f>$C15*'Tab. 7'!F24</f>
        <v>4644928.1108017024</v>
      </c>
      <c r="G19" s="347">
        <f>$C15*'Tab. 7'!G24</f>
        <v>4644928.1108017024</v>
      </c>
      <c r="H19" s="347">
        <f>$C15*'Tab. 7'!H24</f>
        <v>4866115.1636970211</v>
      </c>
      <c r="I19" s="347">
        <f>$C15*'Tab. 7'!I24</f>
        <v>4278117.907697021</v>
      </c>
      <c r="J19" s="347">
        <f>$C15*'Tab. 7'!J24</f>
        <v>2654244.6347438297</v>
      </c>
      <c r="K19" s="347">
        <f>$C15*'Tab. 7'!K24</f>
        <v>4575173.7069912404</v>
      </c>
      <c r="L19" s="347">
        <f>$C15*'Tab. 7'!L24</f>
        <v>4035719.2173934439</v>
      </c>
      <c r="M19" s="347">
        <f>$C15*'Tab. 7'!M24</f>
        <v>4644928.1108017024</v>
      </c>
      <c r="N19" s="347">
        <f>$C15*'Tab. 7'!N24</f>
        <v>2066247.3787438299</v>
      </c>
      <c r="O19" s="182">
        <f>SUM(C19:N19)</f>
        <v>49955925.916893572</v>
      </c>
    </row>
    <row r="20" spans="2:15" ht="17" thickBot="1" x14ac:dyDescent="0.2">
      <c r="B20" s="281" t="s">
        <v>139</v>
      </c>
      <c r="C20" s="721">
        <f>C17-C18+C19</f>
        <v>4499979</v>
      </c>
      <c r="D20" s="721">
        <f>D17-D18+D19</f>
        <v>4499979</v>
      </c>
      <c r="E20" s="721">
        <f t="shared" ref="E20" si="13">E17-E18+E19</f>
        <v>4499979</v>
      </c>
      <c r="F20" s="721">
        <f t="shared" ref="F20" si="14">F17-F18+F19</f>
        <v>4499979</v>
      </c>
      <c r="G20" s="721">
        <f t="shared" ref="G20" si="15">G17-G18+G19</f>
        <v>4499979</v>
      </c>
      <c r="H20" s="721">
        <f t="shared" ref="H20" si="16">H17-H18+H19</f>
        <v>4499979</v>
      </c>
      <c r="I20" s="721">
        <f t="shared" ref="I20" si="17">I17-I18+I19</f>
        <v>4499979</v>
      </c>
      <c r="J20" s="721">
        <f t="shared" ref="J20" si="18">J17-J18+J19</f>
        <v>4499979</v>
      </c>
      <c r="K20" s="721">
        <f t="shared" ref="K20" si="19">K17-K18+K19</f>
        <v>4499979</v>
      </c>
      <c r="L20" s="721">
        <f t="shared" ref="L20" si="20">L17-L18+L19</f>
        <v>4499979</v>
      </c>
      <c r="M20" s="721">
        <f t="shared" ref="M20" si="21">M17-M18+M19</f>
        <v>4499979</v>
      </c>
      <c r="N20" s="721">
        <f t="shared" ref="N20" si="22">N17-N18+N19</f>
        <v>4499979</v>
      </c>
      <c r="O20" s="286"/>
    </row>
    <row r="21" spans="2:15" ht="16" x14ac:dyDescent="0.15">
      <c r="B21" s="320" t="s">
        <v>147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8"/>
    </row>
    <row r="22" spans="2:15" ht="16" x14ac:dyDescent="0.15">
      <c r="B22" s="322" t="s">
        <v>172</v>
      </c>
      <c r="C22" s="345">
        <f>VLOOKUP(B21,'Tab. 6'!$B$5:$F$16,4,0)</f>
        <v>30</v>
      </c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8"/>
    </row>
    <row r="23" spans="2:15" ht="16" x14ac:dyDescent="0.15">
      <c r="B23" s="160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8"/>
    </row>
    <row r="24" spans="2:15" ht="16" x14ac:dyDescent="0.15">
      <c r="B24" s="160" t="s">
        <v>134</v>
      </c>
      <c r="C24" s="346">
        <f>C22*'Tab. 7'!C30</f>
        <v>1884000</v>
      </c>
      <c r="D24" s="347">
        <f>+C27</f>
        <v>1884000</v>
      </c>
      <c r="E24" s="347">
        <f t="shared" ref="E24:G24" si="23">+D27</f>
        <v>1884000</v>
      </c>
      <c r="F24" s="347">
        <f t="shared" si="23"/>
        <v>1884000</v>
      </c>
      <c r="G24" s="347">
        <f t="shared" si="23"/>
        <v>1884000</v>
      </c>
      <c r="H24" s="347">
        <f>+G27</f>
        <v>1884000</v>
      </c>
      <c r="I24" s="347">
        <f t="shared" ref="I24:N24" si="24">+H27</f>
        <v>1884000</v>
      </c>
      <c r="J24" s="347">
        <f t="shared" si="24"/>
        <v>1884000</v>
      </c>
      <c r="K24" s="347">
        <f t="shared" si="24"/>
        <v>1884000</v>
      </c>
      <c r="L24" s="347">
        <f t="shared" si="24"/>
        <v>1884000</v>
      </c>
      <c r="M24" s="347">
        <f t="shared" si="24"/>
        <v>1884000</v>
      </c>
      <c r="N24" s="347">
        <f t="shared" si="24"/>
        <v>1884000</v>
      </c>
      <c r="O24" s="178"/>
    </row>
    <row r="25" spans="2:15" ht="16" x14ac:dyDescent="0.15">
      <c r="B25" s="280" t="s">
        <v>173</v>
      </c>
      <c r="C25" s="346">
        <f>$C22*'Tab. 7'!C31</f>
        <v>1679155.1712151547</v>
      </c>
      <c r="D25" s="346">
        <f>$C22*'Tab. 7'!D31</f>
        <v>1893252.785148093</v>
      </c>
      <c r="E25" s="346">
        <f>$C22*'Tab. 7'!E31</f>
        <v>2116279.439383721</v>
      </c>
      <c r="F25" s="346">
        <f>$C22*'Tab. 7'!F31</f>
        <v>1952043.58667267</v>
      </c>
      <c r="G25" s="346">
        <f>$C22*'Tab. 7'!G31</f>
        <v>1918062.1233992039</v>
      </c>
      <c r="H25" s="346">
        <f>$C22*'Tab. 7'!H31</f>
        <v>2055694.9787234042</v>
      </c>
      <c r="I25" s="346">
        <f>$C22*'Tab. 7'!I31</f>
        <v>1807294.9787234042</v>
      </c>
      <c r="J25" s="346">
        <f>$C22*'Tab. 7'!J31</f>
        <v>1121288.1702127659</v>
      </c>
      <c r="K25" s="346">
        <f>$C22*'Tab. 7'!K31</f>
        <v>1902281.2203885939</v>
      </c>
      <c r="L25" s="346">
        <f>$C22*'Tab. 7'!L31</f>
        <v>1718569.6033137958</v>
      </c>
      <c r="M25" s="346">
        <f>$C22*'Tab. 7'!M31</f>
        <v>1962254.2978723403</v>
      </c>
      <c r="N25" s="346">
        <f>$C22*'Tab. 7'!N31</f>
        <v>872888.17021276604</v>
      </c>
      <c r="O25" s="182">
        <f>SUM(C25:N25)</f>
        <v>20999064.525265913</v>
      </c>
    </row>
    <row r="26" spans="2:15" ht="17" thickBot="1" x14ac:dyDescent="0.2">
      <c r="B26" s="280" t="s">
        <v>174</v>
      </c>
      <c r="C26" s="347">
        <f>$C22*'Tab. 7'!C33</f>
        <v>1679155.1712151547</v>
      </c>
      <c r="D26" s="347">
        <f>$C22*'Tab. 7'!D33</f>
        <v>1893252.785148093</v>
      </c>
      <c r="E26" s="347">
        <f>$C22*'Tab. 7'!E33</f>
        <v>2116279.439383721</v>
      </c>
      <c r="F26" s="347">
        <f>$C22*'Tab. 7'!F33</f>
        <v>1952043.58667267</v>
      </c>
      <c r="G26" s="347">
        <f>$C22*'Tab. 7'!G33</f>
        <v>1918062.1233992039</v>
      </c>
      <c r="H26" s="347">
        <f>$C22*'Tab. 7'!H33</f>
        <v>2055694.9787234042</v>
      </c>
      <c r="I26" s="347">
        <f>$C22*'Tab. 7'!I33</f>
        <v>1807294.9787234042</v>
      </c>
      <c r="J26" s="347">
        <f>$C22*'Tab. 7'!J33</f>
        <v>1121288.1702127659</v>
      </c>
      <c r="K26" s="347">
        <f>$C22*'Tab. 7'!K33</f>
        <v>1902281.2203885939</v>
      </c>
      <c r="L26" s="347">
        <f>$C22*'Tab. 7'!L33</f>
        <v>1718569.6033137958</v>
      </c>
      <c r="M26" s="347">
        <f>$C22*'Tab. 7'!M33</f>
        <v>1962254.2978723403</v>
      </c>
      <c r="N26" s="347">
        <f>$C22*'Tab. 7'!N33</f>
        <v>872888.17021276604</v>
      </c>
      <c r="O26" s="182">
        <f>SUM(C26:N26)</f>
        <v>20999064.525265913</v>
      </c>
    </row>
    <row r="27" spans="2:15" ht="17" thickBot="1" x14ac:dyDescent="0.2">
      <c r="B27" s="281" t="s">
        <v>139</v>
      </c>
      <c r="C27" s="721">
        <f>C24-C25+C26</f>
        <v>1884000</v>
      </c>
      <c r="D27" s="721">
        <f>D24-D25+D26</f>
        <v>1884000</v>
      </c>
      <c r="E27" s="721">
        <f t="shared" ref="E27" si="25">E24-E25+E26</f>
        <v>1884000</v>
      </c>
      <c r="F27" s="721">
        <f t="shared" ref="F27" si="26">F24-F25+F26</f>
        <v>1884000</v>
      </c>
      <c r="G27" s="721">
        <f t="shared" ref="G27" si="27">G24-G25+G26</f>
        <v>1884000</v>
      </c>
      <c r="H27" s="721">
        <f t="shared" ref="H27" si="28">H24-H25+H26</f>
        <v>1884000</v>
      </c>
      <c r="I27" s="721">
        <f t="shared" ref="I27" si="29">I24-I25+I26</f>
        <v>1884000</v>
      </c>
      <c r="J27" s="721">
        <f t="shared" ref="J27" si="30">J24-J25+J26</f>
        <v>1884000</v>
      </c>
      <c r="K27" s="721">
        <f t="shared" ref="K27" si="31">K24-K25+K26</f>
        <v>1884000</v>
      </c>
      <c r="L27" s="721">
        <f t="shared" ref="L27" si="32">L24-L25+L26</f>
        <v>1884000</v>
      </c>
      <c r="M27" s="721">
        <f t="shared" ref="M27" si="33">M24-M25+M26</f>
        <v>1884000</v>
      </c>
      <c r="N27" s="721">
        <f t="shared" ref="N27" si="34">N24-N25+N26</f>
        <v>1884000</v>
      </c>
      <c r="O27" s="286"/>
    </row>
    <row r="28" spans="2:15" ht="16" x14ac:dyDescent="0.15">
      <c r="B28" s="320" t="s">
        <v>93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8"/>
    </row>
    <row r="29" spans="2:15" ht="16" x14ac:dyDescent="0.15">
      <c r="B29" s="322" t="s">
        <v>172</v>
      </c>
      <c r="C29" s="345">
        <f>VLOOKUP(B28,'Tab. 6'!$B$5:$F$16,4,0)</f>
        <v>50</v>
      </c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8"/>
    </row>
    <row r="30" spans="2:15" ht="16" x14ac:dyDescent="0.15">
      <c r="B30" s="160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8"/>
    </row>
    <row r="31" spans="2:15" ht="16" x14ac:dyDescent="0.15">
      <c r="B31" s="160" t="s">
        <v>134</v>
      </c>
      <c r="C31" s="346">
        <f>C29*'Tab. 7'!C39</f>
        <v>175000</v>
      </c>
      <c r="D31" s="347">
        <f>+C34</f>
        <v>175000</v>
      </c>
      <c r="E31" s="347">
        <f t="shared" ref="E31:G31" si="35">+D34</f>
        <v>175000</v>
      </c>
      <c r="F31" s="347">
        <f t="shared" si="35"/>
        <v>175000</v>
      </c>
      <c r="G31" s="347">
        <f t="shared" si="35"/>
        <v>175000</v>
      </c>
      <c r="H31" s="347">
        <f>+G34</f>
        <v>175000</v>
      </c>
      <c r="I31" s="347">
        <f t="shared" ref="I31:N31" si="36">+H34</f>
        <v>175000</v>
      </c>
      <c r="J31" s="347">
        <f t="shared" si="36"/>
        <v>175000</v>
      </c>
      <c r="K31" s="347">
        <f t="shared" si="36"/>
        <v>175000</v>
      </c>
      <c r="L31" s="347">
        <f t="shared" si="36"/>
        <v>175000</v>
      </c>
      <c r="M31" s="347">
        <f t="shared" si="36"/>
        <v>175000</v>
      </c>
      <c r="N31" s="347">
        <f t="shared" si="36"/>
        <v>175000</v>
      </c>
      <c r="O31" s="178"/>
    </row>
    <row r="32" spans="2:15" ht="16" x14ac:dyDescent="0.15">
      <c r="B32" s="280" t="s">
        <v>173</v>
      </c>
      <c r="C32" s="346">
        <f>$C29*'Tab. 7'!C40</f>
        <v>90209.331717913665</v>
      </c>
      <c r="D32" s="346">
        <f>$C29*'Tab. 7'!D40</f>
        <v>93529.219098489993</v>
      </c>
      <c r="E32" s="346">
        <f>$C29*'Tab. 7'!E40</f>
        <v>97982.991436513665</v>
      </c>
      <c r="F32" s="346">
        <f>$C29*'Tab. 7'!F40</f>
        <v>97982.991436513388</v>
      </c>
      <c r="G32" s="346">
        <f>$C29*'Tab. 7'!G40</f>
        <v>62585.633859986323</v>
      </c>
      <c r="H32" s="346">
        <f>$C29*'Tab. 7'!H40</f>
        <v>113791.48936170212</v>
      </c>
      <c r="I32" s="346">
        <f>$C29*'Tab. 7'!I40</f>
        <v>100041.48936170212</v>
      </c>
      <c r="J32" s="346">
        <f>$C29*'Tab. 7'!J40</f>
        <v>62068.085106382976</v>
      </c>
      <c r="K32" s="346">
        <f>$C29*'Tab. 7'!K40</f>
        <v>75211.663779155788</v>
      </c>
      <c r="L32" s="346">
        <f>$C29*'Tab. 7'!L40</f>
        <v>108619.1489361702</v>
      </c>
      <c r="M32" s="346">
        <f>$C29*'Tab. 7'!M40</f>
        <v>108619.1489361702</v>
      </c>
      <c r="N32" s="346">
        <f>$C29*'Tab. 7'!N40</f>
        <v>48318.085106382976</v>
      </c>
      <c r="O32" s="182">
        <f>SUM(C32:N32)</f>
        <v>1058959.2781370834</v>
      </c>
    </row>
    <row r="33" spans="2:15" ht="17" thickBot="1" x14ac:dyDescent="0.2">
      <c r="B33" s="280" t="s">
        <v>174</v>
      </c>
      <c r="C33" s="347">
        <f>$C29*'Tab. 7'!C42</f>
        <v>90209.331717913665</v>
      </c>
      <c r="D33" s="347">
        <f>$C29*'Tab. 7'!D42</f>
        <v>93529.219098489993</v>
      </c>
      <c r="E33" s="347">
        <f>$C29*'Tab. 7'!E42</f>
        <v>97982.991436513665</v>
      </c>
      <c r="F33" s="347">
        <f>$C29*'Tab. 7'!F42</f>
        <v>97982.991436513388</v>
      </c>
      <c r="G33" s="347">
        <f>$C29*'Tab. 7'!G42</f>
        <v>62585.633859986323</v>
      </c>
      <c r="H33" s="347">
        <f>$C29*'Tab. 7'!H42</f>
        <v>113791.48936170212</v>
      </c>
      <c r="I33" s="347">
        <f>$C29*'Tab. 7'!I42</f>
        <v>100041.48936170212</v>
      </c>
      <c r="J33" s="347">
        <f>$C29*'Tab. 7'!J42</f>
        <v>62068.085106382976</v>
      </c>
      <c r="K33" s="347">
        <f>$C29*'Tab. 7'!K42</f>
        <v>75211.663779155788</v>
      </c>
      <c r="L33" s="347">
        <f>$C29*'Tab. 7'!L42</f>
        <v>108619.1489361702</v>
      </c>
      <c r="M33" s="347">
        <f>$C29*'Tab. 7'!M42</f>
        <v>108619.1489361702</v>
      </c>
      <c r="N33" s="347">
        <f>$C29*'Tab. 7'!N42</f>
        <v>48318.085106382976</v>
      </c>
      <c r="O33" s="182">
        <f>SUM(C33:N33)</f>
        <v>1058959.2781370834</v>
      </c>
    </row>
    <row r="34" spans="2:15" ht="17" thickBot="1" x14ac:dyDescent="0.2">
      <c r="B34" s="281" t="s">
        <v>139</v>
      </c>
      <c r="C34" s="721">
        <f>C31-C32+C33</f>
        <v>175000</v>
      </c>
      <c r="D34" s="721">
        <f>D31-D32+D33</f>
        <v>175000</v>
      </c>
      <c r="E34" s="721">
        <f t="shared" ref="E34" si="37">E31-E32+E33</f>
        <v>175000</v>
      </c>
      <c r="F34" s="721">
        <f t="shared" ref="F34" si="38">F31-F32+F33</f>
        <v>175000</v>
      </c>
      <c r="G34" s="721">
        <f t="shared" ref="G34" si="39">G31-G32+G33</f>
        <v>175000</v>
      </c>
      <c r="H34" s="721">
        <f t="shared" ref="H34" si="40">H31-H32+H33</f>
        <v>175000</v>
      </c>
      <c r="I34" s="721">
        <f t="shared" ref="I34" si="41">I31-I32+I33</f>
        <v>175000</v>
      </c>
      <c r="J34" s="721">
        <f t="shared" ref="J34" si="42">J31-J32+J33</f>
        <v>175000</v>
      </c>
      <c r="K34" s="721">
        <f t="shared" ref="K34" si="43">K31-K32+K33</f>
        <v>175000</v>
      </c>
      <c r="L34" s="721">
        <f t="shared" ref="L34" si="44">L31-L32+L33</f>
        <v>175000</v>
      </c>
      <c r="M34" s="721">
        <f t="shared" ref="M34" si="45">M31-M32+M33</f>
        <v>175000</v>
      </c>
      <c r="N34" s="721">
        <f t="shared" ref="N34" si="46">N31-N32+N33</f>
        <v>175000</v>
      </c>
      <c r="O34" s="286"/>
    </row>
    <row r="35" spans="2:15" ht="16" x14ac:dyDescent="0.15">
      <c r="B35" s="320" t="s">
        <v>153</v>
      </c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8"/>
    </row>
    <row r="36" spans="2:15" ht="16" x14ac:dyDescent="0.15">
      <c r="B36" s="322" t="s">
        <v>172</v>
      </c>
      <c r="C36" s="345">
        <f>VLOOKUP(B35,'Tab. 6'!$B$5:$F$16,4,0)</f>
        <v>15</v>
      </c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8"/>
    </row>
    <row r="37" spans="2:15" ht="16" x14ac:dyDescent="0.15">
      <c r="B37" s="160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8"/>
    </row>
    <row r="38" spans="2:15" ht="16" x14ac:dyDescent="0.15">
      <c r="B38" s="160" t="s">
        <v>134</v>
      </c>
      <c r="C38" s="346">
        <f>C36*'Tab. 7'!C48</f>
        <v>105000</v>
      </c>
      <c r="D38" s="347">
        <f>+C41</f>
        <v>112235.06291818799</v>
      </c>
      <c r="E38" s="347">
        <f t="shared" ref="E38:G38" si="47">+D41</f>
        <v>117579.58972381639</v>
      </c>
      <c r="F38" s="347">
        <f t="shared" si="47"/>
        <v>117579.58972381605</v>
      </c>
      <c r="G38" s="347">
        <f t="shared" si="47"/>
        <v>105000.03</v>
      </c>
      <c r="H38" s="347">
        <f>+G41</f>
        <v>136549.78723404254</v>
      </c>
      <c r="I38" s="347">
        <f t="shared" ref="I38:N38" si="48">+H41</f>
        <v>120049.78723404254</v>
      </c>
      <c r="J38" s="347">
        <f t="shared" si="48"/>
        <v>105000.03</v>
      </c>
      <c r="K38" s="347">
        <f t="shared" si="48"/>
        <v>105000.03</v>
      </c>
      <c r="L38" s="347">
        <f t="shared" si="48"/>
        <v>130342.97872340425</v>
      </c>
      <c r="M38" s="347">
        <f t="shared" si="48"/>
        <v>130342.97872340425</v>
      </c>
      <c r="N38" s="347">
        <f t="shared" si="48"/>
        <v>105000.03</v>
      </c>
      <c r="O38" s="178"/>
    </row>
    <row r="39" spans="2:15" ht="16" x14ac:dyDescent="0.15">
      <c r="B39" s="280" t="s">
        <v>173</v>
      </c>
      <c r="C39" s="346">
        <f>$C36*'Tab. 7'!C49</f>
        <v>108251.1980614964</v>
      </c>
      <c r="D39" s="346">
        <f>$C36*'Tab. 7'!D49</f>
        <v>112235.06291818799</v>
      </c>
      <c r="E39" s="346">
        <f>$C36*'Tab. 7'!E49</f>
        <v>117579.58972381639</v>
      </c>
      <c r="F39" s="346">
        <f>$C36*'Tab. 7'!F49</f>
        <v>117579.58972381605</v>
      </c>
      <c r="G39" s="346">
        <f>$C36*'Tab. 7'!G49</f>
        <v>75102.760631983576</v>
      </c>
      <c r="H39" s="346">
        <f>$C36*'Tab. 7'!H49</f>
        <v>136549.78723404254</v>
      </c>
      <c r="I39" s="346">
        <f>$C36*'Tab. 7'!I49</f>
        <v>120049.78723404254</v>
      </c>
      <c r="J39" s="346">
        <f>$C36*'Tab. 7'!J49</f>
        <v>74481.702127659577</v>
      </c>
      <c r="K39" s="346">
        <f>$C36*'Tab. 7'!K49</f>
        <v>90253.996534986945</v>
      </c>
      <c r="L39" s="346">
        <f>$C36*'Tab. 7'!L49</f>
        <v>130342.97872340425</v>
      </c>
      <c r="M39" s="346">
        <f>$C36*'Tab. 7'!M49</f>
        <v>130342.97872340425</v>
      </c>
      <c r="N39" s="346">
        <f>$C36*'Tab. 7'!N49</f>
        <v>57981.702127659577</v>
      </c>
      <c r="O39" s="182">
        <f>SUM(C39:N39)</f>
        <v>1270751.1337645003</v>
      </c>
    </row>
    <row r="40" spans="2:15" ht="17" thickBot="1" x14ac:dyDescent="0.2">
      <c r="B40" s="280" t="s">
        <v>174</v>
      </c>
      <c r="C40" s="347">
        <f>$C36*'Tab. 7'!C51</f>
        <v>115486.26097968439</v>
      </c>
      <c r="D40" s="347">
        <f>$C36*'Tab. 7'!D51</f>
        <v>117579.58972381639</v>
      </c>
      <c r="E40" s="347">
        <f>$C36*'Tab. 7'!E51</f>
        <v>117579.58972381605</v>
      </c>
      <c r="F40" s="347">
        <f>$C36*'Tab. 7'!F51</f>
        <v>105000.03</v>
      </c>
      <c r="G40" s="347">
        <f>$C36*'Tab. 7'!G51</f>
        <v>106652.51786602613</v>
      </c>
      <c r="H40" s="347">
        <f>$C36*'Tab. 7'!H51</f>
        <v>120049.78723404254</v>
      </c>
      <c r="I40" s="347">
        <f>$C36*'Tab. 7'!I51</f>
        <v>105000.03</v>
      </c>
      <c r="J40" s="347">
        <f>$C36*'Tab. 7'!J51</f>
        <v>74481.702127659577</v>
      </c>
      <c r="K40" s="347">
        <f>$C36*'Tab. 7'!K51</f>
        <v>115596.94525839119</v>
      </c>
      <c r="L40" s="347">
        <f>$C36*'Tab. 7'!L51</f>
        <v>130342.97872340425</v>
      </c>
      <c r="M40" s="347">
        <f>$C36*'Tab. 7'!M51</f>
        <v>105000.03</v>
      </c>
      <c r="N40" s="347">
        <f>$C36*'Tab. 7'!N51</f>
        <v>71678.95119782805</v>
      </c>
      <c r="O40" s="182">
        <f>SUM(C40:N40)</f>
        <v>1284448.4128346685</v>
      </c>
    </row>
    <row r="41" spans="2:15" ht="17" thickBot="1" x14ac:dyDescent="0.2">
      <c r="B41" s="281" t="s">
        <v>139</v>
      </c>
      <c r="C41" s="721">
        <f>C38-C39+C40</f>
        <v>112235.06291818799</v>
      </c>
      <c r="D41" s="721">
        <f>D38-D39+D40</f>
        <v>117579.58972381639</v>
      </c>
      <c r="E41" s="721">
        <f t="shared" ref="E41" si="49">E38-E39+E40</f>
        <v>117579.58972381605</v>
      </c>
      <c r="F41" s="721">
        <f t="shared" ref="F41" si="50">F38-F39+F40</f>
        <v>105000.03</v>
      </c>
      <c r="G41" s="721">
        <f t="shared" ref="G41" si="51">G38-G39+G40</f>
        <v>136549.78723404254</v>
      </c>
      <c r="H41" s="721">
        <f t="shared" ref="H41" si="52">H38-H39+H40</f>
        <v>120049.78723404254</v>
      </c>
      <c r="I41" s="721">
        <f t="shared" ref="I41" si="53">I38-I39+I40</f>
        <v>105000.03</v>
      </c>
      <c r="J41" s="721">
        <f t="shared" ref="J41" si="54">J38-J39+J40</f>
        <v>105000.03</v>
      </c>
      <c r="K41" s="721">
        <f t="shared" ref="K41" si="55">K38-K39+K40</f>
        <v>130342.97872340425</v>
      </c>
      <c r="L41" s="721">
        <f t="shared" ref="L41" si="56">L38-L39+L40</f>
        <v>130342.97872340425</v>
      </c>
      <c r="M41" s="721">
        <f t="shared" ref="M41" si="57">M38-M39+M40</f>
        <v>105000.03</v>
      </c>
      <c r="N41" s="721">
        <f t="shared" ref="N41" si="58">N38-N39+N40</f>
        <v>118697.27907016847</v>
      </c>
      <c r="O41" s="286"/>
    </row>
    <row r="42" spans="2:15" ht="16" x14ac:dyDescent="0.15">
      <c r="B42" s="320" t="s">
        <v>154</v>
      </c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8"/>
    </row>
    <row r="43" spans="2:15" ht="16" x14ac:dyDescent="0.15">
      <c r="B43" s="322" t="s">
        <v>172</v>
      </c>
      <c r="C43" s="345">
        <f>VLOOKUP(B42,'Tab. 6'!$B$5:$F$16,4,0)</f>
        <v>20</v>
      </c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8"/>
    </row>
    <row r="44" spans="2:15" ht="16" x14ac:dyDescent="0.15">
      <c r="B44" s="160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8"/>
    </row>
    <row r="45" spans="2:15" ht="16" x14ac:dyDescent="0.15">
      <c r="B45" s="160" t="s">
        <v>134</v>
      </c>
      <c r="C45" s="346">
        <f>C43*'Tab. 7'!C57</f>
        <v>420000</v>
      </c>
      <c r="D45" s="347">
        <f>+C48</f>
        <v>420000</v>
      </c>
      <c r="E45" s="347">
        <f t="shared" ref="E45:G45" si="59">+D48</f>
        <v>420000</v>
      </c>
      <c r="F45" s="347">
        <f t="shared" si="59"/>
        <v>420000</v>
      </c>
      <c r="G45" s="347">
        <f t="shared" si="59"/>
        <v>420000</v>
      </c>
      <c r="H45" s="347">
        <f>+G48</f>
        <v>420000</v>
      </c>
      <c r="I45" s="347">
        <f t="shared" ref="I45:N45" si="60">+H48</f>
        <v>420000</v>
      </c>
      <c r="J45" s="347">
        <f t="shared" si="60"/>
        <v>420000</v>
      </c>
      <c r="K45" s="347">
        <f t="shared" si="60"/>
        <v>420000</v>
      </c>
      <c r="L45" s="347">
        <f t="shared" si="60"/>
        <v>420000</v>
      </c>
      <c r="M45" s="347">
        <f t="shared" si="60"/>
        <v>420000</v>
      </c>
      <c r="N45" s="347">
        <f t="shared" si="60"/>
        <v>420000</v>
      </c>
      <c r="O45" s="178"/>
    </row>
    <row r="46" spans="2:15" ht="16" x14ac:dyDescent="0.15">
      <c r="B46" s="280" t="s">
        <v>173</v>
      </c>
      <c r="C46" s="346">
        <f>$C43*'Tab. 7'!C58</f>
        <v>216502.3961229928</v>
      </c>
      <c r="D46" s="346">
        <f>$C43*'Tab. 7'!D58</f>
        <v>224470.12583637596</v>
      </c>
      <c r="E46" s="346">
        <f>$C43*'Tab. 7'!E58</f>
        <v>235159.17944763278</v>
      </c>
      <c r="F46" s="346">
        <f>$C43*'Tab. 7'!F58</f>
        <v>235159.17944763211</v>
      </c>
      <c r="G46" s="346">
        <f>$C43*'Tab. 7'!G58</f>
        <v>150205.52126396715</v>
      </c>
      <c r="H46" s="346">
        <f>$C43*'Tab. 7'!H58</f>
        <v>273099.57446808508</v>
      </c>
      <c r="I46" s="346">
        <f>$C43*'Tab. 7'!I58</f>
        <v>240099.57446808505</v>
      </c>
      <c r="J46" s="346">
        <f>$C43*'Tab. 7'!J58</f>
        <v>148963.40425531915</v>
      </c>
      <c r="K46" s="346">
        <f>$C43*'Tab. 7'!K58</f>
        <v>180507.99306997389</v>
      </c>
      <c r="L46" s="346">
        <f>$C43*'Tab. 7'!L58</f>
        <v>260685.95744680846</v>
      </c>
      <c r="M46" s="346">
        <f>$C43*'Tab. 7'!M58</f>
        <v>260685.95744680846</v>
      </c>
      <c r="N46" s="346">
        <f>$C43*'Tab. 7'!N58</f>
        <v>115963.40425531915</v>
      </c>
      <c r="O46" s="182">
        <f>SUM(C46:N46)</f>
        <v>2541502.2675290005</v>
      </c>
    </row>
    <row r="47" spans="2:15" ht="17" thickBot="1" x14ac:dyDescent="0.2">
      <c r="B47" s="280" t="s">
        <v>174</v>
      </c>
      <c r="C47" s="347">
        <f>$C43*'Tab. 7'!C60</f>
        <v>216502.3961229928</v>
      </c>
      <c r="D47" s="347">
        <f>$C43*'Tab. 7'!D60</f>
        <v>224470.12583637596</v>
      </c>
      <c r="E47" s="347">
        <f>$C43*'Tab. 7'!E60</f>
        <v>235159.17944763278</v>
      </c>
      <c r="F47" s="347">
        <f>$C43*'Tab. 7'!F60</f>
        <v>235159.17944763211</v>
      </c>
      <c r="G47" s="347">
        <f>$C43*'Tab. 7'!G60</f>
        <v>150205.52126396715</v>
      </c>
      <c r="H47" s="347">
        <f>$C43*'Tab. 7'!H60</f>
        <v>273099.57446808508</v>
      </c>
      <c r="I47" s="347">
        <f>$C43*'Tab. 7'!I60</f>
        <v>240099.57446808505</v>
      </c>
      <c r="J47" s="347">
        <f>$C43*'Tab. 7'!J60</f>
        <v>148963.40425531915</v>
      </c>
      <c r="K47" s="347">
        <f>$C43*'Tab. 7'!K60</f>
        <v>180507.99306997389</v>
      </c>
      <c r="L47" s="347">
        <f>$C43*'Tab. 7'!L60</f>
        <v>260685.95744680846</v>
      </c>
      <c r="M47" s="347">
        <f>$C43*'Tab. 7'!M60</f>
        <v>260685.95744680846</v>
      </c>
      <c r="N47" s="347">
        <f>$C43*'Tab. 7'!N60</f>
        <v>115963.40425531915</v>
      </c>
      <c r="O47" s="182">
        <f>SUM(C47:N47)</f>
        <v>2541502.2675290005</v>
      </c>
    </row>
    <row r="48" spans="2:15" ht="17" thickBot="1" x14ac:dyDescent="0.2">
      <c r="B48" s="281" t="s">
        <v>139</v>
      </c>
      <c r="C48" s="721">
        <f>C45-C46+C47</f>
        <v>420000</v>
      </c>
      <c r="D48" s="721">
        <f>D45-D46+D47</f>
        <v>420000</v>
      </c>
      <c r="E48" s="721">
        <f t="shared" ref="E48" si="61">E45-E46+E47</f>
        <v>420000</v>
      </c>
      <c r="F48" s="721">
        <f t="shared" ref="F48" si="62">F45-F46+F47</f>
        <v>420000</v>
      </c>
      <c r="G48" s="721">
        <f t="shared" ref="G48" si="63">G45-G46+G47</f>
        <v>420000</v>
      </c>
      <c r="H48" s="721">
        <f t="shared" ref="H48" si="64">H45-H46+H47</f>
        <v>420000</v>
      </c>
      <c r="I48" s="721">
        <f t="shared" ref="I48" si="65">I45-I46+I47</f>
        <v>420000</v>
      </c>
      <c r="J48" s="721">
        <f t="shared" ref="J48" si="66">J45-J46+J47</f>
        <v>420000</v>
      </c>
      <c r="K48" s="721">
        <f t="shared" ref="K48" si="67">K45-K46+K47</f>
        <v>420000</v>
      </c>
      <c r="L48" s="721">
        <f t="shared" ref="L48" si="68">L45-L46+L47</f>
        <v>420000</v>
      </c>
      <c r="M48" s="721">
        <f t="shared" ref="M48" si="69">M45-M46+M47</f>
        <v>420000</v>
      </c>
      <c r="N48" s="721">
        <f t="shared" ref="N48" si="70">N45-N46+N47</f>
        <v>420000</v>
      </c>
      <c r="O48" s="286"/>
    </row>
    <row r="49" spans="2:15" ht="16" x14ac:dyDescent="0.15">
      <c r="B49" s="320" t="s">
        <v>155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8"/>
    </row>
    <row r="50" spans="2:15" ht="16" x14ac:dyDescent="0.15">
      <c r="B50" s="322" t="s">
        <v>172</v>
      </c>
      <c r="C50" s="345">
        <f>VLOOKUP(B49,'Tab. 6'!$B$5:$F$16,4,0)</f>
        <v>50</v>
      </c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8"/>
    </row>
    <row r="51" spans="2:15" ht="16" x14ac:dyDescent="0.15">
      <c r="B51" s="160"/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8"/>
    </row>
    <row r="52" spans="2:15" ht="16" x14ac:dyDescent="0.15">
      <c r="B52" s="160" t="s">
        <v>134</v>
      </c>
      <c r="C52" s="346">
        <f>C50*'Tab. 7'!C66</f>
        <v>175000</v>
      </c>
      <c r="D52" s="347">
        <f>+C55</f>
        <v>187058.43819697999</v>
      </c>
      <c r="E52" s="347">
        <f t="shared" ref="E52:G52" si="71">+D55</f>
        <v>195965.98287302733</v>
      </c>
      <c r="F52" s="347">
        <f t="shared" si="71"/>
        <v>195965.98287302678</v>
      </c>
      <c r="G52" s="347">
        <f t="shared" si="71"/>
        <v>175000</v>
      </c>
      <c r="H52" s="347">
        <f>+G55</f>
        <v>227582.9787234042</v>
      </c>
      <c r="I52" s="347">
        <f t="shared" ref="I52:N52" si="72">+H55</f>
        <v>200082.9787234042</v>
      </c>
      <c r="J52" s="347">
        <f t="shared" si="72"/>
        <v>174999.99999999997</v>
      </c>
      <c r="K52" s="347">
        <f t="shared" si="72"/>
        <v>174999.99999999997</v>
      </c>
      <c r="L52" s="347">
        <f t="shared" si="72"/>
        <v>217238.29787234036</v>
      </c>
      <c r="M52" s="347">
        <f t="shared" si="72"/>
        <v>217238.29787234036</v>
      </c>
      <c r="N52" s="347">
        <f t="shared" si="72"/>
        <v>174999.99999999997</v>
      </c>
      <c r="O52" s="178"/>
    </row>
    <row r="53" spans="2:15" ht="16" x14ac:dyDescent="0.15">
      <c r="B53" s="280" t="s">
        <v>173</v>
      </c>
      <c r="C53" s="346">
        <f>$C50*'Tab. 7'!C67</f>
        <v>180418.66343582733</v>
      </c>
      <c r="D53" s="346">
        <f>$C50*'Tab. 7'!D67</f>
        <v>187058.43819697999</v>
      </c>
      <c r="E53" s="346">
        <f>$C50*'Tab. 7'!E67</f>
        <v>195965.98287302733</v>
      </c>
      <c r="F53" s="346">
        <f>$C50*'Tab. 7'!F67</f>
        <v>195965.98287302678</v>
      </c>
      <c r="G53" s="346">
        <f>$C50*'Tab. 7'!G67</f>
        <v>125171.26771997265</v>
      </c>
      <c r="H53" s="346">
        <f>$C50*'Tab. 7'!H67</f>
        <v>227582.97872340423</v>
      </c>
      <c r="I53" s="346">
        <f>$C50*'Tab. 7'!I67</f>
        <v>200082.97872340423</v>
      </c>
      <c r="J53" s="346">
        <f>$C50*'Tab. 7'!J67</f>
        <v>124136.17021276595</v>
      </c>
      <c r="K53" s="346">
        <f>$C50*'Tab. 7'!K67</f>
        <v>150423.32755831158</v>
      </c>
      <c r="L53" s="346">
        <f>$C50*'Tab. 7'!L67</f>
        <v>217238.29787234039</v>
      </c>
      <c r="M53" s="346">
        <f>$C50*'Tab. 7'!M67</f>
        <v>217238.29787234039</v>
      </c>
      <c r="N53" s="346">
        <f>$C50*'Tab. 7'!N67</f>
        <v>96636.170212765952</v>
      </c>
      <c r="O53" s="182">
        <f>SUM(C53:N53)</f>
        <v>2117918.5562741668</v>
      </c>
    </row>
    <row r="54" spans="2:15" ht="17" thickBot="1" x14ac:dyDescent="0.2">
      <c r="B54" s="280" t="s">
        <v>174</v>
      </c>
      <c r="C54" s="347">
        <f>$C50*'Tab. 7'!C69</f>
        <v>192477.10163280732</v>
      </c>
      <c r="D54" s="347">
        <f>$C50*'Tab. 7'!D69</f>
        <v>195965.98287302733</v>
      </c>
      <c r="E54" s="347">
        <f>$C50*'Tab. 7'!E69</f>
        <v>195965.98287302678</v>
      </c>
      <c r="F54" s="347">
        <f>$C50*'Tab. 7'!F69</f>
        <v>175000</v>
      </c>
      <c r="G54" s="347">
        <f>$C50*'Tab. 7'!G69</f>
        <v>177754.24644337685</v>
      </c>
      <c r="H54" s="347">
        <f>$C50*'Tab. 7'!H69</f>
        <v>200082.97872340423</v>
      </c>
      <c r="I54" s="347">
        <f>$C50*'Tab. 7'!I69</f>
        <v>175000</v>
      </c>
      <c r="J54" s="347">
        <f>$C50*'Tab. 7'!J69</f>
        <v>124136.17021276595</v>
      </c>
      <c r="K54" s="347">
        <f>$C50*'Tab. 7'!K69</f>
        <v>192661.62543065197</v>
      </c>
      <c r="L54" s="347">
        <f>$C50*'Tab. 7'!L69</f>
        <v>217238.29787234039</v>
      </c>
      <c r="M54" s="347">
        <f>$C50*'Tab. 7'!M69</f>
        <v>175000</v>
      </c>
      <c r="N54" s="347">
        <f>$C50*'Tab. 7'!N69</f>
        <v>119464.96866304673</v>
      </c>
      <c r="O54" s="182">
        <f>SUM(C54:N54)</f>
        <v>2140747.3547244472</v>
      </c>
    </row>
    <row r="55" spans="2:15" ht="17" thickBot="1" x14ac:dyDescent="0.2">
      <c r="B55" s="281" t="s">
        <v>139</v>
      </c>
      <c r="C55" s="721">
        <f>C52-C53+C54</f>
        <v>187058.43819697999</v>
      </c>
      <c r="D55" s="721">
        <f>D52-D53+D54</f>
        <v>195965.98287302733</v>
      </c>
      <c r="E55" s="721">
        <f t="shared" ref="E55" si="73">E52-E53+E54</f>
        <v>195965.98287302678</v>
      </c>
      <c r="F55" s="721">
        <f t="shared" ref="F55" si="74">F52-F53+F54</f>
        <v>175000</v>
      </c>
      <c r="G55" s="721">
        <f t="shared" ref="G55" si="75">G52-G53+G54</f>
        <v>227582.9787234042</v>
      </c>
      <c r="H55" s="721">
        <f t="shared" ref="H55" si="76">H52-H53+H54</f>
        <v>200082.9787234042</v>
      </c>
      <c r="I55" s="721">
        <f t="shared" ref="I55" si="77">I52-I53+I54</f>
        <v>174999.99999999997</v>
      </c>
      <c r="J55" s="721">
        <f t="shared" ref="J55" si="78">J52-J53+J54</f>
        <v>174999.99999999997</v>
      </c>
      <c r="K55" s="721">
        <f t="shared" ref="K55" si="79">K52-K53+K54</f>
        <v>217238.29787234036</v>
      </c>
      <c r="L55" s="721">
        <f t="shared" ref="L55" si="80">L52-L53+L54</f>
        <v>217238.29787234036</v>
      </c>
      <c r="M55" s="721">
        <f t="shared" ref="M55" si="81">M52-M53+M54</f>
        <v>174999.99999999997</v>
      </c>
      <c r="N55" s="721">
        <f t="shared" ref="N55" si="82">N52-N53+N54</f>
        <v>197828.79845028074</v>
      </c>
      <c r="O55" s="286"/>
    </row>
    <row r="56" spans="2:15" ht="16" x14ac:dyDescent="0.15">
      <c r="B56" s="351" t="s">
        <v>3</v>
      </c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278"/>
    </row>
    <row r="57" spans="2:15" ht="16" x14ac:dyDescent="0.15">
      <c r="B57" s="353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278"/>
    </row>
    <row r="58" spans="2:15" ht="16" x14ac:dyDescent="0.15">
      <c r="B58" s="353" t="s">
        <v>134</v>
      </c>
      <c r="C58" s="354">
        <f>+C10+C17+C24+C31+C38+C45+C52</f>
        <v>7503979</v>
      </c>
      <c r="D58" s="354">
        <f>+C61</f>
        <v>7503705.5929668611</v>
      </c>
      <c r="E58" s="354">
        <f t="shared" ref="E58:G58" si="83">+D61</f>
        <v>7545301.5435474282</v>
      </c>
      <c r="F58" s="354">
        <f t="shared" si="83"/>
        <v>7524772.0619585468</v>
      </c>
      <c r="G58" s="354">
        <f t="shared" si="83"/>
        <v>7491226.5193617037</v>
      </c>
      <c r="H58" s="354">
        <f>+G61</f>
        <v>7586418.6595744686</v>
      </c>
      <c r="I58" s="354">
        <f t="shared" ref="I58:N58" si="84">+H61</f>
        <v>7524111.7659574477</v>
      </c>
      <c r="J58" s="354">
        <f t="shared" si="84"/>
        <v>7483979.0300000012</v>
      </c>
      <c r="K58" s="354">
        <f t="shared" si="84"/>
        <v>7487738.782895077</v>
      </c>
      <c r="L58" s="354">
        <f t="shared" si="84"/>
        <v>7551560.2765957452</v>
      </c>
      <c r="M58" s="354">
        <f t="shared" si="84"/>
        <v>7558807.7659574468</v>
      </c>
      <c r="N58" s="354">
        <f t="shared" si="84"/>
        <v>7483979.0299999993</v>
      </c>
      <c r="O58" s="178"/>
    </row>
    <row r="59" spans="2:15" ht="16" x14ac:dyDescent="0.15">
      <c r="B59" s="355" t="s">
        <v>173</v>
      </c>
      <c r="C59" s="354">
        <f>+C11+C18+C25+C32+C39+C46+C53</f>
        <v>6454972.9892648738</v>
      </c>
      <c r="D59" s="354">
        <f t="shared" ref="D59:N59" si="85">+D11+D18+D25+D32+D39+D46+D53</f>
        <v>7244619.5196617702</v>
      </c>
      <c r="E59" s="354">
        <f t="shared" si="85"/>
        <v>8071259.9803096764</v>
      </c>
      <c r="F59" s="354">
        <f t="shared" si="85"/>
        <v>7475906.9303170638</v>
      </c>
      <c r="G59" s="354">
        <f t="shared" si="85"/>
        <v>7208302.9070385182</v>
      </c>
      <c r="H59" s="354">
        <f t="shared" si="85"/>
        <v>7916140.8658246798</v>
      </c>
      <c r="I59" s="354">
        <f t="shared" si="85"/>
        <v>6959593.6098246798</v>
      </c>
      <c r="J59" s="354">
        <f t="shared" si="85"/>
        <v>4317895.0177225536</v>
      </c>
      <c r="K59" s="354">
        <f t="shared" si="85"/>
        <v>7202611.6612173384</v>
      </c>
      <c r="L59" s="354">
        <f t="shared" si="85"/>
        <v>6672962.1062278468</v>
      </c>
      <c r="M59" s="354">
        <f t="shared" si="85"/>
        <v>7556316.2810144685</v>
      </c>
      <c r="N59" s="354">
        <f t="shared" si="85"/>
        <v>3361347.7617225535</v>
      </c>
      <c r="O59" s="182">
        <f>SUM(C59:N59)</f>
        <v>80441929.630146027</v>
      </c>
    </row>
    <row r="60" spans="2:15" ht="17" thickBot="1" x14ac:dyDescent="0.2">
      <c r="B60" s="355" t="s">
        <v>174</v>
      </c>
      <c r="C60" s="354">
        <f>+C12+C19+C26+C33+C40+C47+C54</f>
        <v>6454699.5822317349</v>
      </c>
      <c r="D60" s="354">
        <f t="shared" ref="D60:N60" si="86">+D12+D19+D26+D33+D40+D47+D54</f>
        <v>7286215.4702423373</v>
      </c>
      <c r="E60" s="354">
        <f t="shared" si="86"/>
        <v>8050730.4987207949</v>
      </c>
      <c r="F60" s="354">
        <f t="shared" si="86"/>
        <v>7442361.3877202207</v>
      </c>
      <c r="G60" s="354">
        <f t="shared" si="86"/>
        <v>7303495.0472512832</v>
      </c>
      <c r="H60" s="354">
        <f t="shared" si="86"/>
        <v>7853833.9722076589</v>
      </c>
      <c r="I60" s="354">
        <f t="shared" si="86"/>
        <v>6919460.8738672333</v>
      </c>
      <c r="J60" s="354">
        <f t="shared" si="86"/>
        <v>4321654.7706176294</v>
      </c>
      <c r="K60" s="354">
        <f t="shared" si="86"/>
        <v>7266433.1549180066</v>
      </c>
      <c r="L60" s="354">
        <f t="shared" si="86"/>
        <v>6680209.5955895483</v>
      </c>
      <c r="M60" s="354">
        <f t="shared" si="86"/>
        <v>7481487.5450570211</v>
      </c>
      <c r="N60" s="354">
        <f t="shared" si="86"/>
        <v>3418990.3838723521</v>
      </c>
      <c r="O60" s="182">
        <f>SUM(C60:N60)</f>
        <v>80479572.282295808</v>
      </c>
    </row>
    <row r="61" spans="2:15" ht="17" thickBot="1" x14ac:dyDescent="0.2">
      <c r="B61" s="356" t="s">
        <v>139</v>
      </c>
      <c r="C61" s="357">
        <f>C58-C59+C60</f>
        <v>7503705.5929668611</v>
      </c>
      <c r="D61" s="357">
        <f>D58-D59+D60</f>
        <v>7545301.5435474282</v>
      </c>
      <c r="E61" s="357">
        <f t="shared" ref="E61:N61" si="87">E58-E59+E60</f>
        <v>7524772.0619585468</v>
      </c>
      <c r="F61" s="357">
        <f t="shared" si="87"/>
        <v>7491226.5193617037</v>
      </c>
      <c r="G61" s="357">
        <f t="shared" si="87"/>
        <v>7586418.6595744686</v>
      </c>
      <c r="H61" s="357">
        <f t="shared" si="87"/>
        <v>7524111.7659574477</v>
      </c>
      <c r="I61" s="357">
        <f t="shared" si="87"/>
        <v>7483979.0300000012</v>
      </c>
      <c r="J61" s="357">
        <f t="shared" si="87"/>
        <v>7487738.782895077</v>
      </c>
      <c r="K61" s="357">
        <f t="shared" si="87"/>
        <v>7551560.2765957452</v>
      </c>
      <c r="L61" s="357">
        <f t="shared" si="87"/>
        <v>7558807.7659574468</v>
      </c>
      <c r="M61" s="357">
        <f t="shared" si="87"/>
        <v>7483979.0299999993</v>
      </c>
      <c r="N61" s="357">
        <f t="shared" si="87"/>
        <v>7541621.6521497983</v>
      </c>
      <c r="O61" s="286"/>
    </row>
    <row r="63" spans="2:15" x14ac:dyDescent="0.15">
      <c r="B63" s="378" t="s">
        <v>988</v>
      </c>
      <c r="C63" s="683">
        <f>C61-C58</f>
        <v>-273.40703313890845</v>
      </c>
      <c r="D63" s="683">
        <f t="shared" ref="D63:N63" si="88">D61-D58</f>
        <v>41595.950580567122</v>
      </c>
      <c r="E63" s="683">
        <f t="shared" si="88"/>
        <v>-20529.481588881463</v>
      </c>
      <c r="F63" s="683">
        <f t="shared" si="88"/>
        <v>-33545.542596843094</v>
      </c>
      <c r="G63" s="683">
        <f t="shared" si="88"/>
        <v>95192.140212764964</v>
      </c>
      <c r="H63" s="683">
        <f t="shared" si="88"/>
        <v>-62306.89361702092</v>
      </c>
      <c r="I63" s="683">
        <f t="shared" si="88"/>
        <v>-40132.735957446508</v>
      </c>
      <c r="J63" s="683">
        <f t="shared" si="88"/>
        <v>3759.7528950758278</v>
      </c>
      <c r="K63" s="683">
        <f t="shared" si="88"/>
        <v>63821.493700668216</v>
      </c>
      <c r="L63" s="683">
        <f t="shared" si="88"/>
        <v>7247.4893617015332</v>
      </c>
      <c r="M63" s="683">
        <f t="shared" si="88"/>
        <v>-74828.735957447439</v>
      </c>
      <c r="N63" s="683">
        <f t="shared" si="88"/>
        <v>57642.622149799019</v>
      </c>
    </row>
    <row r="66" spans="3:14" x14ac:dyDescent="0.15">
      <c r="C66" s="683">
        <f>C59-CE_1_mens!C15</f>
        <v>0</v>
      </c>
      <c r="D66" s="683">
        <f>D59-CE_1_mens!D15</f>
        <v>0</v>
      </c>
      <c r="E66" s="683">
        <f>E59-CE_1_mens!E15</f>
        <v>0</v>
      </c>
      <c r="F66" s="683">
        <f>F59-CE_1_mens!F15</f>
        <v>0</v>
      </c>
      <c r="G66" s="683">
        <f>G59-CE_1_mens!G15</f>
        <v>0</v>
      </c>
      <c r="H66" s="683">
        <f>H59-CE_1_mens!H15</f>
        <v>0</v>
      </c>
      <c r="I66" s="683">
        <f>I59-CE_1_mens!I15</f>
        <v>0</v>
      </c>
      <c r="J66" s="683">
        <f>J59-CE_1_mens!J15</f>
        <v>0</v>
      </c>
      <c r="K66" s="683">
        <f>K59-CE_1_mens!K15</f>
        <v>0</v>
      </c>
      <c r="L66" s="683">
        <f>L59-CE_1_mens!L15</f>
        <v>0</v>
      </c>
      <c r="M66" s="683">
        <f>M59-CE_1_mens!M15</f>
        <v>0</v>
      </c>
      <c r="N66" s="683">
        <f>N59-CE_1_mens!N15</f>
        <v>0</v>
      </c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>
    <pageSetUpPr fitToPage="1"/>
  </sheetPr>
  <dimension ref="B2:DG48"/>
  <sheetViews>
    <sheetView showGridLines="0" zoomScale="140" zoomScaleNormal="140" workbookViewId="0">
      <selection activeCell="B2" sqref="B2"/>
    </sheetView>
  </sheetViews>
  <sheetFormatPr baseColWidth="10" defaultColWidth="9.1640625" defaultRowHeight="16" x14ac:dyDescent="0.2"/>
  <cols>
    <col min="1" max="1" width="1.5" style="4" customWidth="1"/>
    <col min="2" max="2" width="20" style="4" customWidth="1"/>
    <col min="3" max="3" width="11.33203125" style="4" bestFit="1" customWidth="1"/>
    <col min="4" max="4" width="9.1640625" style="4"/>
    <col min="5" max="5" width="14" style="4" bestFit="1" customWidth="1"/>
    <col min="6" max="6" width="11.33203125" style="4" bestFit="1" customWidth="1"/>
    <col min="7" max="7" width="9.1640625" style="4"/>
    <col min="8" max="8" width="14" style="4" bestFit="1" customWidth="1"/>
    <col min="9" max="9" width="11.33203125" style="4" bestFit="1" customWidth="1"/>
    <col min="10" max="10" width="9.1640625" style="4"/>
    <col min="11" max="11" width="14" style="4" bestFit="1" customWidth="1"/>
    <col min="12" max="12" width="11.33203125" style="4" bestFit="1" customWidth="1"/>
    <col min="13" max="13" width="9.1640625" style="4"/>
    <col min="14" max="14" width="14" style="4" bestFit="1" customWidth="1"/>
    <col min="15" max="15" width="11.33203125" style="4" bestFit="1" customWidth="1"/>
    <col min="16" max="16" width="9.1640625" style="4"/>
    <col min="17" max="17" width="14" style="4" bestFit="1" customWidth="1"/>
    <col min="18" max="18" width="11.33203125" style="4" bestFit="1" customWidth="1"/>
    <col min="19" max="19" width="9.1640625" style="4"/>
    <col min="20" max="20" width="14" style="4" bestFit="1" customWidth="1"/>
    <col min="21" max="21" width="12.33203125" style="4" bestFit="1" customWidth="1"/>
    <col min="22" max="22" width="9.1640625" style="4"/>
    <col min="23" max="23" width="14" style="4" bestFit="1" customWidth="1"/>
    <col min="24" max="24" width="2.33203125" style="14" customWidth="1"/>
    <col min="25" max="25" width="15" style="4" bestFit="1" customWidth="1"/>
    <col min="26" max="26" width="8.6640625" style="4" bestFit="1" customWidth="1"/>
    <col min="27" max="27" width="16.5" style="4" bestFit="1" customWidth="1"/>
    <col min="28" max="28" width="8.6640625" style="4" bestFit="1" customWidth="1"/>
    <col min="29" max="29" width="10.33203125" style="4" bestFit="1" customWidth="1"/>
    <col min="30" max="30" width="8.6640625" style="4" bestFit="1" customWidth="1"/>
    <col min="31" max="31" width="10.33203125" style="4" bestFit="1" customWidth="1"/>
    <col min="32" max="33" width="8.6640625" style="4" bestFit="1" customWidth="1"/>
    <col min="34" max="34" width="12.83203125" style="4" bestFit="1" customWidth="1"/>
    <col min="35" max="35" width="9.1640625" style="4"/>
    <col min="36" max="36" width="14" style="4" bestFit="1" customWidth="1"/>
    <col min="37" max="16384" width="9.1640625" style="4"/>
  </cols>
  <sheetData>
    <row r="2" spans="2:24" x14ac:dyDescent="0.2">
      <c r="B2" s="84" t="s">
        <v>178</v>
      </c>
    </row>
    <row r="3" spans="2:24" x14ac:dyDescent="0.2">
      <c r="B3" s="13"/>
      <c r="E3" s="50"/>
    </row>
    <row r="4" spans="2:24" ht="17" thickBot="1" x14ac:dyDescent="0.25"/>
    <row r="5" spans="2:24" x14ac:dyDescent="0.2">
      <c r="B5" s="15"/>
      <c r="C5" s="792" t="s">
        <v>99</v>
      </c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793"/>
      <c r="W5" s="794"/>
      <c r="X5" s="16"/>
    </row>
    <row r="6" spans="2:24" x14ac:dyDescent="0.2">
      <c r="B6" s="17"/>
      <c r="C6" s="796" t="s">
        <v>29</v>
      </c>
      <c r="D6" s="797"/>
      <c r="E6" s="797"/>
      <c r="F6" s="797" t="s">
        <v>30</v>
      </c>
      <c r="G6" s="797"/>
      <c r="H6" s="797"/>
      <c r="I6" s="797" t="s">
        <v>31</v>
      </c>
      <c r="J6" s="797"/>
      <c r="K6" s="797"/>
      <c r="L6" s="797" t="s">
        <v>177</v>
      </c>
      <c r="M6" s="797"/>
      <c r="N6" s="797"/>
      <c r="O6" s="797" t="s">
        <v>33</v>
      </c>
      <c r="P6" s="797"/>
      <c r="Q6" s="797"/>
      <c r="R6" s="797" t="s">
        <v>34</v>
      </c>
      <c r="S6" s="797"/>
      <c r="T6" s="772"/>
      <c r="U6" s="783" t="s">
        <v>2</v>
      </c>
      <c r="V6" s="784"/>
      <c r="W6" s="785"/>
      <c r="X6" s="18"/>
    </row>
    <row r="7" spans="2:24" x14ac:dyDescent="0.2">
      <c r="B7" s="19"/>
      <c r="C7" s="20" t="s">
        <v>0</v>
      </c>
      <c r="D7" s="21" t="s">
        <v>176</v>
      </c>
      <c r="E7" s="22" t="s">
        <v>1</v>
      </c>
      <c r="F7" s="266" t="s">
        <v>0</v>
      </c>
      <c r="G7" s="266" t="s">
        <v>176</v>
      </c>
      <c r="H7" s="267" t="s">
        <v>1</v>
      </c>
      <c r="I7" s="265" t="s">
        <v>0</v>
      </c>
      <c r="J7" s="266" t="s">
        <v>176</v>
      </c>
      <c r="K7" s="267" t="s">
        <v>1</v>
      </c>
      <c r="L7" s="265" t="s">
        <v>0</v>
      </c>
      <c r="M7" s="266" t="s">
        <v>176</v>
      </c>
      <c r="N7" s="267" t="s">
        <v>1</v>
      </c>
      <c r="O7" s="265" t="s">
        <v>0</v>
      </c>
      <c r="P7" s="266" t="s">
        <v>176</v>
      </c>
      <c r="Q7" s="267" t="s">
        <v>1</v>
      </c>
      <c r="R7" s="265" t="s">
        <v>0</v>
      </c>
      <c r="S7" s="266" t="s">
        <v>176</v>
      </c>
      <c r="T7" s="26" t="s">
        <v>1</v>
      </c>
      <c r="U7" s="27" t="s">
        <v>0</v>
      </c>
      <c r="V7" s="27" t="s">
        <v>176</v>
      </c>
      <c r="W7" s="28" t="s">
        <v>1</v>
      </c>
      <c r="X7" s="18"/>
    </row>
    <row r="8" spans="2:24" x14ac:dyDescent="0.2">
      <c r="B8" s="29"/>
      <c r="C8" s="19"/>
      <c r="D8" s="30"/>
      <c r="E8" s="31"/>
      <c r="F8" s="30"/>
      <c r="G8" s="30"/>
      <c r="H8" s="31"/>
      <c r="I8" s="32"/>
      <c r="J8" s="30"/>
      <c r="K8" s="31"/>
      <c r="L8" s="32"/>
      <c r="M8" s="30"/>
      <c r="N8" s="31"/>
      <c r="O8" s="32"/>
      <c r="P8" s="30"/>
      <c r="Q8" s="31"/>
      <c r="R8" s="30"/>
      <c r="S8" s="30"/>
      <c r="T8" s="30"/>
      <c r="U8" s="33"/>
      <c r="V8" s="34"/>
      <c r="W8" s="35"/>
      <c r="X8" s="36"/>
    </row>
    <row r="9" spans="2:24" x14ac:dyDescent="0.2">
      <c r="B9" s="19" t="s">
        <v>102</v>
      </c>
      <c r="C9" s="37">
        <f>'Tab 3'!C9</f>
        <v>18863.320540150991</v>
      </c>
      <c r="D9" s="66">
        <f>'Tab. 6'!$F$8</f>
        <v>108.74965</v>
      </c>
      <c r="E9" s="69">
        <f>C9*D9</f>
        <v>2051379.5065792312</v>
      </c>
      <c r="F9" s="38">
        <f>'Tab 3'!F9</f>
        <v>20959.245044612213</v>
      </c>
      <c r="G9" s="66">
        <f>'Tab. 6'!$F$8</f>
        <v>108.74965</v>
      </c>
      <c r="H9" s="69">
        <f>F9*G9</f>
        <v>2279310.5628658128</v>
      </c>
      <c r="I9" s="38">
        <f>'Tab 3'!I9</f>
        <v>24103.131801304044</v>
      </c>
      <c r="J9" s="66">
        <f>'Tab. 6'!$F$8</f>
        <v>108.74965</v>
      </c>
      <c r="K9" s="69">
        <f>I9*J9</f>
        <v>2621207.1472956846</v>
      </c>
      <c r="L9" s="38">
        <f>'Tab 3'!L9</f>
        <v>22007.207296842822</v>
      </c>
      <c r="M9" s="66">
        <f>'Tab. 6'!$F$8</f>
        <v>108.74965</v>
      </c>
      <c r="N9" s="69">
        <f>L9*M9</f>
        <v>2393276.0910091032</v>
      </c>
      <c r="O9" s="38">
        <f>'Tab 3'!O9</f>
        <v>22007.207296842822</v>
      </c>
      <c r="P9" s="66">
        <f>'Tab. 6'!$F$8</f>
        <v>108.74965</v>
      </c>
      <c r="Q9" s="69">
        <f>O9*P9</f>
        <v>2393276.0910091032</v>
      </c>
      <c r="R9" s="38">
        <f>'Tab 3'!R9</f>
        <v>23055.169549073435</v>
      </c>
      <c r="S9" s="66">
        <f>'Tab. 6'!$F$8</f>
        <v>108.74965</v>
      </c>
      <c r="T9" s="69">
        <f>R9*S9</f>
        <v>2507241.6191523941</v>
      </c>
      <c r="U9" s="40">
        <f>C9+F9+I9+L9+O9+R9</f>
        <v>130995.28152882634</v>
      </c>
      <c r="V9" s="71">
        <f>IFERROR(W9/U9,0)</f>
        <v>108.74965</v>
      </c>
      <c r="W9" s="74">
        <f>E9+H9+K9+N9+Q9+T9</f>
        <v>14245691.01791133</v>
      </c>
      <c r="X9" s="41"/>
    </row>
    <row r="10" spans="2:24" x14ac:dyDescent="0.2">
      <c r="B10" s="19" t="s">
        <v>103</v>
      </c>
      <c r="C10" s="37">
        <f>'Tab 3'!C10</f>
        <v>33131.005957446803</v>
      </c>
      <c r="D10" s="66">
        <f>'Tab. 6'!$F$8</f>
        <v>108.74965</v>
      </c>
      <c r="E10" s="69">
        <f>C10*D10</f>
        <v>3602985.302020255</v>
      </c>
      <c r="F10" s="38">
        <f>'Tab 3'!F10</f>
        <v>36812.228841607561</v>
      </c>
      <c r="G10" s="66">
        <f>'Tab. 6'!$F$8</f>
        <v>108.74965</v>
      </c>
      <c r="H10" s="69">
        <f>F10*G10</f>
        <v>4003317.0022447277</v>
      </c>
      <c r="I10" s="38">
        <f>'Tab 3'!I10</f>
        <v>42334.063167848697</v>
      </c>
      <c r="J10" s="66">
        <f>'Tab. 6'!$F$8</f>
        <v>108.74965</v>
      </c>
      <c r="K10" s="69">
        <f>I10*J10</f>
        <v>4603814.5525814369</v>
      </c>
      <c r="L10" s="38">
        <f>'Tab 3'!L10</f>
        <v>38652.84028368794</v>
      </c>
      <c r="M10" s="66">
        <f>'Tab. 6'!$F$8</f>
        <v>108.74965</v>
      </c>
      <c r="N10" s="69">
        <f>L10*M10</f>
        <v>4203482.8523569638</v>
      </c>
      <c r="O10" s="38">
        <f>'Tab 3'!O10</f>
        <v>38652.84028368794</v>
      </c>
      <c r="P10" s="66">
        <f>'Tab. 6'!$F$8</f>
        <v>108.74965</v>
      </c>
      <c r="Q10" s="69">
        <f>O10*P10</f>
        <v>4203482.8523569638</v>
      </c>
      <c r="R10" s="38">
        <f>'Tab 3'!R10</f>
        <v>40493.451725768318</v>
      </c>
      <c r="S10" s="66">
        <f>'Tab. 6'!$F$8</f>
        <v>108.74965</v>
      </c>
      <c r="T10" s="69">
        <f>R10*S10</f>
        <v>4403648.7024692008</v>
      </c>
      <c r="U10" s="40">
        <f>C10+F10+I10+L10+O10+R10</f>
        <v>230076.43026004726</v>
      </c>
      <c r="V10" s="71">
        <f t="shared" ref="V10:V12" si="0">IFERROR(W10/U10,0)</f>
        <v>108.74965</v>
      </c>
      <c r="W10" s="74">
        <f>E10+H10+K10+N10+Q10+T10</f>
        <v>25020731.264029548</v>
      </c>
      <c r="X10" s="41"/>
    </row>
    <row r="11" spans="2:24" x14ac:dyDescent="0.2">
      <c r="B11" s="42" t="s">
        <v>104</v>
      </c>
      <c r="C11" s="37">
        <f>'Tab 3'!C11</f>
        <v>293.61702127659601</v>
      </c>
      <c r="D11" s="66">
        <f>'Tab. 6'!$F$8</f>
        <v>108.74965</v>
      </c>
      <c r="E11" s="69">
        <f>C11*D11</f>
        <v>31930.748297872371</v>
      </c>
      <c r="F11" s="38">
        <f>'Tab 3'!F11</f>
        <v>326.2411347517733</v>
      </c>
      <c r="G11" s="66">
        <f>'Tab. 6'!$F$8</f>
        <v>108.74965</v>
      </c>
      <c r="H11" s="69">
        <f>F11*G11</f>
        <v>35478.609219858183</v>
      </c>
      <c r="I11" s="38">
        <f>'Tab 3'!I11</f>
        <v>375.1773049645393</v>
      </c>
      <c r="J11" s="66">
        <f>'Tab. 6'!$F$8</f>
        <v>108.74965</v>
      </c>
      <c r="K11" s="69">
        <f>I11*J11</f>
        <v>40800.400602836911</v>
      </c>
      <c r="L11" s="38">
        <f>'Tab 3'!L11</f>
        <v>342.55319148936201</v>
      </c>
      <c r="M11" s="66">
        <f>'Tab. 6'!$F$8</f>
        <v>108.74965</v>
      </c>
      <c r="N11" s="69">
        <f>L11*M11</f>
        <v>37252.5396808511</v>
      </c>
      <c r="O11" s="38">
        <f>'Tab 3'!O11</f>
        <v>342.55319148936201</v>
      </c>
      <c r="P11" s="66">
        <f>'Tab. 6'!$F$8</f>
        <v>108.74965</v>
      </c>
      <c r="Q11" s="69">
        <f>O11*P11</f>
        <v>37252.5396808511</v>
      </c>
      <c r="R11" s="38">
        <f>'Tab 3'!R11</f>
        <v>358.86524822695065</v>
      </c>
      <c r="S11" s="66">
        <f>'Tab. 6'!$F$8</f>
        <v>108.74965</v>
      </c>
      <c r="T11" s="69">
        <f>R11*S11</f>
        <v>39026.470141844002</v>
      </c>
      <c r="U11" s="40">
        <f>C11+F11+I11+L11+O11+R11</f>
        <v>2039.0070921985832</v>
      </c>
      <c r="V11" s="71">
        <f t="shared" si="0"/>
        <v>108.74965000000002</v>
      </c>
      <c r="W11" s="74">
        <f>E11+H11+K11+N11+Q11+T11</f>
        <v>221741.30762411369</v>
      </c>
      <c r="X11" s="41"/>
    </row>
    <row r="12" spans="2:24" s="13" customFormat="1" ht="17" thickBot="1" x14ac:dyDescent="0.25">
      <c r="B12" s="43" t="s">
        <v>92</v>
      </c>
      <c r="C12" s="44">
        <f>SUM(C9:C11)</f>
        <v>52287.943518874388</v>
      </c>
      <c r="D12" s="67">
        <f>E12/C12</f>
        <v>108.74965</v>
      </c>
      <c r="E12" s="70">
        <f>SUM(E9:E11)</f>
        <v>5686295.556897358</v>
      </c>
      <c r="F12" s="45">
        <f>SUM(F9:F11)</f>
        <v>58097.71502097154</v>
      </c>
      <c r="G12" s="67">
        <f>H12/F12</f>
        <v>108.74965000000002</v>
      </c>
      <c r="H12" s="70">
        <f>SUM(H9:H11)</f>
        <v>6318106.1743303984</v>
      </c>
      <c r="I12" s="45">
        <f>SUM(I9:I11)</f>
        <v>66812.372274117282</v>
      </c>
      <c r="J12" s="67">
        <f>K12/I12</f>
        <v>108.74965</v>
      </c>
      <c r="K12" s="70">
        <f>SUM(K9:K11)</f>
        <v>7265822.1004799586</v>
      </c>
      <c r="L12" s="45">
        <f>SUM(L9:L11)</f>
        <v>61002.600772020131</v>
      </c>
      <c r="M12" s="67">
        <f>N12/L12</f>
        <v>108.74964999999999</v>
      </c>
      <c r="N12" s="70">
        <f>SUM(N9:N11)</f>
        <v>6634011.4830469182</v>
      </c>
      <c r="O12" s="45">
        <f>SUM(O9:O11)</f>
        <v>61002.600772020131</v>
      </c>
      <c r="P12" s="67">
        <f>Q12/O12</f>
        <v>108.74964999999999</v>
      </c>
      <c r="Q12" s="70">
        <f>SUM(Q9:Q11)</f>
        <v>6634011.4830469182</v>
      </c>
      <c r="R12" s="45">
        <f>SUM(R9:R11)</f>
        <v>63907.486523068706</v>
      </c>
      <c r="S12" s="67">
        <f>T12/R12</f>
        <v>108.74965</v>
      </c>
      <c r="T12" s="70">
        <f>SUM(T9:T11)</f>
        <v>6949916.7917634388</v>
      </c>
      <c r="U12" s="44">
        <f>SUM(U9:U11)</f>
        <v>363110.71888107219</v>
      </c>
      <c r="V12" s="72">
        <f t="shared" si="0"/>
        <v>108.74965</v>
      </c>
      <c r="W12" s="75">
        <f>SUM(W9:W11)</f>
        <v>39488163.589564994</v>
      </c>
      <c r="X12" s="47"/>
    </row>
    <row r="13" spans="2:24" x14ac:dyDescent="0.2">
      <c r="B13" s="19"/>
      <c r="C13" s="19"/>
      <c r="D13" s="66"/>
      <c r="E13" s="69"/>
      <c r="F13" s="30"/>
      <c r="G13" s="66"/>
      <c r="H13" s="69"/>
      <c r="I13" s="30"/>
      <c r="J13" s="66"/>
      <c r="K13" s="69"/>
      <c r="L13" s="30"/>
      <c r="M13" s="66"/>
      <c r="N13" s="69"/>
      <c r="O13" s="30"/>
      <c r="P13" s="66"/>
      <c r="Q13" s="69"/>
      <c r="R13" s="30"/>
      <c r="S13" s="66"/>
      <c r="T13" s="69"/>
      <c r="U13" s="33"/>
      <c r="V13" s="73"/>
      <c r="W13" s="74"/>
      <c r="X13" s="36"/>
    </row>
    <row r="14" spans="2:24" x14ac:dyDescent="0.2">
      <c r="B14" s="29"/>
      <c r="C14" s="19"/>
      <c r="D14" s="66"/>
      <c r="E14" s="69"/>
      <c r="F14" s="30"/>
      <c r="G14" s="66"/>
      <c r="H14" s="69"/>
      <c r="I14" s="30"/>
      <c r="J14" s="66"/>
      <c r="K14" s="69"/>
      <c r="L14" s="30"/>
      <c r="M14" s="66"/>
      <c r="N14" s="69"/>
      <c r="O14" s="30"/>
      <c r="P14" s="66"/>
      <c r="Q14" s="69"/>
      <c r="R14" s="30"/>
      <c r="S14" s="66"/>
      <c r="T14" s="69"/>
      <c r="U14" s="33"/>
      <c r="V14" s="73"/>
      <c r="W14" s="74"/>
      <c r="X14" s="36"/>
    </row>
    <row r="15" spans="2:24" x14ac:dyDescent="0.2">
      <c r="B15" s="19" t="s">
        <v>102</v>
      </c>
      <c r="C15" s="37">
        <f>'Tab 3'!C15</f>
        <v>1198.375657844887</v>
      </c>
      <c r="D15" s="66">
        <f>'Tab. 6'!$F$17</f>
        <v>189</v>
      </c>
      <c r="E15" s="69">
        <f>C15*D15</f>
        <v>226492.99933268363</v>
      </c>
      <c r="F15" s="38">
        <f>'Tab 3'!F15</f>
        <v>1331.528508716541</v>
      </c>
      <c r="G15" s="66">
        <f>'Tab. 6'!$F$17</f>
        <v>189</v>
      </c>
      <c r="H15" s="69">
        <f>F15*G15</f>
        <v>251658.88814742625</v>
      </c>
      <c r="I15" s="38">
        <f>'Tab 3'!I15</f>
        <v>1531.257785024022</v>
      </c>
      <c r="J15" s="66">
        <f>'Tab. 6'!$F$17</f>
        <v>189</v>
      </c>
      <c r="K15" s="69">
        <f>I15*J15</f>
        <v>289407.72136954014</v>
      </c>
      <c r="L15" s="38">
        <f>'Tab 3'!L15</f>
        <v>1398.1049341523681</v>
      </c>
      <c r="M15" s="66">
        <f>'Tab. 6'!$F$17</f>
        <v>189</v>
      </c>
      <c r="N15" s="69">
        <f>L15*M15</f>
        <v>264241.83255479758</v>
      </c>
      <c r="O15" s="38">
        <f>'Tab 3'!O15</f>
        <v>1398.1049341523681</v>
      </c>
      <c r="P15" s="66">
        <f>'Tab. 6'!$F$17</f>
        <v>189</v>
      </c>
      <c r="Q15" s="69">
        <f>O15*P15</f>
        <v>264241.83255479758</v>
      </c>
      <c r="R15" s="38">
        <f>'Tab 3'!R15</f>
        <v>1464.6813595881949</v>
      </c>
      <c r="S15" s="66">
        <f>'Tab. 6'!$F$17</f>
        <v>189</v>
      </c>
      <c r="T15" s="69">
        <f>R15*S15</f>
        <v>276824.77696216886</v>
      </c>
      <c r="U15" s="40">
        <f>C15+F15+I15+L15+O15+R15</f>
        <v>8322.0531794783819</v>
      </c>
      <c r="V15" s="71">
        <f>IFERROR(W15/U15,0)</f>
        <v>188.99999999999997</v>
      </c>
      <c r="W15" s="74">
        <f>E15+H15+K15+N15+Q15+T15</f>
        <v>1572868.050921414</v>
      </c>
      <c r="X15" s="41"/>
    </row>
    <row r="16" spans="2:24" x14ac:dyDescent="0.2">
      <c r="B16" s="19" t="s">
        <v>103</v>
      </c>
      <c r="C16" s="37">
        <f>'Tab 3'!C16</f>
        <v>0</v>
      </c>
      <c r="D16" s="66">
        <f>'Tab. 6'!$F$17</f>
        <v>189</v>
      </c>
      <c r="E16" s="69">
        <f>C16*D16</f>
        <v>0</v>
      </c>
      <c r="F16" s="38">
        <f>'Tab 3'!F16</f>
        <v>0</v>
      </c>
      <c r="G16" s="66">
        <f>'Tab. 6'!$F$17</f>
        <v>189</v>
      </c>
      <c r="H16" s="69">
        <f>F16*G16</f>
        <v>0</v>
      </c>
      <c r="I16" s="38">
        <f>'Tab 3'!I16</f>
        <v>0</v>
      </c>
      <c r="J16" s="66">
        <f>'Tab. 6'!$F$17</f>
        <v>189</v>
      </c>
      <c r="K16" s="69">
        <f>I16*J16</f>
        <v>0</v>
      </c>
      <c r="L16" s="38">
        <f>'Tab 3'!L16</f>
        <v>0</v>
      </c>
      <c r="M16" s="66">
        <f>'Tab. 6'!$F$17</f>
        <v>189</v>
      </c>
      <c r="N16" s="69">
        <f>L16*M16</f>
        <v>0</v>
      </c>
      <c r="O16" s="38">
        <f>'Tab 3'!O16</f>
        <v>0</v>
      </c>
      <c r="P16" s="66">
        <f>'Tab. 6'!$F$17</f>
        <v>189</v>
      </c>
      <c r="Q16" s="69">
        <f>O16*P16</f>
        <v>0</v>
      </c>
      <c r="R16" s="38">
        <f>'Tab 3'!R16</f>
        <v>0</v>
      </c>
      <c r="S16" s="66">
        <f>'Tab. 6'!$F$17</f>
        <v>189</v>
      </c>
      <c r="T16" s="69">
        <f>R16*S16</f>
        <v>0</v>
      </c>
      <c r="U16" s="40">
        <f>C16+F16+I16+L16+O16+R16</f>
        <v>0</v>
      </c>
      <c r="V16" s="71">
        <f t="shared" ref="V16:V18" si="1">IFERROR(W16/U16,0)</f>
        <v>0</v>
      </c>
      <c r="W16" s="74">
        <f>E16+H16+K16+N16+Q16+T16</f>
        <v>0</v>
      </c>
      <c r="X16" s="41"/>
    </row>
    <row r="17" spans="2:111" x14ac:dyDescent="0.2">
      <c r="B17" s="42" t="s">
        <v>104</v>
      </c>
      <c r="C17" s="37">
        <f>'Tab 3'!C17</f>
        <v>2008.3404255319151</v>
      </c>
      <c r="D17" s="66">
        <f>'Tab. 6'!$F$17</f>
        <v>189</v>
      </c>
      <c r="E17" s="69">
        <f>C17*D17</f>
        <v>379576.34042553196</v>
      </c>
      <c r="F17" s="38">
        <f>'Tab 3'!F17</f>
        <v>2231.489361702128</v>
      </c>
      <c r="G17" s="66">
        <f>'Tab. 6'!$F$17</f>
        <v>189</v>
      </c>
      <c r="H17" s="69">
        <f>F17*G17</f>
        <v>421751.48936170217</v>
      </c>
      <c r="I17" s="38">
        <f>'Tab 3'!I17</f>
        <v>2566.2127659574471</v>
      </c>
      <c r="J17" s="66">
        <f>'Tab. 6'!$F$17</f>
        <v>189</v>
      </c>
      <c r="K17" s="69">
        <f>I17*J17</f>
        <v>485014.21276595752</v>
      </c>
      <c r="L17" s="38">
        <f>'Tab 3'!L17</f>
        <v>2343.0638297872342</v>
      </c>
      <c r="M17" s="66">
        <f>'Tab. 6'!$F$17</f>
        <v>189</v>
      </c>
      <c r="N17" s="69">
        <f>L17*M17</f>
        <v>442839.06382978725</v>
      </c>
      <c r="O17" s="38">
        <f>'Tab 3'!O17</f>
        <v>2343.0638297872342</v>
      </c>
      <c r="P17" s="66">
        <f>'Tab. 6'!$F$17</f>
        <v>189</v>
      </c>
      <c r="Q17" s="69">
        <f>O17*P17</f>
        <v>442839.06382978725</v>
      </c>
      <c r="R17" s="38">
        <f>'Tab 3'!R17</f>
        <v>2454.6382978723404</v>
      </c>
      <c r="S17" s="66">
        <f>'Tab. 6'!$F$17</f>
        <v>189</v>
      </c>
      <c r="T17" s="69">
        <f>R17*S17</f>
        <v>463926.63829787233</v>
      </c>
      <c r="U17" s="40">
        <f>C17+F17+I17+L17+O17+R17</f>
        <v>13946.808510638297</v>
      </c>
      <c r="V17" s="71">
        <f t="shared" si="1"/>
        <v>189.00000000000003</v>
      </c>
      <c r="W17" s="74">
        <f>E17+H17+K17+N17+Q17+T17</f>
        <v>2635946.8085106383</v>
      </c>
      <c r="X17" s="41"/>
    </row>
    <row r="18" spans="2:111" ht="17" thickBot="1" x14ac:dyDescent="0.25">
      <c r="B18" s="43" t="s">
        <v>93</v>
      </c>
      <c r="C18" s="44">
        <f>SUM(C15:C17)</f>
        <v>3206.7160833768021</v>
      </c>
      <c r="D18" s="67">
        <f>E18/C18</f>
        <v>189</v>
      </c>
      <c r="E18" s="70">
        <f>SUM(E15:E17)</f>
        <v>606069.33975821559</v>
      </c>
      <c r="F18" s="45">
        <f>SUM(F15:F17)</f>
        <v>3563.0178704186692</v>
      </c>
      <c r="G18" s="67">
        <f>H18/F18</f>
        <v>188.99999999999997</v>
      </c>
      <c r="H18" s="70">
        <f>SUM(H15:H17)</f>
        <v>673410.37750912842</v>
      </c>
      <c r="I18" s="45">
        <f>SUM(I15:I17)</f>
        <v>4097.4705509814694</v>
      </c>
      <c r="J18" s="67">
        <f>K18/I18</f>
        <v>189</v>
      </c>
      <c r="K18" s="70">
        <f>SUM(K15:K17)</f>
        <v>774421.93413549766</v>
      </c>
      <c r="L18" s="45">
        <f>SUM(L15:L17)</f>
        <v>3741.1687639396023</v>
      </c>
      <c r="M18" s="67">
        <f>N18/L18</f>
        <v>189</v>
      </c>
      <c r="N18" s="70">
        <f>SUM(N15:N17)</f>
        <v>707080.89638458483</v>
      </c>
      <c r="O18" s="45">
        <f>SUM(O15:O17)</f>
        <v>3741.1687639396023</v>
      </c>
      <c r="P18" s="67">
        <f>Q18/O18</f>
        <v>189</v>
      </c>
      <c r="Q18" s="70">
        <f>SUM(Q15:Q17)</f>
        <v>707080.89638458483</v>
      </c>
      <c r="R18" s="45">
        <f>SUM(R15:R17)</f>
        <v>3919.3196574605354</v>
      </c>
      <c r="S18" s="67">
        <f>T18/R18</f>
        <v>189</v>
      </c>
      <c r="T18" s="70">
        <f>SUM(T15:T17)</f>
        <v>740751.41526004113</v>
      </c>
      <c r="U18" s="44">
        <f>SUM(U15:U17)</f>
        <v>22268.861690116679</v>
      </c>
      <c r="V18" s="72">
        <f t="shared" si="1"/>
        <v>189.00000000000003</v>
      </c>
      <c r="W18" s="75">
        <f>SUM(W15:W17)</f>
        <v>4208814.8594320528</v>
      </c>
      <c r="X18" s="47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</row>
    <row r="19" spans="2:111" x14ac:dyDescent="0.2">
      <c r="B19" s="19"/>
      <c r="C19" s="19"/>
      <c r="D19" s="66"/>
      <c r="E19" s="69"/>
      <c r="F19" s="30"/>
      <c r="G19" s="66"/>
      <c r="H19" s="69"/>
      <c r="I19" s="30"/>
      <c r="J19" s="66"/>
      <c r="K19" s="69"/>
      <c r="L19" s="30"/>
      <c r="M19" s="66"/>
      <c r="N19" s="69"/>
      <c r="O19" s="30"/>
      <c r="P19" s="66"/>
      <c r="Q19" s="69"/>
      <c r="R19" s="30"/>
      <c r="S19" s="66"/>
      <c r="T19" s="69"/>
      <c r="U19" s="33"/>
      <c r="V19" s="73"/>
      <c r="W19" s="74"/>
      <c r="X19" s="47"/>
      <c r="Y19" s="50"/>
      <c r="Z19" s="51"/>
      <c r="AA19" s="51"/>
    </row>
    <row r="20" spans="2:111" x14ac:dyDescent="0.2">
      <c r="B20" s="29"/>
      <c r="C20" s="19"/>
      <c r="D20" s="66"/>
      <c r="E20" s="69"/>
      <c r="F20" s="30"/>
      <c r="G20" s="66"/>
      <c r="H20" s="69"/>
      <c r="I20" s="30"/>
      <c r="J20" s="66"/>
      <c r="K20" s="69"/>
      <c r="L20" s="30"/>
      <c r="M20" s="66"/>
      <c r="N20" s="69"/>
      <c r="O20" s="30"/>
      <c r="P20" s="66"/>
      <c r="Q20" s="69"/>
      <c r="R20" s="30"/>
      <c r="S20" s="66"/>
      <c r="T20" s="69"/>
      <c r="U20" s="33"/>
      <c r="V20" s="73"/>
      <c r="W20" s="74"/>
      <c r="X20" s="47"/>
      <c r="Y20" s="50"/>
      <c r="Z20" s="51"/>
      <c r="AA20" s="51"/>
    </row>
    <row r="21" spans="2:111" x14ac:dyDescent="0.2">
      <c r="B21" s="19" t="s">
        <v>102</v>
      </c>
      <c r="C21" s="48">
        <f>C9+C15</f>
        <v>20061.69619799588</v>
      </c>
      <c r="D21" s="68">
        <f>E21/C21</f>
        <v>113.54336559734512</v>
      </c>
      <c r="E21" s="69">
        <f>E9+E15</f>
        <v>2277872.5059119146</v>
      </c>
      <c r="F21" s="38">
        <f>F9+F15</f>
        <v>22290.773553328752</v>
      </c>
      <c r="G21" s="68">
        <f>H21/F21</f>
        <v>113.54336559734516</v>
      </c>
      <c r="H21" s="69">
        <f>H9+H15</f>
        <v>2530969.4510132391</v>
      </c>
      <c r="I21" s="38">
        <f>I9+I15</f>
        <v>25634.389586328067</v>
      </c>
      <c r="J21" s="68">
        <f>K21/I21</f>
        <v>113.54336559734514</v>
      </c>
      <c r="K21" s="69">
        <f>K9+K15</f>
        <v>2910614.8686652249</v>
      </c>
      <c r="L21" s="38">
        <f>L9+L15</f>
        <v>23405.31223099519</v>
      </c>
      <c r="M21" s="68">
        <f>N21/L21</f>
        <v>113.54336559734514</v>
      </c>
      <c r="N21" s="69">
        <f>N9+N15</f>
        <v>2657517.9235639009</v>
      </c>
      <c r="O21" s="38">
        <f>O9+O15</f>
        <v>23405.31223099519</v>
      </c>
      <c r="P21" s="68">
        <f>Q21/O21</f>
        <v>113.54336559734514</v>
      </c>
      <c r="Q21" s="69">
        <f>Q9+Q15</f>
        <v>2657517.9235639009</v>
      </c>
      <c r="R21" s="38">
        <f>R9+R15</f>
        <v>24519.850908661629</v>
      </c>
      <c r="S21" s="68">
        <f>T21/R21</f>
        <v>113.54336559734516</v>
      </c>
      <c r="T21" s="69">
        <f>T9+T15</f>
        <v>2784066.3961145631</v>
      </c>
      <c r="U21" s="40">
        <f>C21+F21+I21+L21+O21+R21</f>
        <v>139317.3347083047</v>
      </c>
      <c r="V21" s="71">
        <f>IFERROR(W21/U21,0)</f>
        <v>113.54336559734516</v>
      </c>
      <c r="W21" s="74">
        <f>E21+H21+K21+N21+Q21+T21</f>
        <v>15818559.068832744</v>
      </c>
      <c r="X21" s="47"/>
      <c r="Y21" s="50"/>
      <c r="Z21" s="51"/>
      <c r="AA21" s="51"/>
    </row>
    <row r="22" spans="2:111" x14ac:dyDescent="0.2">
      <c r="B22" s="19" t="s">
        <v>103</v>
      </c>
      <c r="C22" s="48">
        <f t="shared" ref="C22:C23" si="2">C10+C16</f>
        <v>33131.005957446803</v>
      </c>
      <c r="D22" s="68">
        <f>E22/C22</f>
        <v>108.74965</v>
      </c>
      <c r="E22" s="69">
        <f t="shared" ref="E22:F23" si="3">E10+E16</f>
        <v>3602985.302020255</v>
      </c>
      <c r="F22" s="38">
        <f t="shared" si="3"/>
        <v>36812.228841607561</v>
      </c>
      <c r="G22" s="68">
        <f>H22/F22</f>
        <v>108.74965</v>
      </c>
      <c r="H22" s="69">
        <f t="shared" ref="H22:I23" si="4">H10+H16</f>
        <v>4003317.0022447277</v>
      </c>
      <c r="I22" s="38">
        <f t="shared" si="4"/>
        <v>42334.063167848697</v>
      </c>
      <c r="J22" s="68">
        <f>K22/I22</f>
        <v>108.74965</v>
      </c>
      <c r="K22" s="69">
        <f t="shared" ref="K22:L23" si="5">K10+K16</f>
        <v>4603814.5525814369</v>
      </c>
      <c r="L22" s="38">
        <f t="shared" si="5"/>
        <v>38652.84028368794</v>
      </c>
      <c r="M22" s="68">
        <f>N22/L22</f>
        <v>108.74964999999999</v>
      </c>
      <c r="N22" s="69">
        <f t="shared" ref="N22:O23" si="6">N10+N16</f>
        <v>4203482.8523569638</v>
      </c>
      <c r="O22" s="38">
        <f t="shared" si="6"/>
        <v>38652.84028368794</v>
      </c>
      <c r="P22" s="68">
        <f>Q22/O22</f>
        <v>108.74964999999999</v>
      </c>
      <c r="Q22" s="69">
        <f t="shared" ref="Q22:R23" si="7">Q10+Q16</f>
        <v>4203482.8523569638</v>
      </c>
      <c r="R22" s="38">
        <f t="shared" si="7"/>
        <v>40493.451725768318</v>
      </c>
      <c r="S22" s="68">
        <f>T22/R22</f>
        <v>108.74965</v>
      </c>
      <c r="T22" s="69">
        <f t="shared" ref="T22:T23" si="8">T10+T16</f>
        <v>4403648.7024692008</v>
      </c>
      <c r="U22" s="40">
        <f>C22+F22+I22+L22+O22+R22</f>
        <v>230076.43026004726</v>
      </c>
      <c r="V22" s="71">
        <f t="shared" ref="V22:V24" si="9">IFERROR(W22/U22,0)</f>
        <v>108.74965</v>
      </c>
      <c r="W22" s="74">
        <f>E22+H22+K22+N22+Q22+T22</f>
        <v>25020731.264029548</v>
      </c>
      <c r="X22" s="47"/>
      <c r="Y22" s="50"/>
      <c r="Z22" s="51"/>
      <c r="AA22" s="51"/>
    </row>
    <row r="23" spans="2:111" x14ac:dyDescent="0.2">
      <c r="B23" s="42" t="s">
        <v>104</v>
      </c>
      <c r="C23" s="48">
        <f t="shared" si="2"/>
        <v>2301.9574468085111</v>
      </c>
      <c r="D23" s="68">
        <f>E23/C23</f>
        <v>178.76398596938776</v>
      </c>
      <c r="E23" s="69">
        <f t="shared" si="3"/>
        <v>411507.08872340433</v>
      </c>
      <c r="F23" s="38">
        <f t="shared" si="3"/>
        <v>2557.7304964539012</v>
      </c>
      <c r="G23" s="68">
        <f>H23/F23</f>
        <v>178.76398596938776</v>
      </c>
      <c r="H23" s="69">
        <f t="shared" si="4"/>
        <v>457230.09858156036</v>
      </c>
      <c r="I23" s="38">
        <f t="shared" si="4"/>
        <v>2941.3900709219865</v>
      </c>
      <c r="J23" s="68">
        <f>K23/I23</f>
        <v>178.76398596938776</v>
      </c>
      <c r="K23" s="69">
        <f t="shared" si="5"/>
        <v>525814.61336879444</v>
      </c>
      <c r="L23" s="38">
        <f t="shared" si="5"/>
        <v>2685.6170212765965</v>
      </c>
      <c r="M23" s="68">
        <f>N23/L23</f>
        <v>178.76398596938773</v>
      </c>
      <c r="N23" s="69">
        <f t="shared" si="6"/>
        <v>480091.60351063835</v>
      </c>
      <c r="O23" s="38">
        <f t="shared" si="6"/>
        <v>2685.6170212765965</v>
      </c>
      <c r="P23" s="68">
        <f>Q23/O23</f>
        <v>178.76398596938773</v>
      </c>
      <c r="Q23" s="69">
        <f t="shared" si="7"/>
        <v>480091.60351063835</v>
      </c>
      <c r="R23" s="38">
        <f t="shared" si="7"/>
        <v>2813.5035460992913</v>
      </c>
      <c r="S23" s="68">
        <f>T23/R23</f>
        <v>178.76398596938773</v>
      </c>
      <c r="T23" s="69">
        <f t="shared" si="8"/>
        <v>502953.10843971634</v>
      </c>
      <c r="U23" s="40">
        <f>C23+F23+I23+L23+O23+R23</f>
        <v>15985.815602836883</v>
      </c>
      <c r="V23" s="71">
        <f t="shared" si="9"/>
        <v>178.76398596938773</v>
      </c>
      <c r="W23" s="74">
        <f>E23+H23+K23+N23+Q23+T23</f>
        <v>2857688.1161347521</v>
      </c>
      <c r="X23" s="47"/>
      <c r="Y23" s="50"/>
      <c r="Z23" s="51"/>
      <c r="AA23" s="51"/>
    </row>
    <row r="24" spans="2:111" ht="17" thickBot="1" x14ac:dyDescent="0.25">
      <c r="B24" s="43" t="s">
        <v>3</v>
      </c>
      <c r="C24" s="44">
        <f>SUM(C21:C23)</f>
        <v>55494.659602251195</v>
      </c>
      <c r="D24" s="67">
        <f>E24/C24</f>
        <v>113.38685455060109</v>
      </c>
      <c r="E24" s="70">
        <f>SUM(E21:E23)</f>
        <v>6292364.8966555744</v>
      </c>
      <c r="F24" s="44">
        <f>SUM(F21:F23)</f>
        <v>61660.732891390209</v>
      </c>
      <c r="G24" s="67">
        <f>H24/F24</f>
        <v>113.3868545506011</v>
      </c>
      <c r="H24" s="70">
        <f>SUM(H21:H23)</f>
        <v>6991516.5518395267</v>
      </c>
      <c r="I24" s="44">
        <f>SUM(I21:I23)</f>
        <v>70909.842825098749</v>
      </c>
      <c r="J24" s="67">
        <f>K24/I24</f>
        <v>113.38685455060109</v>
      </c>
      <c r="K24" s="70">
        <f>SUM(K21:K23)</f>
        <v>8040244.0346154561</v>
      </c>
      <c r="L24" s="44">
        <f>SUM(L21:L23)</f>
        <v>64743.76953595972</v>
      </c>
      <c r="M24" s="67">
        <f>N24/L24</f>
        <v>113.3868545506011</v>
      </c>
      <c r="N24" s="70">
        <f>SUM(N21:N23)</f>
        <v>7341092.3794315029</v>
      </c>
      <c r="O24" s="44">
        <f>SUM(O21:O23)</f>
        <v>64743.76953595972</v>
      </c>
      <c r="P24" s="67">
        <f>Q24/O24</f>
        <v>113.3868545506011</v>
      </c>
      <c r="Q24" s="70">
        <f>SUM(Q21:Q23)</f>
        <v>7341092.3794315029</v>
      </c>
      <c r="R24" s="44">
        <f>SUM(R21:R23)</f>
        <v>67826.806180529238</v>
      </c>
      <c r="S24" s="67">
        <f>T24/R24</f>
        <v>113.38685455060109</v>
      </c>
      <c r="T24" s="70">
        <f>SUM(T21:T23)</f>
        <v>7690668.20702348</v>
      </c>
      <c r="U24" s="44">
        <f>SUM(U21:U23)</f>
        <v>385379.58057118882</v>
      </c>
      <c r="V24" s="72">
        <f t="shared" si="9"/>
        <v>113.3868545506011</v>
      </c>
      <c r="W24" s="75">
        <f>SUM(W21:W23)</f>
        <v>43696978.448997043</v>
      </c>
      <c r="X24" s="47"/>
      <c r="Y24" s="50"/>
      <c r="Z24" s="51"/>
      <c r="AA24" s="51"/>
    </row>
    <row r="25" spans="2:111" x14ac:dyDescent="0.2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47"/>
      <c r="Y25" s="50"/>
      <c r="Z25" s="51"/>
      <c r="AA25" s="51"/>
    </row>
    <row r="26" spans="2:111" x14ac:dyDescent="0.2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47"/>
      <c r="Y26" s="50"/>
      <c r="Z26" s="51"/>
      <c r="AA26" s="51"/>
    </row>
    <row r="27" spans="2:111" x14ac:dyDescent="0.2">
      <c r="W27" s="50"/>
    </row>
    <row r="28" spans="2:111" ht="17" thickBot="1" x14ac:dyDescent="0.25"/>
    <row r="29" spans="2:111" x14ac:dyDescent="0.2">
      <c r="B29" s="100"/>
      <c r="C29" s="792" t="s">
        <v>99</v>
      </c>
      <c r="D29" s="793"/>
      <c r="E29" s="793"/>
      <c r="F29" s="793"/>
      <c r="G29" s="793"/>
      <c r="H29" s="793"/>
      <c r="I29" s="793"/>
      <c r="J29" s="793"/>
      <c r="K29" s="793"/>
      <c r="L29" s="793"/>
      <c r="M29" s="793"/>
      <c r="N29" s="793"/>
      <c r="O29" s="793"/>
      <c r="P29" s="793"/>
      <c r="Q29" s="793"/>
      <c r="R29" s="793"/>
      <c r="S29" s="793"/>
      <c r="T29" s="793"/>
      <c r="U29" s="793"/>
      <c r="V29" s="793"/>
      <c r="W29" s="794"/>
      <c r="X29" s="16"/>
      <c r="Y29" s="786" t="s">
        <v>3</v>
      </c>
      <c r="Z29" s="787"/>
      <c r="AA29" s="788"/>
    </row>
    <row r="30" spans="2:111" x14ac:dyDescent="0.2">
      <c r="B30" s="358"/>
      <c r="C30" s="773" t="s">
        <v>23</v>
      </c>
      <c r="D30" s="773"/>
      <c r="E30" s="774"/>
      <c r="F30" s="772" t="s">
        <v>24</v>
      </c>
      <c r="G30" s="773"/>
      <c r="H30" s="774"/>
      <c r="I30" s="772" t="s">
        <v>25</v>
      </c>
      <c r="J30" s="773"/>
      <c r="K30" s="774"/>
      <c r="L30" s="772" t="s">
        <v>26</v>
      </c>
      <c r="M30" s="773"/>
      <c r="N30" s="774"/>
      <c r="O30" s="772" t="s">
        <v>27</v>
      </c>
      <c r="P30" s="773"/>
      <c r="Q30" s="774"/>
      <c r="R30" s="772" t="s">
        <v>28</v>
      </c>
      <c r="S30" s="773"/>
      <c r="T30" s="775"/>
      <c r="U30" s="783" t="s">
        <v>180</v>
      </c>
      <c r="V30" s="784"/>
      <c r="W30" s="785"/>
      <c r="X30" s="18"/>
      <c r="Y30" s="789"/>
      <c r="Z30" s="790"/>
      <c r="AA30" s="791"/>
    </row>
    <row r="31" spans="2:111" x14ac:dyDescent="0.2">
      <c r="B31" s="96"/>
      <c r="C31" s="21" t="s">
        <v>0</v>
      </c>
      <c r="D31" s="21" t="s">
        <v>176</v>
      </c>
      <c r="E31" s="22" t="s">
        <v>1</v>
      </c>
      <c r="F31" s="21" t="s">
        <v>0</v>
      </c>
      <c r="G31" s="21" t="s">
        <v>176</v>
      </c>
      <c r="H31" s="22" t="s">
        <v>1</v>
      </c>
      <c r="I31" s="362" t="s">
        <v>0</v>
      </c>
      <c r="J31" s="21" t="s">
        <v>176</v>
      </c>
      <c r="K31" s="22" t="s">
        <v>1</v>
      </c>
      <c r="L31" s="362" t="s">
        <v>0</v>
      </c>
      <c r="M31" s="21" t="s">
        <v>176</v>
      </c>
      <c r="N31" s="22" t="s">
        <v>1</v>
      </c>
      <c r="O31" s="362" t="s">
        <v>0</v>
      </c>
      <c r="P31" s="21" t="s">
        <v>179</v>
      </c>
      <c r="Q31" s="22" t="s">
        <v>1</v>
      </c>
      <c r="R31" s="362" t="s">
        <v>0</v>
      </c>
      <c r="S31" s="88" t="s">
        <v>176</v>
      </c>
      <c r="T31" s="363" t="s">
        <v>1</v>
      </c>
      <c r="U31" s="27" t="s">
        <v>0</v>
      </c>
      <c r="V31" s="27" t="s">
        <v>176</v>
      </c>
      <c r="W31" s="28" t="s">
        <v>1</v>
      </c>
      <c r="X31" s="18"/>
      <c r="Y31" s="54" t="s">
        <v>0</v>
      </c>
      <c r="Z31" s="27" t="s">
        <v>176</v>
      </c>
      <c r="AA31" s="28" t="s">
        <v>1</v>
      </c>
    </row>
    <row r="32" spans="2:111" x14ac:dyDescent="0.2">
      <c r="B32" s="359"/>
      <c r="C32" s="30"/>
      <c r="D32" s="30"/>
      <c r="E32" s="31"/>
      <c r="F32" s="30"/>
      <c r="G32" s="30"/>
      <c r="H32" s="31"/>
      <c r="I32" s="32"/>
      <c r="J32" s="30"/>
      <c r="K32" s="31"/>
      <c r="L32" s="32"/>
      <c r="M32" s="30"/>
      <c r="N32" s="31"/>
      <c r="O32" s="32"/>
      <c r="P32" s="30"/>
      <c r="Q32" s="31"/>
      <c r="R32" s="30"/>
      <c r="S32" s="30"/>
      <c r="T32" s="30"/>
      <c r="U32" s="33"/>
      <c r="V32" s="34"/>
      <c r="W32" s="35"/>
      <c r="X32" s="36"/>
      <c r="Y32" s="33"/>
      <c r="Z32" s="34"/>
      <c r="AA32" s="35"/>
    </row>
    <row r="33" spans="2:32" x14ac:dyDescent="0.2">
      <c r="B33" s="96" t="s">
        <v>102</v>
      </c>
      <c r="C33" s="38">
        <f>'Tab 3'!C33</f>
        <v>23055.169549073435</v>
      </c>
      <c r="D33" s="66">
        <f>'Tab. 6'!$F$8</f>
        <v>108.74965</v>
      </c>
      <c r="E33" s="69">
        <f>C33*D33</f>
        <v>2507241.6191523941</v>
      </c>
      <c r="F33" s="38">
        <f>'Tab 3'!F33</f>
        <v>12575.547026767326</v>
      </c>
      <c r="G33" s="66">
        <f>'Tab. 6'!$F$8</f>
        <v>108.74965</v>
      </c>
      <c r="H33" s="69">
        <f>F33*G33</f>
        <v>1367586.3377194875</v>
      </c>
      <c r="I33" s="38">
        <f>'Tab 3'!I33</f>
        <v>23055.169549073435</v>
      </c>
      <c r="J33" s="66">
        <f>'Tab. 6'!$F$8</f>
        <v>108.74965</v>
      </c>
      <c r="K33" s="69">
        <f>I33*J33</f>
        <v>2507241.6191523941</v>
      </c>
      <c r="L33" s="38">
        <f>'Tab 3'!L33</f>
        <v>22007.207296842822</v>
      </c>
      <c r="M33" s="66">
        <f>'Tab. 6'!$F$8</f>
        <v>108.74965</v>
      </c>
      <c r="N33" s="69">
        <f>L33*M33</f>
        <v>2393276.0910091032</v>
      </c>
      <c r="O33" s="38">
        <f>'Tab 3'!O33</f>
        <v>22007.207296842822</v>
      </c>
      <c r="P33" s="66">
        <f>'Tab. 6'!$F$8</f>
        <v>108.74965</v>
      </c>
      <c r="Q33" s="69">
        <f>O33*P33</f>
        <v>2393276.0910091032</v>
      </c>
      <c r="R33" s="38">
        <f>'Tab 3'!R33</f>
        <v>12575.547026767326</v>
      </c>
      <c r="S33" s="66">
        <f>'Tab. 6'!$F$8</f>
        <v>108.74965</v>
      </c>
      <c r="T33" s="69">
        <f>R33*S33</f>
        <v>1367586.3377194875</v>
      </c>
      <c r="U33" s="40">
        <f>C33+F33+I33+L33+O33+R33</f>
        <v>115275.84774536717</v>
      </c>
      <c r="V33" s="71">
        <f>IFERROR(W33/U33,0)</f>
        <v>108.74964999999999</v>
      </c>
      <c r="W33" s="74">
        <f>E33+H33+K33+N33+Q33+T33</f>
        <v>12536208.095761968</v>
      </c>
      <c r="X33" s="41"/>
      <c r="Y33" s="40">
        <f>U9+U33</f>
        <v>246271.12927419349</v>
      </c>
      <c r="Z33" s="71">
        <f>IFERROR(AA33/Y33,0)</f>
        <v>108.74965000000002</v>
      </c>
      <c r="AA33" s="74">
        <f>W9+W33</f>
        <v>26781899.1136733</v>
      </c>
    </row>
    <row r="34" spans="2:32" x14ac:dyDescent="0.2">
      <c r="B34" s="96" t="s">
        <v>103</v>
      </c>
      <c r="C34" s="38">
        <f>'Tab 3'!C34</f>
        <v>40493.451725768318</v>
      </c>
      <c r="D34" s="66">
        <f>'Tab. 6'!$F$8</f>
        <v>108.74965</v>
      </c>
      <c r="E34" s="69">
        <f>C34*D34</f>
        <v>4403648.7024692008</v>
      </c>
      <c r="F34" s="38">
        <f>'Tab 3'!F34</f>
        <v>22087.337304964538</v>
      </c>
      <c r="G34" s="66">
        <f>'Tab. 6'!$F$8</f>
        <v>108.74965</v>
      </c>
      <c r="H34" s="69">
        <f>F34*G34</f>
        <v>2401990.201346837</v>
      </c>
      <c r="I34" s="38">
        <f>'Tab 3'!I34</f>
        <v>40493.451725768318</v>
      </c>
      <c r="J34" s="66">
        <f>'Tab. 6'!$F$8</f>
        <v>108.74965</v>
      </c>
      <c r="K34" s="69">
        <f>I34*J34</f>
        <v>4403648.7024692008</v>
      </c>
      <c r="L34" s="38">
        <f>'Tab 3'!L34</f>
        <v>38652.84028368794</v>
      </c>
      <c r="M34" s="66">
        <f>'Tab. 6'!$F$8</f>
        <v>108.74965</v>
      </c>
      <c r="N34" s="69">
        <f>L34*M34</f>
        <v>4203482.8523569638</v>
      </c>
      <c r="O34" s="38">
        <f>'Tab 3'!O34</f>
        <v>38652.84028368794</v>
      </c>
      <c r="P34" s="66">
        <f>'Tab. 6'!$F$8</f>
        <v>108.74965</v>
      </c>
      <c r="Q34" s="69">
        <f>O34*P34</f>
        <v>4203482.8523569638</v>
      </c>
      <c r="R34" s="38">
        <f>'Tab 3'!R34</f>
        <v>22087.337304964538</v>
      </c>
      <c r="S34" s="66">
        <f>'Tab. 6'!$F$8</f>
        <v>108.74965</v>
      </c>
      <c r="T34" s="69">
        <f>R34*S34</f>
        <v>2401990.201346837</v>
      </c>
      <c r="U34" s="40">
        <f>C34+F34+I34+L34+O34+R34</f>
        <v>202467.25862884161</v>
      </c>
      <c r="V34" s="71">
        <f t="shared" ref="V34:V36" si="10">IFERROR(W34/U34,0)</f>
        <v>108.74964999999999</v>
      </c>
      <c r="W34" s="74">
        <f>E34+H34+K34+N34+Q34+T34</f>
        <v>22018243.512346003</v>
      </c>
      <c r="X34" s="41"/>
      <c r="Y34" s="40">
        <f>U10+U34</f>
        <v>432543.68888888886</v>
      </c>
      <c r="Z34" s="71">
        <f t="shared" ref="Z34:Z36" si="11">IFERROR(AA34/Y34,0)</f>
        <v>108.74964999999999</v>
      </c>
      <c r="AA34" s="74">
        <f>W10+W34</f>
        <v>47038974.776375547</v>
      </c>
    </row>
    <row r="35" spans="2:32" x14ac:dyDescent="0.2">
      <c r="B35" s="360" t="s">
        <v>104</v>
      </c>
      <c r="C35" s="38">
        <f>'Tab 3'!C35</f>
        <v>358.86524822695065</v>
      </c>
      <c r="D35" s="66">
        <f>'Tab. 6'!$F$8</f>
        <v>108.74965</v>
      </c>
      <c r="E35" s="69">
        <f>C35*D35</f>
        <v>39026.470141844002</v>
      </c>
      <c r="F35" s="38">
        <f>'Tab 3'!F35</f>
        <v>195.744680851064</v>
      </c>
      <c r="G35" s="66">
        <f>'Tab. 6'!$F$8</f>
        <v>108.74965</v>
      </c>
      <c r="H35" s="69">
        <f>F35*G35</f>
        <v>21287.165531914914</v>
      </c>
      <c r="I35" s="38">
        <f>'Tab 3'!I35</f>
        <v>358.86524822695065</v>
      </c>
      <c r="J35" s="66">
        <f>'Tab. 6'!$F$8</f>
        <v>108.74965</v>
      </c>
      <c r="K35" s="69">
        <f>I35*J35</f>
        <v>39026.470141844002</v>
      </c>
      <c r="L35" s="38">
        <f>'Tab 3'!L35</f>
        <v>342.55319148936201</v>
      </c>
      <c r="M35" s="66">
        <f>'Tab. 6'!$F$8</f>
        <v>108.74965</v>
      </c>
      <c r="N35" s="69">
        <f>L35*M35</f>
        <v>37252.5396808511</v>
      </c>
      <c r="O35" s="38">
        <f>'Tab 3'!O35</f>
        <v>342.55319148936201</v>
      </c>
      <c r="P35" s="66">
        <f>'Tab. 6'!$F$8</f>
        <v>108.74965</v>
      </c>
      <c r="Q35" s="69">
        <f>O35*P35</f>
        <v>37252.5396808511</v>
      </c>
      <c r="R35" s="38">
        <f>'Tab 3'!R35</f>
        <v>195.744680851064</v>
      </c>
      <c r="S35" s="66">
        <f>'Tab. 6'!$F$8</f>
        <v>108.74965</v>
      </c>
      <c r="T35" s="69">
        <f>R35*S35</f>
        <v>21287.165531914914</v>
      </c>
      <c r="U35" s="40">
        <f>C35+F35+I35+L35+O35+R35</f>
        <v>1794.3262411347532</v>
      </c>
      <c r="V35" s="71">
        <f t="shared" si="10"/>
        <v>108.74965000000002</v>
      </c>
      <c r="W35" s="74">
        <f>E35+H35+K35+N35+Q35+T35</f>
        <v>195132.35070922005</v>
      </c>
      <c r="X35" s="41"/>
      <c r="Y35" s="40">
        <f>U11+U35</f>
        <v>3833.3333333333367</v>
      </c>
      <c r="Z35" s="71">
        <f t="shared" si="11"/>
        <v>108.74965</v>
      </c>
      <c r="AA35" s="74">
        <f>W11+W35</f>
        <v>416873.65833333373</v>
      </c>
    </row>
    <row r="36" spans="2:32" ht="17" thickBot="1" x14ac:dyDescent="0.25">
      <c r="B36" s="361" t="s">
        <v>92</v>
      </c>
      <c r="C36" s="45">
        <f>SUM(C33:C35)</f>
        <v>63907.486523068706</v>
      </c>
      <c r="D36" s="67">
        <f>E36/C36</f>
        <v>108.74965</v>
      </c>
      <c r="E36" s="70">
        <f>SUM(E33:E35)</f>
        <v>6949916.7917634388</v>
      </c>
      <c r="F36" s="45">
        <f>SUM(F33:F35)</f>
        <v>34858.629012582933</v>
      </c>
      <c r="G36" s="67">
        <f>H36/F36</f>
        <v>108.74965</v>
      </c>
      <c r="H36" s="70">
        <f>SUM(H33:H35)</f>
        <v>3790863.7045982396</v>
      </c>
      <c r="I36" s="45">
        <f>SUM(I33:I35)</f>
        <v>63907.486523068706</v>
      </c>
      <c r="J36" s="67">
        <f>K36/I36</f>
        <v>108.74965</v>
      </c>
      <c r="K36" s="70">
        <f>SUM(K33:K35)</f>
        <v>6949916.7917634388</v>
      </c>
      <c r="L36" s="45">
        <f>SUM(L33:L35)</f>
        <v>61002.600772020131</v>
      </c>
      <c r="M36" s="67">
        <f>N36/L36</f>
        <v>108.74964999999999</v>
      </c>
      <c r="N36" s="70">
        <f>SUM(N33:N35)</f>
        <v>6634011.4830469182</v>
      </c>
      <c r="O36" s="45">
        <f>SUM(O33:O35)</f>
        <v>61002.600772020131</v>
      </c>
      <c r="P36" s="67">
        <f>Q36/O36</f>
        <v>108.74964999999999</v>
      </c>
      <c r="Q36" s="70">
        <f>SUM(Q33:Q35)</f>
        <v>6634011.4830469182</v>
      </c>
      <c r="R36" s="45">
        <f>SUM(R33:R35)</f>
        <v>34858.629012582933</v>
      </c>
      <c r="S36" s="67">
        <f>T36/R36</f>
        <v>108.74965</v>
      </c>
      <c r="T36" s="70">
        <f>SUM(T33:T35)</f>
        <v>3790863.7045982396</v>
      </c>
      <c r="U36" s="44">
        <f>SUM(U33:U35)</f>
        <v>319537.43261534348</v>
      </c>
      <c r="V36" s="72">
        <f t="shared" si="10"/>
        <v>108.74965000000002</v>
      </c>
      <c r="W36" s="75">
        <f>SUM(W33:W35)</f>
        <v>34749583.958817191</v>
      </c>
      <c r="X36" s="47"/>
      <c r="Y36" s="44">
        <f>SUM(Y33:Y35)</f>
        <v>682648.15149641572</v>
      </c>
      <c r="Z36" s="72">
        <f t="shared" si="11"/>
        <v>108.74964999999999</v>
      </c>
      <c r="AA36" s="75">
        <f>SUM(AA33:AA35)</f>
        <v>74237747.548382178</v>
      </c>
      <c r="AC36" s="55"/>
      <c r="AD36" s="55"/>
      <c r="AE36" s="55"/>
      <c r="AF36" s="49"/>
    </row>
    <row r="37" spans="2:32" x14ac:dyDescent="0.2">
      <c r="B37" s="96"/>
      <c r="C37" s="30"/>
      <c r="D37" s="66"/>
      <c r="E37" s="69"/>
      <c r="F37" s="30"/>
      <c r="G37" s="66"/>
      <c r="H37" s="69"/>
      <c r="I37" s="30"/>
      <c r="J37" s="66"/>
      <c r="K37" s="69"/>
      <c r="L37" s="30"/>
      <c r="M37" s="66"/>
      <c r="N37" s="69"/>
      <c r="O37" s="30"/>
      <c r="P37" s="66"/>
      <c r="Q37" s="69"/>
      <c r="R37" s="30"/>
      <c r="S37" s="66"/>
      <c r="T37" s="69"/>
      <c r="U37" s="33"/>
      <c r="V37" s="73"/>
      <c r="W37" s="74"/>
      <c r="X37" s="36"/>
      <c r="Y37" s="33"/>
      <c r="Z37" s="73"/>
      <c r="AA37" s="74"/>
      <c r="AC37" s="55"/>
      <c r="AD37" s="55"/>
      <c r="AE37" s="55"/>
    </row>
    <row r="38" spans="2:32" x14ac:dyDescent="0.2">
      <c r="B38" s="359"/>
      <c r="C38" s="30"/>
      <c r="D38" s="66"/>
      <c r="E38" s="69"/>
      <c r="F38" s="30"/>
      <c r="G38" s="66"/>
      <c r="H38" s="69"/>
      <c r="I38" s="30"/>
      <c r="J38" s="66"/>
      <c r="K38" s="69"/>
      <c r="L38" s="30"/>
      <c r="M38" s="66"/>
      <c r="N38" s="69"/>
      <c r="O38" s="30"/>
      <c r="P38" s="66"/>
      <c r="Q38" s="69"/>
      <c r="R38" s="30"/>
      <c r="S38" s="66"/>
      <c r="T38" s="69"/>
      <c r="U38" s="33"/>
      <c r="V38" s="73"/>
      <c r="W38" s="74"/>
      <c r="X38" s="36"/>
      <c r="Y38" s="33"/>
      <c r="Z38" s="73"/>
      <c r="AA38" s="74"/>
      <c r="AC38" s="55"/>
      <c r="AD38" s="55"/>
      <c r="AE38" s="55"/>
    </row>
    <row r="39" spans="2:32" x14ac:dyDescent="0.2">
      <c r="B39" s="96" t="s">
        <v>102</v>
      </c>
      <c r="C39" s="38">
        <f>'Tab 3'!C39</f>
        <v>1464.6813595881949</v>
      </c>
      <c r="D39" s="66">
        <f>'Tab. 6'!$F$17</f>
        <v>189</v>
      </c>
      <c r="E39" s="69">
        <f>C39*D39</f>
        <v>276824.77696216886</v>
      </c>
      <c r="F39" s="38">
        <f>'Tab 3'!F39</f>
        <v>798.91710522992457</v>
      </c>
      <c r="G39" s="66">
        <f>'Tab. 6'!$F$17</f>
        <v>189</v>
      </c>
      <c r="H39" s="69">
        <f>F39*G39</f>
        <v>150995.33288845574</v>
      </c>
      <c r="I39" s="38">
        <f>'Tab 3'!I39</f>
        <v>1464.6813595881949</v>
      </c>
      <c r="J39" s="66">
        <f>'Tab. 6'!$F$17</f>
        <v>189</v>
      </c>
      <c r="K39" s="69">
        <f>I39*J39</f>
        <v>276824.77696216886</v>
      </c>
      <c r="L39" s="38">
        <f>'Tab 3'!L39</f>
        <v>1398.1049341523681</v>
      </c>
      <c r="M39" s="66">
        <f>'Tab. 6'!$F$17</f>
        <v>189</v>
      </c>
      <c r="N39" s="69">
        <f>L39*M39</f>
        <v>264241.83255479758</v>
      </c>
      <c r="O39" s="38">
        <f>'Tab 3'!O39</f>
        <v>1398.1049341523681</v>
      </c>
      <c r="P39" s="66">
        <f>'Tab. 6'!$F$17</f>
        <v>189</v>
      </c>
      <c r="Q39" s="69">
        <f>O39*P39</f>
        <v>264241.83255479758</v>
      </c>
      <c r="R39" s="38">
        <f>'Tab 3'!R39</f>
        <v>798.91710522992457</v>
      </c>
      <c r="S39" s="66">
        <f>'Tab. 6'!$F$17</f>
        <v>189</v>
      </c>
      <c r="T39" s="69">
        <f>R39*S39</f>
        <v>150995.33288845574</v>
      </c>
      <c r="U39" s="40">
        <f>C39+F39+I39+L39+O39+R39</f>
        <v>7323.4067979409756</v>
      </c>
      <c r="V39" s="71">
        <f>IFERROR(W39/U39,0)</f>
        <v>189</v>
      </c>
      <c r="W39" s="74">
        <f>E39+H39+K39+N39+Q39+T39</f>
        <v>1384123.8848108444</v>
      </c>
      <c r="X39" s="41"/>
      <c r="Y39" s="40">
        <f>U15+U39</f>
        <v>15645.459977419358</v>
      </c>
      <c r="Z39" s="71">
        <f>IFERROR(AA39/Y39,0)</f>
        <v>189</v>
      </c>
      <c r="AA39" s="74">
        <f>W15+W39</f>
        <v>2956991.9357322585</v>
      </c>
      <c r="AC39" s="55"/>
      <c r="AD39" s="55"/>
      <c r="AE39" s="55"/>
    </row>
    <row r="40" spans="2:32" x14ac:dyDescent="0.2">
      <c r="B40" s="96" t="s">
        <v>103</v>
      </c>
      <c r="C40" s="38">
        <f>'Tab 3'!C40</f>
        <v>0</v>
      </c>
      <c r="D40" s="66">
        <f>'Tab. 6'!$F$17</f>
        <v>189</v>
      </c>
      <c r="E40" s="69">
        <f>C40*D40</f>
        <v>0</v>
      </c>
      <c r="F40" s="38">
        <f>'Tab 3'!F40</f>
        <v>0</v>
      </c>
      <c r="G40" s="66">
        <f>'Tab. 6'!$F$17</f>
        <v>189</v>
      </c>
      <c r="H40" s="69">
        <f>F40*G40</f>
        <v>0</v>
      </c>
      <c r="I40" s="38">
        <f>'Tab 3'!I40</f>
        <v>0</v>
      </c>
      <c r="J40" s="66">
        <f>'Tab. 6'!$F$17</f>
        <v>189</v>
      </c>
      <c r="K40" s="69">
        <f>I40*J40</f>
        <v>0</v>
      </c>
      <c r="L40" s="38">
        <f>'Tab 3'!L40</f>
        <v>0</v>
      </c>
      <c r="M40" s="66">
        <f>'Tab. 6'!$F$17</f>
        <v>189</v>
      </c>
      <c r="N40" s="69">
        <f>L40*M40</f>
        <v>0</v>
      </c>
      <c r="O40" s="38">
        <f>'Tab 3'!O40</f>
        <v>0</v>
      </c>
      <c r="P40" s="66">
        <f>'Tab. 6'!$F$17</f>
        <v>189</v>
      </c>
      <c r="Q40" s="69">
        <f>O40*P40</f>
        <v>0</v>
      </c>
      <c r="R40" s="38">
        <f>'Tab 3'!R40</f>
        <v>0</v>
      </c>
      <c r="S40" s="66">
        <f>'Tab. 6'!$F$17</f>
        <v>189</v>
      </c>
      <c r="T40" s="69">
        <f>R40*S40</f>
        <v>0</v>
      </c>
      <c r="U40" s="40">
        <f>C40+F40+I40+L40+O40+R40</f>
        <v>0</v>
      </c>
      <c r="V40" s="71">
        <f t="shared" ref="V40:V42" si="12">IFERROR(W40/U40,0)</f>
        <v>0</v>
      </c>
      <c r="W40" s="74">
        <f>E40+H40+K40+N40+Q40+T40</f>
        <v>0</v>
      </c>
      <c r="X40" s="41"/>
      <c r="Y40" s="40">
        <f>U16+U40</f>
        <v>0</v>
      </c>
      <c r="Z40" s="71">
        <f t="shared" ref="Z40:Z42" si="13">IFERROR(AA40/Y40,0)</f>
        <v>0</v>
      </c>
      <c r="AA40" s="74">
        <f>W16+W40</f>
        <v>0</v>
      </c>
      <c r="AC40" s="55"/>
      <c r="AD40" s="55"/>
      <c r="AE40" s="55"/>
    </row>
    <row r="41" spans="2:32" x14ac:dyDescent="0.2">
      <c r="B41" s="360" t="s">
        <v>104</v>
      </c>
      <c r="C41" s="38">
        <f>'Tab 3'!C41</f>
        <v>2454.6382978723404</v>
      </c>
      <c r="D41" s="66">
        <f>'Tab. 6'!$F$17</f>
        <v>189</v>
      </c>
      <c r="E41" s="69">
        <f>C41*D41</f>
        <v>463926.63829787233</v>
      </c>
      <c r="F41" s="38">
        <f>'Tab 3'!F41</f>
        <v>1338.8936170212767</v>
      </c>
      <c r="G41" s="66">
        <f>'Tab. 6'!$F$17</f>
        <v>189</v>
      </c>
      <c r="H41" s="69">
        <f>F41*G41</f>
        <v>253050.8936170213</v>
      </c>
      <c r="I41" s="38">
        <f>'Tab 3'!I41</f>
        <v>2454.6382978723404</v>
      </c>
      <c r="J41" s="66">
        <f>'Tab. 6'!$F$17</f>
        <v>189</v>
      </c>
      <c r="K41" s="69">
        <f>I41*J41</f>
        <v>463926.63829787233</v>
      </c>
      <c r="L41" s="38">
        <f>'Tab 3'!L41</f>
        <v>2343.0638297872342</v>
      </c>
      <c r="M41" s="66">
        <f>'Tab. 6'!$F$17</f>
        <v>189</v>
      </c>
      <c r="N41" s="69">
        <f>L41*M41</f>
        <v>442839.06382978725</v>
      </c>
      <c r="O41" s="38">
        <f>'Tab 3'!O41</f>
        <v>2343.0638297872342</v>
      </c>
      <c r="P41" s="66">
        <f>'Tab. 6'!$F$17</f>
        <v>189</v>
      </c>
      <c r="Q41" s="69">
        <f>O41*P41</f>
        <v>442839.06382978725</v>
      </c>
      <c r="R41" s="38">
        <f>'Tab 3'!R41</f>
        <v>1338.8936170212767</v>
      </c>
      <c r="S41" s="66">
        <f>'Tab. 6'!$F$17</f>
        <v>189</v>
      </c>
      <c r="T41" s="69">
        <f>R41*S41</f>
        <v>253050.8936170213</v>
      </c>
      <c r="U41" s="40">
        <f>C41+F41+I41+L41+O41+R41</f>
        <v>12273.191489361701</v>
      </c>
      <c r="V41" s="71">
        <f t="shared" si="12"/>
        <v>189</v>
      </c>
      <c r="W41" s="74">
        <f>E41+H41+K41+N41+Q41+T41</f>
        <v>2319633.1914893617</v>
      </c>
      <c r="X41" s="41"/>
      <c r="Y41" s="40">
        <f>U17+U41</f>
        <v>26220</v>
      </c>
      <c r="Z41" s="71">
        <f t="shared" si="13"/>
        <v>189</v>
      </c>
      <c r="AA41" s="74">
        <f>W17+W41</f>
        <v>4955580</v>
      </c>
      <c r="AC41" s="55"/>
      <c r="AD41" s="55"/>
      <c r="AE41" s="55"/>
    </row>
    <row r="42" spans="2:32" ht="17" thickBot="1" x14ac:dyDescent="0.25">
      <c r="B42" s="361" t="s">
        <v>93</v>
      </c>
      <c r="C42" s="45">
        <f>SUM(C39:C41)</f>
        <v>3919.3196574605354</v>
      </c>
      <c r="D42" s="67">
        <f>E42/C42</f>
        <v>189</v>
      </c>
      <c r="E42" s="70">
        <f>SUM(E39:E41)</f>
        <v>740751.41526004113</v>
      </c>
      <c r="F42" s="45">
        <f>SUM(F39:F41)</f>
        <v>2137.8107222512012</v>
      </c>
      <c r="G42" s="67">
        <f>H42/F42</f>
        <v>189</v>
      </c>
      <c r="H42" s="70">
        <f>SUM(H39:H41)</f>
        <v>404046.22650547704</v>
      </c>
      <c r="I42" s="45">
        <f>SUM(I39:I41)</f>
        <v>3919.3196574605354</v>
      </c>
      <c r="J42" s="67">
        <f>K42/I42</f>
        <v>189</v>
      </c>
      <c r="K42" s="70">
        <f>SUM(K39:K41)</f>
        <v>740751.41526004113</v>
      </c>
      <c r="L42" s="45">
        <f>SUM(L39:L41)</f>
        <v>3741.1687639396023</v>
      </c>
      <c r="M42" s="67">
        <f>N42/L42</f>
        <v>189</v>
      </c>
      <c r="N42" s="70">
        <f>SUM(N39:N41)</f>
        <v>707080.89638458483</v>
      </c>
      <c r="O42" s="45">
        <f>SUM(O39:O41)</f>
        <v>3741.1687639396023</v>
      </c>
      <c r="P42" s="67">
        <f>Q42/O42</f>
        <v>189</v>
      </c>
      <c r="Q42" s="70">
        <f>SUM(Q39:Q41)</f>
        <v>707080.89638458483</v>
      </c>
      <c r="R42" s="45">
        <f>SUM(R39:R41)</f>
        <v>2137.8107222512012</v>
      </c>
      <c r="S42" s="67">
        <f>T42/R42</f>
        <v>189</v>
      </c>
      <c r="T42" s="70">
        <f>SUM(T39:T41)</f>
        <v>404046.22650547704</v>
      </c>
      <c r="U42" s="44">
        <f>SUM(U39:U41)</f>
        <v>19596.598287302677</v>
      </c>
      <c r="V42" s="72">
        <f t="shared" si="12"/>
        <v>189</v>
      </c>
      <c r="W42" s="75">
        <f>SUM(W39:W41)</f>
        <v>3703757.0763002061</v>
      </c>
      <c r="X42" s="47"/>
      <c r="Y42" s="44">
        <f>SUM(Y39:Y41)</f>
        <v>41865.459977419356</v>
      </c>
      <c r="Z42" s="72">
        <f t="shared" si="13"/>
        <v>189</v>
      </c>
      <c r="AA42" s="75">
        <f>SUM(AA39:AA41)</f>
        <v>7912571.9357322585</v>
      </c>
      <c r="AC42" s="55"/>
      <c r="AD42" s="55"/>
      <c r="AE42" s="55"/>
      <c r="AF42" s="49"/>
    </row>
    <row r="43" spans="2:32" x14ac:dyDescent="0.2">
      <c r="B43" s="96"/>
      <c r="C43" s="30"/>
      <c r="D43" s="66"/>
      <c r="E43" s="69"/>
      <c r="F43" s="30"/>
      <c r="G43" s="66"/>
      <c r="H43" s="69"/>
      <c r="I43" s="30"/>
      <c r="J43" s="66"/>
      <c r="K43" s="69"/>
      <c r="L43" s="30"/>
      <c r="M43" s="66"/>
      <c r="N43" s="69"/>
      <c r="O43" s="30"/>
      <c r="P43" s="66"/>
      <c r="Q43" s="69"/>
      <c r="R43" s="30"/>
      <c r="S43" s="66"/>
      <c r="T43" s="69"/>
      <c r="U43" s="33"/>
      <c r="V43" s="73"/>
      <c r="W43" s="74"/>
      <c r="Y43" s="33"/>
      <c r="Z43" s="73"/>
      <c r="AA43" s="74"/>
    </row>
    <row r="44" spans="2:32" x14ac:dyDescent="0.2">
      <c r="B44" s="359"/>
      <c r="C44" s="30"/>
      <c r="D44" s="66"/>
      <c r="E44" s="69"/>
      <c r="F44" s="30"/>
      <c r="G44" s="66"/>
      <c r="H44" s="69"/>
      <c r="I44" s="30"/>
      <c r="J44" s="66"/>
      <c r="K44" s="69"/>
      <c r="L44" s="30"/>
      <c r="M44" s="66"/>
      <c r="N44" s="69"/>
      <c r="O44" s="30"/>
      <c r="P44" s="66"/>
      <c r="Q44" s="69"/>
      <c r="R44" s="30"/>
      <c r="S44" s="66"/>
      <c r="T44" s="69"/>
      <c r="U44" s="33"/>
      <c r="V44" s="73"/>
      <c r="W44" s="74"/>
      <c r="Y44" s="33"/>
      <c r="Z44" s="73"/>
      <c r="AA44" s="74"/>
    </row>
    <row r="45" spans="2:32" x14ac:dyDescent="0.2">
      <c r="B45" s="96" t="s">
        <v>102</v>
      </c>
      <c r="C45" s="38">
        <f>C33+C39</f>
        <v>24519.850908661629</v>
      </c>
      <c r="D45" s="68">
        <f>E45/C45</f>
        <v>113.54336559734516</v>
      </c>
      <c r="E45" s="69">
        <f>E33+E39</f>
        <v>2784066.3961145631</v>
      </c>
      <c r="F45" s="38">
        <f>F33+F39</f>
        <v>13374.464131997251</v>
      </c>
      <c r="G45" s="68">
        <f>H45/F45</f>
        <v>113.54336559734516</v>
      </c>
      <c r="H45" s="69">
        <f>H33+H39</f>
        <v>1518581.6706079433</v>
      </c>
      <c r="I45" s="38">
        <f>I33+I39</f>
        <v>24519.850908661629</v>
      </c>
      <c r="J45" s="68">
        <f>K45/I45</f>
        <v>113.54336559734516</v>
      </c>
      <c r="K45" s="69">
        <f>K33+K39</f>
        <v>2784066.3961145631</v>
      </c>
      <c r="L45" s="38">
        <f>L33+L39</f>
        <v>23405.31223099519</v>
      </c>
      <c r="M45" s="68">
        <f>N45/L45</f>
        <v>113.54336559734514</v>
      </c>
      <c r="N45" s="69">
        <f>N33+N39</f>
        <v>2657517.9235639009</v>
      </c>
      <c r="O45" s="38">
        <f>O33+O39</f>
        <v>23405.31223099519</v>
      </c>
      <c r="P45" s="68">
        <f>Q45/O45</f>
        <v>113.54336559734514</v>
      </c>
      <c r="Q45" s="69">
        <f>Q33+Q39</f>
        <v>2657517.9235639009</v>
      </c>
      <c r="R45" s="38">
        <f>R33+R39</f>
        <v>13374.464131997251</v>
      </c>
      <c r="S45" s="68">
        <f>T45/R45</f>
        <v>113.54336559734516</v>
      </c>
      <c r="T45" s="69">
        <f>T33+T39</f>
        <v>1518581.6706079433</v>
      </c>
      <c r="U45" s="40">
        <f>C45+F45+I45+L45+O45+R45</f>
        <v>122599.25454330814</v>
      </c>
      <c r="V45" s="71">
        <f>IFERROR(W45/U45,0)</f>
        <v>113.54336559734516</v>
      </c>
      <c r="W45" s="74">
        <f>E45+H45+K45+N45+Q45+T45</f>
        <v>13920331.980572816</v>
      </c>
      <c r="Y45" s="40">
        <f>U21+U45</f>
        <v>261916.58925161284</v>
      </c>
      <c r="Z45" s="71">
        <f>IFERROR(AA45/Y45,0)</f>
        <v>113.54336559734516</v>
      </c>
      <c r="AA45" s="74">
        <f>W21+W45</f>
        <v>29738891.04940556</v>
      </c>
    </row>
    <row r="46" spans="2:32" x14ac:dyDescent="0.2">
      <c r="B46" s="96" t="s">
        <v>103</v>
      </c>
      <c r="C46" s="38">
        <f t="shared" ref="C46" si="14">C34+C40</f>
        <v>40493.451725768318</v>
      </c>
      <c r="D46" s="68">
        <f>E46/C46</f>
        <v>108.74965</v>
      </c>
      <c r="E46" s="69">
        <f t="shared" ref="E46:F47" si="15">E34+E40</f>
        <v>4403648.7024692008</v>
      </c>
      <c r="F46" s="38">
        <f t="shared" si="15"/>
        <v>22087.337304964538</v>
      </c>
      <c r="G46" s="68">
        <f>H46/F46</f>
        <v>108.74965000000002</v>
      </c>
      <c r="H46" s="69">
        <f t="shared" ref="H46:I47" si="16">H34+H40</f>
        <v>2401990.201346837</v>
      </c>
      <c r="I46" s="38">
        <f t="shared" si="16"/>
        <v>40493.451725768318</v>
      </c>
      <c r="J46" s="68">
        <f>K46/I46</f>
        <v>108.74965</v>
      </c>
      <c r="K46" s="69">
        <f t="shared" ref="K46:L47" si="17">K34+K40</f>
        <v>4403648.7024692008</v>
      </c>
      <c r="L46" s="38">
        <f t="shared" si="17"/>
        <v>38652.84028368794</v>
      </c>
      <c r="M46" s="68">
        <f>N46/L46</f>
        <v>108.74964999999999</v>
      </c>
      <c r="N46" s="69">
        <f t="shared" ref="N46:O47" si="18">N34+N40</f>
        <v>4203482.8523569638</v>
      </c>
      <c r="O46" s="38">
        <f t="shared" si="18"/>
        <v>38652.84028368794</v>
      </c>
      <c r="P46" s="68">
        <f>Q46/O46</f>
        <v>108.74964999999999</v>
      </c>
      <c r="Q46" s="69">
        <f t="shared" ref="Q46:R47" si="19">Q34+Q40</f>
        <v>4203482.8523569638</v>
      </c>
      <c r="R46" s="38">
        <f t="shared" si="19"/>
        <v>22087.337304964538</v>
      </c>
      <c r="S46" s="68">
        <f>T46/R46</f>
        <v>108.74965000000002</v>
      </c>
      <c r="T46" s="69">
        <f t="shared" ref="T46:T47" si="20">T34+T40</f>
        <v>2401990.201346837</v>
      </c>
      <c r="U46" s="40">
        <f>C46+F46+I46+L46+O46+R46</f>
        <v>202467.25862884161</v>
      </c>
      <c r="V46" s="71">
        <f t="shared" ref="V46:V48" si="21">IFERROR(W46/U46,0)</f>
        <v>108.74964999999999</v>
      </c>
      <c r="W46" s="74">
        <f>E46+H46+K46+N46+Q46+T46</f>
        <v>22018243.512346003</v>
      </c>
      <c r="Y46" s="40">
        <f>U22+U46</f>
        <v>432543.68888888886</v>
      </c>
      <c r="Z46" s="71">
        <f t="shared" ref="Z46:Z48" si="22">IFERROR(AA46/Y46,0)</f>
        <v>108.74964999999999</v>
      </c>
      <c r="AA46" s="74">
        <f>W22+W46</f>
        <v>47038974.776375547</v>
      </c>
    </row>
    <row r="47" spans="2:32" x14ac:dyDescent="0.2">
      <c r="B47" s="360" t="s">
        <v>104</v>
      </c>
      <c r="C47" s="38">
        <f t="shared" ref="C47" si="23">C35+C41</f>
        <v>2813.5035460992913</v>
      </c>
      <c r="D47" s="68">
        <f>E47/C47</f>
        <v>178.76398596938773</v>
      </c>
      <c r="E47" s="69">
        <f t="shared" si="15"/>
        <v>502953.10843971634</v>
      </c>
      <c r="F47" s="38">
        <f t="shared" si="15"/>
        <v>1534.6382978723407</v>
      </c>
      <c r="G47" s="68">
        <f>H47/F47</f>
        <v>178.76398596938773</v>
      </c>
      <c r="H47" s="69">
        <f t="shared" si="16"/>
        <v>274338.05914893618</v>
      </c>
      <c r="I47" s="38">
        <f t="shared" si="16"/>
        <v>2813.5035460992913</v>
      </c>
      <c r="J47" s="68">
        <f>K47/I47</f>
        <v>178.76398596938773</v>
      </c>
      <c r="K47" s="69">
        <f t="shared" si="17"/>
        <v>502953.10843971634</v>
      </c>
      <c r="L47" s="38">
        <f t="shared" si="17"/>
        <v>2685.6170212765965</v>
      </c>
      <c r="M47" s="68">
        <f>N47/L47</f>
        <v>178.76398596938773</v>
      </c>
      <c r="N47" s="69">
        <f t="shared" si="18"/>
        <v>480091.60351063835</v>
      </c>
      <c r="O47" s="38">
        <f t="shared" si="18"/>
        <v>2685.6170212765965</v>
      </c>
      <c r="P47" s="68">
        <f>Q47/O47</f>
        <v>178.76398596938773</v>
      </c>
      <c r="Q47" s="69">
        <f t="shared" si="19"/>
        <v>480091.60351063835</v>
      </c>
      <c r="R47" s="38">
        <f t="shared" si="19"/>
        <v>1534.6382978723407</v>
      </c>
      <c r="S47" s="68">
        <f>T47/R47</f>
        <v>178.76398596938773</v>
      </c>
      <c r="T47" s="69">
        <f t="shared" si="20"/>
        <v>274338.05914893618</v>
      </c>
      <c r="U47" s="40">
        <f>C47+F47+I47+L47+O47+R47</f>
        <v>14067.517730496456</v>
      </c>
      <c r="V47" s="71">
        <f t="shared" si="21"/>
        <v>178.76398596938773</v>
      </c>
      <c r="W47" s="74">
        <f>E47+H47+K47+N47+Q47+T47</f>
        <v>2514765.5421985816</v>
      </c>
      <c r="Y47" s="40">
        <f>U23+U47</f>
        <v>30053.333333333339</v>
      </c>
      <c r="Z47" s="71">
        <f t="shared" si="22"/>
        <v>178.7639859693877</v>
      </c>
      <c r="AA47" s="74">
        <f>W23+W47</f>
        <v>5372453.6583333332</v>
      </c>
    </row>
    <row r="48" spans="2:32" ht="17" thickBot="1" x14ac:dyDescent="0.25">
      <c r="B48" s="361" t="s">
        <v>3</v>
      </c>
      <c r="C48" s="45">
        <f>SUM(C45:C47)</f>
        <v>67826.806180529238</v>
      </c>
      <c r="D48" s="67">
        <f>E48/C48</f>
        <v>113.38685455060109</v>
      </c>
      <c r="E48" s="70">
        <f>SUM(E45:E47)</f>
        <v>7690668.20702348</v>
      </c>
      <c r="F48" s="44">
        <f>SUM(F45:F47)</f>
        <v>36996.43973483413</v>
      </c>
      <c r="G48" s="67">
        <f>H48/F48</f>
        <v>113.3868545506011</v>
      </c>
      <c r="H48" s="70">
        <f>SUM(H45:H47)</f>
        <v>4194909.9311037166</v>
      </c>
      <c r="I48" s="44">
        <f>SUM(I45:I47)</f>
        <v>67826.806180529238</v>
      </c>
      <c r="J48" s="67">
        <f>K48/I48</f>
        <v>113.38685455060109</v>
      </c>
      <c r="K48" s="70">
        <f>SUM(K45:K47)</f>
        <v>7690668.20702348</v>
      </c>
      <c r="L48" s="44">
        <f>SUM(L45:L47)</f>
        <v>64743.76953595972</v>
      </c>
      <c r="M48" s="67">
        <f>N48/L48</f>
        <v>113.3868545506011</v>
      </c>
      <c r="N48" s="70">
        <f>SUM(N45:N47)</f>
        <v>7341092.3794315029</v>
      </c>
      <c r="O48" s="44">
        <f>SUM(O45:O47)</f>
        <v>64743.76953595972</v>
      </c>
      <c r="P48" s="67">
        <f>Q48/O48</f>
        <v>113.3868545506011</v>
      </c>
      <c r="Q48" s="70">
        <f>SUM(Q45:Q47)</f>
        <v>7341092.3794315029</v>
      </c>
      <c r="R48" s="44">
        <f>SUM(R45:R47)</f>
        <v>36996.43973483413</v>
      </c>
      <c r="S48" s="67">
        <f>T48/R48</f>
        <v>113.3868545506011</v>
      </c>
      <c r="T48" s="70">
        <f>SUM(T45:T47)</f>
        <v>4194909.9311037166</v>
      </c>
      <c r="U48" s="44">
        <f>SUM(U45:U47)</f>
        <v>339134.03090264625</v>
      </c>
      <c r="V48" s="72">
        <f t="shared" si="21"/>
        <v>113.38685455060109</v>
      </c>
      <c r="W48" s="75">
        <f>SUM(W45:W47)</f>
        <v>38453341.035117403</v>
      </c>
      <c r="Y48" s="44">
        <f>SUM(Y45:Y47)</f>
        <v>724513.61147383507</v>
      </c>
      <c r="Z48" s="72">
        <f t="shared" si="22"/>
        <v>113.38685455060107</v>
      </c>
      <c r="AA48" s="75">
        <f>SUM(AA45:AA47)</f>
        <v>82150319.484114438</v>
      </c>
    </row>
  </sheetData>
  <mergeCells count="17"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  <mergeCell ref="C5:W5"/>
    <mergeCell ref="C6:E6"/>
    <mergeCell ref="F6:H6"/>
    <mergeCell ref="I6:K6"/>
    <mergeCell ref="L6:N6"/>
    <mergeCell ref="O6:Q6"/>
    <mergeCell ref="R6:T6"/>
    <mergeCell ref="U6:W6"/>
  </mergeCells>
  <pageMargins left="0.25" right="0.25" top="0.75" bottom="0.75" header="0.3" footer="0.3"/>
  <pageSetup paperSize="9" scale="43" orientation="landscape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7A7-875E-F54C-A0D3-58575AF387A1}">
  <sheetPr>
    <tabColor theme="0" tint="-0.499984740745262"/>
  </sheetPr>
  <dimension ref="B2:M195"/>
  <sheetViews>
    <sheetView zoomScale="190" zoomScaleNormal="190" workbookViewId="0">
      <selection activeCell="C140" sqref="C140:C145"/>
    </sheetView>
  </sheetViews>
  <sheetFormatPr baseColWidth="10" defaultRowHeight="14" x14ac:dyDescent="0.2"/>
  <cols>
    <col min="1" max="1" width="10.83203125" style="3"/>
    <col min="2" max="4" width="13.5" style="3" customWidth="1"/>
    <col min="5" max="12" width="13.5" style="367" customWidth="1"/>
    <col min="13" max="13" width="12.1640625" style="3" customWidth="1"/>
    <col min="14" max="16384" width="10.83203125" style="3"/>
  </cols>
  <sheetData>
    <row r="2" spans="2:13" x14ac:dyDescent="0.2">
      <c r="B2" s="3" t="s">
        <v>184</v>
      </c>
    </row>
    <row r="4" spans="2:13" x14ac:dyDescent="0.2">
      <c r="B4" s="3" t="s">
        <v>49</v>
      </c>
      <c r="E4" s="372">
        <v>0.23810000000000001</v>
      </c>
    </row>
    <row r="5" spans="2:13" x14ac:dyDescent="0.2">
      <c r="B5" s="3" t="s">
        <v>50</v>
      </c>
      <c r="E5" s="372">
        <f>33%-E4</f>
        <v>9.1900000000000009E-2</v>
      </c>
    </row>
    <row r="6" spans="2:13" x14ac:dyDescent="0.2">
      <c r="B6" s="3" t="s">
        <v>51</v>
      </c>
      <c r="E6" s="372">
        <v>0.25</v>
      </c>
    </row>
    <row r="8" spans="2:13" x14ac:dyDescent="0.2">
      <c r="B8" s="812" t="s">
        <v>73</v>
      </c>
      <c r="C8" s="812"/>
      <c r="D8" s="812"/>
      <c r="E8" s="812"/>
      <c r="F8" s="812"/>
      <c r="G8" s="812"/>
      <c r="H8" s="812"/>
      <c r="I8" s="812"/>
      <c r="J8" s="812"/>
      <c r="K8" s="812"/>
      <c r="L8" s="812"/>
    </row>
    <row r="9" spans="2:13" x14ac:dyDescent="0.2">
      <c r="B9" s="368" t="s">
        <v>46</v>
      </c>
      <c r="C9" s="368" t="s">
        <v>577</v>
      </c>
      <c r="D9" s="368" t="s">
        <v>185</v>
      </c>
      <c r="E9" s="368" t="s">
        <v>565</v>
      </c>
      <c r="F9" s="369" t="s">
        <v>186</v>
      </c>
      <c r="G9" s="369" t="s">
        <v>39</v>
      </c>
      <c r="H9" s="369" t="s">
        <v>44</v>
      </c>
      <c r="I9" s="369" t="s">
        <v>187</v>
      </c>
      <c r="J9" s="369" t="s">
        <v>45</v>
      </c>
      <c r="K9" s="369" t="s">
        <v>188</v>
      </c>
      <c r="L9" s="369" t="s">
        <v>38</v>
      </c>
      <c r="M9" s="371" t="s">
        <v>189</v>
      </c>
    </row>
    <row r="10" spans="2:13" x14ac:dyDescent="0.2">
      <c r="B10" s="3" t="s">
        <v>380</v>
      </c>
      <c r="C10" s="3" t="s">
        <v>190</v>
      </c>
      <c r="D10" s="3" t="s">
        <v>190</v>
      </c>
      <c r="E10" s="3"/>
      <c r="F10" s="367">
        <v>52666.67</v>
      </c>
      <c r="G10" s="367">
        <f t="shared" ref="G10:G41" si="0">F10*$E$4</f>
        <v>12539.934127</v>
      </c>
      <c r="H10" s="367">
        <f>F10/12</f>
        <v>4388.8891666666668</v>
      </c>
      <c r="I10" s="367">
        <f t="shared" ref="I10:I41" si="1">H10*$E$4</f>
        <v>1044.9945105833333</v>
      </c>
      <c r="J10" s="367">
        <f>F10/12</f>
        <v>4388.8891666666668</v>
      </c>
      <c r="K10" s="367">
        <f t="shared" ref="K10:K41" si="2">J10*$E$4</f>
        <v>1044.9945105833333</v>
      </c>
      <c r="L10" s="367">
        <f>F10/13.5</f>
        <v>3901.2348148148149</v>
      </c>
      <c r="M10" s="370">
        <f>SUM(G10:L10)+F10</f>
        <v>79975.606296314814</v>
      </c>
    </row>
    <row r="11" spans="2:13" x14ac:dyDescent="0.2">
      <c r="B11" s="3" t="s">
        <v>381</v>
      </c>
      <c r="C11" s="3" t="s">
        <v>304</v>
      </c>
      <c r="D11" s="3" t="s">
        <v>191</v>
      </c>
      <c r="E11" s="3"/>
      <c r="F11" s="367">
        <v>23537.57</v>
      </c>
      <c r="G11" s="367">
        <f t="shared" si="0"/>
        <v>5604.2954170000003</v>
      </c>
      <c r="H11" s="367">
        <f t="shared" ref="H11:H53" si="3">F11/12</f>
        <v>1961.4641666666666</v>
      </c>
      <c r="I11" s="367">
        <f t="shared" si="1"/>
        <v>467.02461808333334</v>
      </c>
      <c r="J11" s="367">
        <f t="shared" ref="J11:J53" si="4">F11/12</f>
        <v>1961.4641666666666</v>
      </c>
      <c r="K11" s="367">
        <f t="shared" si="2"/>
        <v>467.02461808333334</v>
      </c>
      <c r="L11" s="367">
        <f t="shared" ref="L11:L53" si="5">F11/13.5</f>
        <v>1743.5237037037036</v>
      </c>
      <c r="M11" s="370">
        <f t="shared" ref="M11:M53" si="6">SUM(G11:L11)+F11</f>
        <v>35742.366690203708</v>
      </c>
    </row>
    <row r="12" spans="2:13" x14ac:dyDescent="0.2">
      <c r="B12" s="3" t="s">
        <v>382</v>
      </c>
      <c r="C12" s="3" t="s">
        <v>305</v>
      </c>
      <c r="D12" s="3" t="s">
        <v>192</v>
      </c>
      <c r="E12" s="3"/>
      <c r="F12" s="367">
        <v>40536.639999999999</v>
      </c>
      <c r="G12" s="367">
        <f t="shared" si="0"/>
        <v>9651.7739839999995</v>
      </c>
      <c r="H12" s="367">
        <f t="shared" si="3"/>
        <v>3378.0533333333333</v>
      </c>
      <c r="I12" s="367">
        <f t="shared" si="1"/>
        <v>804.31449866666662</v>
      </c>
      <c r="J12" s="367">
        <f t="shared" si="4"/>
        <v>3378.0533333333333</v>
      </c>
      <c r="K12" s="367">
        <f t="shared" si="2"/>
        <v>804.31449866666662</v>
      </c>
      <c r="L12" s="367">
        <f t="shared" si="5"/>
        <v>3002.7140740740742</v>
      </c>
      <c r="M12" s="370">
        <f t="shared" si="6"/>
        <v>61555.863722074071</v>
      </c>
    </row>
    <row r="13" spans="2:13" x14ac:dyDescent="0.2">
      <c r="B13" s="3" t="s">
        <v>383</v>
      </c>
      <c r="C13" s="3" t="s">
        <v>193</v>
      </c>
      <c r="D13" s="3" t="s">
        <v>193</v>
      </c>
      <c r="E13" s="3"/>
      <c r="F13" s="367">
        <v>59504.31</v>
      </c>
      <c r="G13" s="367">
        <f t="shared" si="0"/>
        <v>14167.976210999999</v>
      </c>
      <c r="H13" s="367">
        <f t="shared" si="3"/>
        <v>4958.6925000000001</v>
      </c>
      <c r="I13" s="367">
        <f t="shared" si="1"/>
        <v>1180.6646842500002</v>
      </c>
      <c r="J13" s="367">
        <f t="shared" si="4"/>
        <v>4958.6925000000001</v>
      </c>
      <c r="K13" s="367">
        <f t="shared" si="2"/>
        <v>1180.6646842500002</v>
      </c>
      <c r="L13" s="367">
        <f t="shared" si="5"/>
        <v>4407.7266666666665</v>
      </c>
      <c r="M13" s="370">
        <f t="shared" si="6"/>
        <v>90358.727246166673</v>
      </c>
    </row>
    <row r="14" spans="2:13" x14ac:dyDescent="0.2">
      <c r="B14" s="3" t="s">
        <v>384</v>
      </c>
      <c r="C14" s="3" t="s">
        <v>194</v>
      </c>
      <c r="D14" s="3" t="s">
        <v>194</v>
      </c>
      <c r="E14" s="3"/>
      <c r="F14" s="367">
        <v>27109.83</v>
      </c>
      <c r="G14" s="367">
        <f t="shared" si="0"/>
        <v>6454.850523000001</v>
      </c>
      <c r="H14" s="367">
        <f t="shared" si="3"/>
        <v>2259.1525000000001</v>
      </c>
      <c r="I14" s="367">
        <f t="shared" si="1"/>
        <v>537.90421025000001</v>
      </c>
      <c r="J14" s="367">
        <f t="shared" si="4"/>
        <v>2259.1525000000001</v>
      </c>
      <c r="K14" s="367">
        <f t="shared" si="2"/>
        <v>537.90421025000001</v>
      </c>
      <c r="L14" s="367">
        <f t="shared" si="5"/>
        <v>2008.1355555555556</v>
      </c>
      <c r="M14" s="370">
        <f t="shared" si="6"/>
        <v>41166.929499055565</v>
      </c>
    </row>
    <row r="15" spans="2:13" x14ac:dyDescent="0.2">
      <c r="B15" s="3" t="s">
        <v>385</v>
      </c>
      <c r="C15" s="3" t="s">
        <v>307</v>
      </c>
      <c r="D15" s="3" t="s">
        <v>195</v>
      </c>
      <c r="E15" s="3" t="s">
        <v>696</v>
      </c>
      <c r="F15" s="367">
        <v>23062.27</v>
      </c>
      <c r="G15" s="367">
        <f t="shared" si="0"/>
        <v>5491.1264870000005</v>
      </c>
      <c r="H15" s="367">
        <f t="shared" si="3"/>
        <v>1921.8558333333333</v>
      </c>
      <c r="I15" s="367">
        <f t="shared" si="1"/>
        <v>457.59387391666667</v>
      </c>
      <c r="J15" s="367">
        <f t="shared" si="4"/>
        <v>1921.8558333333333</v>
      </c>
      <c r="K15" s="367">
        <f t="shared" si="2"/>
        <v>457.59387391666667</v>
      </c>
      <c r="L15" s="367">
        <f t="shared" si="5"/>
        <v>1708.3162962962963</v>
      </c>
      <c r="M15" s="370">
        <f t="shared" si="6"/>
        <v>35020.612197796298</v>
      </c>
    </row>
    <row r="16" spans="2:13" x14ac:dyDescent="0.2">
      <c r="B16" s="3" t="s">
        <v>386</v>
      </c>
      <c r="C16" s="3" t="s">
        <v>307</v>
      </c>
      <c r="D16" s="3" t="s">
        <v>196</v>
      </c>
      <c r="E16" s="3" t="s">
        <v>696</v>
      </c>
      <c r="F16" s="367">
        <v>22137.439999999999</v>
      </c>
      <c r="G16" s="367">
        <f t="shared" si="0"/>
        <v>5270.9244639999997</v>
      </c>
      <c r="H16" s="367">
        <f t="shared" si="3"/>
        <v>1844.7866666666666</v>
      </c>
      <c r="I16" s="367">
        <f t="shared" si="1"/>
        <v>439.24370533333331</v>
      </c>
      <c r="J16" s="367">
        <f t="shared" si="4"/>
        <v>1844.7866666666666</v>
      </c>
      <c r="K16" s="367">
        <f t="shared" si="2"/>
        <v>439.24370533333331</v>
      </c>
      <c r="L16" s="367">
        <f t="shared" si="5"/>
        <v>1639.8103703703703</v>
      </c>
      <c r="M16" s="370">
        <f t="shared" si="6"/>
        <v>33616.235578370368</v>
      </c>
    </row>
    <row r="17" spans="2:13" x14ac:dyDescent="0.2">
      <c r="B17" s="3" t="s">
        <v>387</v>
      </c>
      <c r="C17" s="3" t="s">
        <v>307</v>
      </c>
      <c r="D17" s="3" t="s">
        <v>197</v>
      </c>
      <c r="E17" s="3" t="s">
        <v>696</v>
      </c>
      <c r="F17" s="367">
        <v>20242.759999999998</v>
      </c>
      <c r="G17" s="367">
        <f t="shared" si="0"/>
        <v>4819.8011559999995</v>
      </c>
      <c r="H17" s="367">
        <f t="shared" si="3"/>
        <v>1686.8966666666665</v>
      </c>
      <c r="I17" s="367">
        <f t="shared" si="1"/>
        <v>401.65009633333329</v>
      </c>
      <c r="J17" s="367">
        <f t="shared" si="4"/>
        <v>1686.8966666666665</v>
      </c>
      <c r="K17" s="367">
        <f t="shared" si="2"/>
        <v>401.65009633333329</v>
      </c>
      <c r="L17" s="367">
        <f t="shared" si="5"/>
        <v>1499.4637037037037</v>
      </c>
      <c r="M17" s="370">
        <f t="shared" si="6"/>
        <v>30739.118385703703</v>
      </c>
    </row>
    <row r="18" spans="2:13" x14ac:dyDescent="0.2">
      <c r="B18" s="3" t="s">
        <v>388</v>
      </c>
      <c r="C18" s="3" t="s">
        <v>307</v>
      </c>
      <c r="D18" s="3" t="s">
        <v>198</v>
      </c>
      <c r="E18" s="3" t="s">
        <v>696</v>
      </c>
      <c r="F18" s="367">
        <v>20242.759999999998</v>
      </c>
      <c r="G18" s="367">
        <f t="shared" si="0"/>
        <v>4819.8011559999995</v>
      </c>
      <c r="H18" s="367">
        <f t="shared" si="3"/>
        <v>1686.8966666666665</v>
      </c>
      <c r="I18" s="367">
        <f t="shared" si="1"/>
        <v>401.65009633333329</v>
      </c>
      <c r="J18" s="367">
        <f t="shared" si="4"/>
        <v>1686.8966666666665</v>
      </c>
      <c r="K18" s="367">
        <f t="shared" si="2"/>
        <v>401.65009633333329</v>
      </c>
      <c r="L18" s="367">
        <f t="shared" si="5"/>
        <v>1499.4637037037037</v>
      </c>
      <c r="M18" s="370">
        <f t="shared" si="6"/>
        <v>30739.118385703703</v>
      </c>
    </row>
    <row r="19" spans="2:13" x14ac:dyDescent="0.2">
      <c r="B19" s="3" t="s">
        <v>389</v>
      </c>
      <c r="C19" s="3" t="s">
        <v>307</v>
      </c>
      <c r="D19" s="3" t="s">
        <v>199</v>
      </c>
      <c r="E19" s="3" t="s">
        <v>696</v>
      </c>
      <c r="F19" s="367">
        <v>20013.53</v>
      </c>
      <c r="G19" s="367">
        <f t="shared" si="0"/>
        <v>4765.221493</v>
      </c>
      <c r="H19" s="367">
        <f t="shared" si="3"/>
        <v>1667.7941666666666</v>
      </c>
      <c r="I19" s="367">
        <f t="shared" si="1"/>
        <v>397.1017910833333</v>
      </c>
      <c r="J19" s="367">
        <f t="shared" si="4"/>
        <v>1667.7941666666666</v>
      </c>
      <c r="K19" s="367">
        <f t="shared" si="2"/>
        <v>397.1017910833333</v>
      </c>
      <c r="L19" s="367">
        <f t="shared" si="5"/>
        <v>1482.4837037037037</v>
      </c>
      <c r="M19" s="370">
        <f t="shared" si="6"/>
        <v>30391.027112203701</v>
      </c>
    </row>
    <row r="20" spans="2:13" x14ac:dyDescent="0.2">
      <c r="B20" s="3" t="s">
        <v>390</v>
      </c>
      <c r="C20" s="3" t="s">
        <v>307</v>
      </c>
      <c r="D20" s="3" t="s">
        <v>200</v>
      </c>
      <c r="E20" s="3" t="s">
        <v>696</v>
      </c>
      <c r="F20" s="367">
        <v>18900.68</v>
      </c>
      <c r="G20" s="367">
        <f t="shared" si="0"/>
        <v>4500.2519080000002</v>
      </c>
      <c r="H20" s="367">
        <f t="shared" si="3"/>
        <v>1575.0566666666666</v>
      </c>
      <c r="I20" s="367">
        <f t="shared" si="1"/>
        <v>375.02099233333331</v>
      </c>
      <c r="J20" s="367">
        <f t="shared" si="4"/>
        <v>1575.0566666666666</v>
      </c>
      <c r="K20" s="367">
        <f t="shared" si="2"/>
        <v>375.02099233333331</v>
      </c>
      <c r="L20" s="367">
        <f t="shared" si="5"/>
        <v>1400.0503703703705</v>
      </c>
      <c r="M20" s="370">
        <f t="shared" si="6"/>
        <v>28701.137596370369</v>
      </c>
    </row>
    <row r="21" spans="2:13" x14ac:dyDescent="0.2">
      <c r="B21" s="3" t="s">
        <v>391</v>
      </c>
      <c r="C21" s="3" t="s">
        <v>307</v>
      </c>
      <c r="D21" s="3" t="s">
        <v>201</v>
      </c>
      <c r="E21" s="3" t="s">
        <v>696</v>
      </c>
      <c r="F21" s="367">
        <v>18510.68</v>
      </c>
      <c r="G21" s="367">
        <f t="shared" si="0"/>
        <v>4407.3929079999998</v>
      </c>
      <c r="H21" s="367">
        <f t="shared" si="3"/>
        <v>1542.5566666666666</v>
      </c>
      <c r="I21" s="367">
        <f t="shared" si="1"/>
        <v>367.28274233333332</v>
      </c>
      <c r="J21" s="367">
        <f t="shared" si="4"/>
        <v>1542.5566666666666</v>
      </c>
      <c r="K21" s="367">
        <f t="shared" si="2"/>
        <v>367.28274233333332</v>
      </c>
      <c r="L21" s="367">
        <f t="shared" si="5"/>
        <v>1371.1614814814816</v>
      </c>
      <c r="M21" s="370">
        <f t="shared" si="6"/>
        <v>28108.913207481484</v>
      </c>
    </row>
    <row r="22" spans="2:13" x14ac:dyDescent="0.2">
      <c r="B22" s="3" t="s">
        <v>392</v>
      </c>
      <c r="C22" s="3" t="s">
        <v>307</v>
      </c>
      <c r="D22" s="3" t="s">
        <v>202</v>
      </c>
      <c r="E22" s="3" t="s">
        <v>696</v>
      </c>
      <c r="F22" s="367">
        <v>14939.09</v>
      </c>
      <c r="G22" s="367">
        <f t="shared" si="0"/>
        <v>3556.9973290000003</v>
      </c>
      <c r="H22" s="367">
        <f t="shared" si="3"/>
        <v>1244.9241666666667</v>
      </c>
      <c r="I22" s="367">
        <f t="shared" si="1"/>
        <v>296.41644408333332</v>
      </c>
      <c r="J22" s="367">
        <f t="shared" si="4"/>
        <v>1244.9241666666667</v>
      </c>
      <c r="K22" s="367">
        <f t="shared" si="2"/>
        <v>296.41644408333332</v>
      </c>
      <c r="L22" s="367">
        <f t="shared" si="5"/>
        <v>1106.5992592592593</v>
      </c>
      <c r="M22" s="370">
        <f t="shared" si="6"/>
        <v>22685.36780975926</v>
      </c>
    </row>
    <row r="23" spans="2:13" x14ac:dyDescent="0.2">
      <c r="B23" s="3" t="s">
        <v>393</v>
      </c>
      <c r="C23" s="3" t="s">
        <v>307</v>
      </c>
      <c r="D23" s="3" t="s">
        <v>203</v>
      </c>
      <c r="E23" s="3" t="s">
        <v>696</v>
      </c>
      <c r="F23" s="367">
        <v>14939.09</v>
      </c>
      <c r="G23" s="367">
        <f t="shared" si="0"/>
        <v>3556.9973290000003</v>
      </c>
      <c r="H23" s="367">
        <f t="shared" si="3"/>
        <v>1244.9241666666667</v>
      </c>
      <c r="I23" s="367">
        <f t="shared" si="1"/>
        <v>296.41644408333332</v>
      </c>
      <c r="J23" s="367">
        <f t="shared" si="4"/>
        <v>1244.9241666666667</v>
      </c>
      <c r="K23" s="367">
        <f t="shared" si="2"/>
        <v>296.41644408333332</v>
      </c>
      <c r="L23" s="367">
        <f t="shared" si="5"/>
        <v>1106.5992592592593</v>
      </c>
      <c r="M23" s="370">
        <f t="shared" si="6"/>
        <v>22685.36780975926</v>
      </c>
    </row>
    <row r="24" spans="2:13" x14ac:dyDescent="0.2">
      <c r="B24" s="3" t="s">
        <v>394</v>
      </c>
      <c r="C24" s="3" t="s">
        <v>307</v>
      </c>
      <c r="D24" s="3" t="s">
        <v>204</v>
      </c>
      <c r="E24" s="3" t="s">
        <v>696</v>
      </c>
      <c r="F24" s="367">
        <v>14939.09</v>
      </c>
      <c r="G24" s="367">
        <f t="shared" si="0"/>
        <v>3556.9973290000003</v>
      </c>
      <c r="H24" s="367">
        <f t="shared" si="3"/>
        <v>1244.9241666666667</v>
      </c>
      <c r="I24" s="367">
        <f t="shared" si="1"/>
        <v>296.41644408333332</v>
      </c>
      <c r="J24" s="367">
        <f t="shared" si="4"/>
        <v>1244.9241666666667</v>
      </c>
      <c r="K24" s="367">
        <f t="shared" si="2"/>
        <v>296.41644408333332</v>
      </c>
      <c r="L24" s="367">
        <f t="shared" si="5"/>
        <v>1106.5992592592593</v>
      </c>
      <c r="M24" s="370">
        <f t="shared" si="6"/>
        <v>22685.36780975926</v>
      </c>
    </row>
    <row r="25" spans="2:13" x14ac:dyDescent="0.2">
      <c r="B25" s="3" t="s">
        <v>395</v>
      </c>
      <c r="C25" s="3" t="s">
        <v>307</v>
      </c>
      <c r="D25" s="3" t="s">
        <v>205</v>
      </c>
      <c r="E25" s="3" t="s">
        <v>696</v>
      </c>
      <c r="F25" s="367">
        <v>14939.09</v>
      </c>
      <c r="G25" s="367">
        <f t="shared" si="0"/>
        <v>3556.9973290000003</v>
      </c>
      <c r="H25" s="367">
        <f t="shared" si="3"/>
        <v>1244.9241666666667</v>
      </c>
      <c r="I25" s="367">
        <f t="shared" si="1"/>
        <v>296.41644408333332</v>
      </c>
      <c r="J25" s="367">
        <f t="shared" si="4"/>
        <v>1244.9241666666667</v>
      </c>
      <c r="K25" s="367">
        <f t="shared" si="2"/>
        <v>296.41644408333332</v>
      </c>
      <c r="L25" s="367">
        <f t="shared" si="5"/>
        <v>1106.5992592592593</v>
      </c>
      <c r="M25" s="370">
        <f t="shared" si="6"/>
        <v>22685.36780975926</v>
      </c>
    </row>
    <row r="26" spans="2:13" x14ac:dyDescent="0.2">
      <c r="B26" s="3" t="s">
        <v>396</v>
      </c>
      <c r="C26" s="3" t="s">
        <v>307</v>
      </c>
      <c r="D26" s="3" t="s">
        <v>206</v>
      </c>
      <c r="E26" s="3" t="s">
        <v>696</v>
      </c>
      <c r="F26" s="367">
        <v>14939.09</v>
      </c>
      <c r="G26" s="367">
        <f t="shared" si="0"/>
        <v>3556.9973290000003</v>
      </c>
      <c r="H26" s="367">
        <f t="shared" si="3"/>
        <v>1244.9241666666667</v>
      </c>
      <c r="I26" s="367">
        <f t="shared" si="1"/>
        <v>296.41644408333332</v>
      </c>
      <c r="J26" s="367">
        <f t="shared" si="4"/>
        <v>1244.9241666666667</v>
      </c>
      <c r="K26" s="367">
        <f t="shared" si="2"/>
        <v>296.41644408333332</v>
      </c>
      <c r="L26" s="367">
        <f t="shared" si="5"/>
        <v>1106.5992592592593</v>
      </c>
      <c r="M26" s="370">
        <f t="shared" si="6"/>
        <v>22685.36780975926</v>
      </c>
    </row>
    <row r="27" spans="2:13" x14ac:dyDescent="0.2">
      <c r="B27" s="3" t="s">
        <v>397</v>
      </c>
      <c r="C27" s="3" t="s">
        <v>307</v>
      </c>
      <c r="D27" s="3" t="s">
        <v>207</v>
      </c>
      <c r="E27" s="3" t="s">
        <v>696</v>
      </c>
      <c r="F27" s="367">
        <v>14939.09</v>
      </c>
      <c r="G27" s="367">
        <f t="shared" si="0"/>
        <v>3556.9973290000003</v>
      </c>
      <c r="H27" s="367">
        <f t="shared" si="3"/>
        <v>1244.9241666666667</v>
      </c>
      <c r="I27" s="367">
        <f t="shared" si="1"/>
        <v>296.41644408333332</v>
      </c>
      <c r="J27" s="367">
        <f t="shared" si="4"/>
        <v>1244.9241666666667</v>
      </c>
      <c r="K27" s="367">
        <f t="shared" si="2"/>
        <v>296.41644408333332</v>
      </c>
      <c r="L27" s="367">
        <f t="shared" si="5"/>
        <v>1106.5992592592593</v>
      </c>
      <c r="M27" s="370">
        <f t="shared" si="6"/>
        <v>22685.36780975926</v>
      </c>
    </row>
    <row r="28" spans="2:13" x14ac:dyDescent="0.2">
      <c r="B28" s="3" t="s">
        <v>398</v>
      </c>
      <c r="C28" s="3" t="s">
        <v>307</v>
      </c>
      <c r="D28" s="3" t="s">
        <v>208</v>
      </c>
      <c r="E28" s="3" t="s">
        <v>696</v>
      </c>
      <c r="F28" s="367">
        <v>14939.09</v>
      </c>
      <c r="G28" s="367">
        <f t="shared" si="0"/>
        <v>3556.9973290000003</v>
      </c>
      <c r="H28" s="367">
        <f t="shared" si="3"/>
        <v>1244.9241666666667</v>
      </c>
      <c r="I28" s="367">
        <f t="shared" si="1"/>
        <v>296.41644408333332</v>
      </c>
      <c r="J28" s="367">
        <f t="shared" si="4"/>
        <v>1244.9241666666667</v>
      </c>
      <c r="K28" s="367">
        <f t="shared" si="2"/>
        <v>296.41644408333332</v>
      </c>
      <c r="L28" s="367">
        <f t="shared" si="5"/>
        <v>1106.5992592592593</v>
      </c>
      <c r="M28" s="370">
        <f t="shared" si="6"/>
        <v>22685.36780975926</v>
      </c>
    </row>
    <row r="29" spans="2:13" x14ac:dyDescent="0.2">
      <c r="B29" s="3" t="s">
        <v>399</v>
      </c>
      <c r="C29" s="3" t="s">
        <v>307</v>
      </c>
      <c r="D29" s="3" t="s">
        <v>209</v>
      </c>
      <c r="E29" s="3" t="s">
        <v>696</v>
      </c>
      <c r="F29" s="367">
        <v>14939.09</v>
      </c>
      <c r="G29" s="367">
        <f t="shared" si="0"/>
        <v>3556.9973290000003</v>
      </c>
      <c r="H29" s="367">
        <f t="shared" si="3"/>
        <v>1244.9241666666667</v>
      </c>
      <c r="I29" s="367">
        <f t="shared" si="1"/>
        <v>296.41644408333332</v>
      </c>
      <c r="J29" s="367">
        <f t="shared" si="4"/>
        <v>1244.9241666666667</v>
      </c>
      <c r="K29" s="367">
        <f t="shared" si="2"/>
        <v>296.41644408333332</v>
      </c>
      <c r="L29" s="367">
        <f t="shared" si="5"/>
        <v>1106.5992592592593</v>
      </c>
      <c r="M29" s="370">
        <f t="shared" si="6"/>
        <v>22685.36780975926</v>
      </c>
    </row>
    <row r="30" spans="2:13" x14ac:dyDescent="0.2">
      <c r="B30" s="3" t="s">
        <v>400</v>
      </c>
      <c r="C30" s="3" t="s">
        <v>307</v>
      </c>
      <c r="D30" s="3" t="s">
        <v>210</v>
      </c>
      <c r="E30" s="3" t="s">
        <v>696</v>
      </c>
      <c r="F30" s="367">
        <v>14939.09</v>
      </c>
      <c r="G30" s="367">
        <f t="shared" si="0"/>
        <v>3556.9973290000003</v>
      </c>
      <c r="H30" s="367">
        <f t="shared" si="3"/>
        <v>1244.9241666666667</v>
      </c>
      <c r="I30" s="367">
        <f t="shared" si="1"/>
        <v>296.41644408333332</v>
      </c>
      <c r="J30" s="367">
        <f t="shared" si="4"/>
        <v>1244.9241666666667</v>
      </c>
      <c r="K30" s="367">
        <f t="shared" si="2"/>
        <v>296.41644408333332</v>
      </c>
      <c r="L30" s="367">
        <f t="shared" si="5"/>
        <v>1106.5992592592593</v>
      </c>
      <c r="M30" s="370">
        <f t="shared" si="6"/>
        <v>22685.36780975926</v>
      </c>
    </row>
    <row r="31" spans="2:13" x14ac:dyDescent="0.2">
      <c r="B31" s="3" t="s">
        <v>401</v>
      </c>
      <c r="C31" s="3" t="s">
        <v>307</v>
      </c>
      <c r="D31" s="3" t="s">
        <v>211</v>
      </c>
      <c r="E31" s="3" t="s">
        <v>696</v>
      </c>
      <c r="F31" s="367">
        <v>14939.09</v>
      </c>
      <c r="G31" s="367">
        <f t="shared" si="0"/>
        <v>3556.9973290000003</v>
      </c>
      <c r="H31" s="367">
        <f t="shared" si="3"/>
        <v>1244.9241666666667</v>
      </c>
      <c r="I31" s="367">
        <f t="shared" si="1"/>
        <v>296.41644408333332</v>
      </c>
      <c r="J31" s="367">
        <f t="shared" si="4"/>
        <v>1244.9241666666667</v>
      </c>
      <c r="K31" s="367">
        <f t="shared" si="2"/>
        <v>296.41644408333332</v>
      </c>
      <c r="L31" s="367">
        <f t="shared" si="5"/>
        <v>1106.5992592592593</v>
      </c>
      <c r="M31" s="370">
        <f t="shared" si="6"/>
        <v>22685.36780975926</v>
      </c>
    </row>
    <row r="32" spans="2:13" x14ac:dyDescent="0.2">
      <c r="B32" s="3" t="s">
        <v>402</v>
      </c>
      <c r="C32" s="3" t="s">
        <v>307</v>
      </c>
      <c r="D32" s="3" t="s">
        <v>212</v>
      </c>
      <c r="E32" s="3" t="s">
        <v>696</v>
      </c>
      <c r="F32" s="367">
        <v>14939.09</v>
      </c>
      <c r="G32" s="367">
        <f t="shared" si="0"/>
        <v>3556.9973290000003</v>
      </c>
      <c r="H32" s="367">
        <f t="shared" si="3"/>
        <v>1244.9241666666667</v>
      </c>
      <c r="I32" s="367">
        <f t="shared" si="1"/>
        <v>296.41644408333332</v>
      </c>
      <c r="J32" s="367">
        <f t="shared" si="4"/>
        <v>1244.9241666666667</v>
      </c>
      <c r="K32" s="367">
        <f t="shared" si="2"/>
        <v>296.41644408333332</v>
      </c>
      <c r="L32" s="367">
        <f t="shared" si="5"/>
        <v>1106.5992592592593</v>
      </c>
      <c r="M32" s="370">
        <f t="shared" si="6"/>
        <v>22685.36780975926</v>
      </c>
    </row>
    <row r="33" spans="2:13" x14ac:dyDescent="0.2">
      <c r="B33" s="3" t="s">
        <v>403</v>
      </c>
      <c r="C33" s="3" t="s">
        <v>307</v>
      </c>
      <c r="D33" s="3" t="s">
        <v>213</v>
      </c>
      <c r="E33" s="3" t="s">
        <v>696</v>
      </c>
      <c r="F33" s="367">
        <v>14939.09</v>
      </c>
      <c r="G33" s="367">
        <f t="shared" si="0"/>
        <v>3556.9973290000003</v>
      </c>
      <c r="H33" s="367">
        <f t="shared" si="3"/>
        <v>1244.9241666666667</v>
      </c>
      <c r="I33" s="367">
        <f t="shared" si="1"/>
        <v>296.41644408333332</v>
      </c>
      <c r="J33" s="367">
        <f t="shared" si="4"/>
        <v>1244.9241666666667</v>
      </c>
      <c r="K33" s="367">
        <f t="shared" si="2"/>
        <v>296.41644408333332</v>
      </c>
      <c r="L33" s="367">
        <f t="shared" si="5"/>
        <v>1106.5992592592593</v>
      </c>
      <c r="M33" s="370">
        <f t="shared" si="6"/>
        <v>22685.36780975926</v>
      </c>
    </row>
    <row r="34" spans="2:13" x14ac:dyDescent="0.2">
      <c r="B34" s="3" t="s">
        <v>404</v>
      </c>
      <c r="C34" s="3" t="s">
        <v>307</v>
      </c>
      <c r="D34" s="3" t="s">
        <v>214</v>
      </c>
      <c r="E34" s="3" t="s">
        <v>696</v>
      </c>
      <c r="F34" s="367">
        <v>14939.09</v>
      </c>
      <c r="G34" s="367">
        <f t="shared" si="0"/>
        <v>3556.9973290000003</v>
      </c>
      <c r="H34" s="367">
        <f t="shared" si="3"/>
        <v>1244.9241666666667</v>
      </c>
      <c r="I34" s="367">
        <f t="shared" si="1"/>
        <v>296.41644408333332</v>
      </c>
      <c r="J34" s="367">
        <f t="shared" si="4"/>
        <v>1244.9241666666667</v>
      </c>
      <c r="K34" s="367">
        <f t="shared" si="2"/>
        <v>296.41644408333332</v>
      </c>
      <c r="L34" s="367">
        <f t="shared" si="5"/>
        <v>1106.5992592592593</v>
      </c>
      <c r="M34" s="370">
        <f t="shared" si="6"/>
        <v>22685.36780975926</v>
      </c>
    </row>
    <row r="35" spans="2:13" x14ac:dyDescent="0.2">
      <c r="B35" s="3" t="s">
        <v>405</v>
      </c>
      <c r="C35" s="3" t="s">
        <v>307</v>
      </c>
      <c r="D35" s="3" t="s">
        <v>215</v>
      </c>
      <c r="E35" s="3" t="s">
        <v>696</v>
      </c>
      <c r="F35" s="367">
        <v>14939.09</v>
      </c>
      <c r="G35" s="367">
        <f t="shared" si="0"/>
        <v>3556.9973290000003</v>
      </c>
      <c r="H35" s="367">
        <f t="shared" si="3"/>
        <v>1244.9241666666667</v>
      </c>
      <c r="I35" s="367">
        <f t="shared" si="1"/>
        <v>296.41644408333332</v>
      </c>
      <c r="J35" s="367">
        <f t="shared" si="4"/>
        <v>1244.9241666666667</v>
      </c>
      <c r="K35" s="367">
        <f t="shared" si="2"/>
        <v>296.41644408333332</v>
      </c>
      <c r="L35" s="367">
        <f t="shared" si="5"/>
        <v>1106.5992592592593</v>
      </c>
      <c r="M35" s="370">
        <f t="shared" si="6"/>
        <v>22685.36780975926</v>
      </c>
    </row>
    <row r="36" spans="2:13" x14ac:dyDescent="0.2">
      <c r="B36" s="3" t="s">
        <v>406</v>
      </c>
      <c r="C36" s="3" t="s">
        <v>307</v>
      </c>
      <c r="D36" s="3" t="s">
        <v>216</v>
      </c>
      <c r="E36" s="3" t="s">
        <v>696</v>
      </c>
      <c r="F36" s="367">
        <v>14939.09</v>
      </c>
      <c r="G36" s="367">
        <f t="shared" si="0"/>
        <v>3556.9973290000003</v>
      </c>
      <c r="H36" s="367">
        <f t="shared" si="3"/>
        <v>1244.9241666666667</v>
      </c>
      <c r="I36" s="367">
        <f t="shared" si="1"/>
        <v>296.41644408333332</v>
      </c>
      <c r="J36" s="367">
        <f t="shared" si="4"/>
        <v>1244.9241666666667</v>
      </c>
      <c r="K36" s="367">
        <f t="shared" si="2"/>
        <v>296.41644408333332</v>
      </c>
      <c r="L36" s="367">
        <f t="shared" si="5"/>
        <v>1106.5992592592593</v>
      </c>
      <c r="M36" s="370">
        <f t="shared" si="6"/>
        <v>22685.36780975926</v>
      </c>
    </row>
    <row r="37" spans="2:13" x14ac:dyDescent="0.2">
      <c r="B37" s="3" t="s">
        <v>407</v>
      </c>
      <c r="C37" s="3" t="s">
        <v>307</v>
      </c>
      <c r="D37" s="3" t="s">
        <v>217</v>
      </c>
      <c r="E37" s="3" t="s">
        <v>696</v>
      </c>
      <c r="F37" s="367">
        <v>14939.09</v>
      </c>
      <c r="G37" s="367">
        <f t="shared" si="0"/>
        <v>3556.9973290000003</v>
      </c>
      <c r="H37" s="367">
        <f t="shared" si="3"/>
        <v>1244.9241666666667</v>
      </c>
      <c r="I37" s="367">
        <f t="shared" si="1"/>
        <v>296.41644408333332</v>
      </c>
      <c r="J37" s="367">
        <f t="shared" si="4"/>
        <v>1244.9241666666667</v>
      </c>
      <c r="K37" s="367">
        <f t="shared" si="2"/>
        <v>296.41644408333332</v>
      </c>
      <c r="L37" s="367">
        <f t="shared" si="5"/>
        <v>1106.5992592592593</v>
      </c>
      <c r="M37" s="370">
        <f t="shared" si="6"/>
        <v>22685.36780975926</v>
      </c>
    </row>
    <row r="38" spans="2:13" x14ac:dyDescent="0.2">
      <c r="B38" s="3" t="s">
        <v>408</v>
      </c>
      <c r="C38" s="3" t="s">
        <v>307</v>
      </c>
      <c r="D38" s="3" t="s">
        <v>218</v>
      </c>
      <c r="E38" s="3" t="s">
        <v>696</v>
      </c>
      <c r="F38" s="367">
        <v>14939.09</v>
      </c>
      <c r="G38" s="367">
        <f t="shared" si="0"/>
        <v>3556.9973290000003</v>
      </c>
      <c r="H38" s="367">
        <f t="shared" si="3"/>
        <v>1244.9241666666667</v>
      </c>
      <c r="I38" s="367">
        <f t="shared" si="1"/>
        <v>296.41644408333332</v>
      </c>
      <c r="J38" s="367">
        <f t="shared" si="4"/>
        <v>1244.9241666666667</v>
      </c>
      <c r="K38" s="367">
        <f t="shared" si="2"/>
        <v>296.41644408333332</v>
      </c>
      <c r="L38" s="367">
        <f t="shared" si="5"/>
        <v>1106.5992592592593</v>
      </c>
      <c r="M38" s="370">
        <f t="shared" si="6"/>
        <v>22685.36780975926</v>
      </c>
    </row>
    <row r="39" spans="2:13" x14ac:dyDescent="0.2">
      <c r="B39" s="3" t="s">
        <v>409</v>
      </c>
      <c r="C39" s="3" t="s">
        <v>307</v>
      </c>
      <c r="D39" s="3" t="s">
        <v>219</v>
      </c>
      <c r="E39" s="3" t="s">
        <v>696</v>
      </c>
      <c r="F39" s="367">
        <v>14939.09</v>
      </c>
      <c r="G39" s="367">
        <f t="shared" si="0"/>
        <v>3556.9973290000003</v>
      </c>
      <c r="H39" s="367">
        <f t="shared" si="3"/>
        <v>1244.9241666666667</v>
      </c>
      <c r="I39" s="367">
        <f t="shared" si="1"/>
        <v>296.41644408333332</v>
      </c>
      <c r="J39" s="367">
        <f t="shared" si="4"/>
        <v>1244.9241666666667</v>
      </c>
      <c r="K39" s="367">
        <f t="shared" si="2"/>
        <v>296.41644408333332</v>
      </c>
      <c r="L39" s="367">
        <f t="shared" si="5"/>
        <v>1106.5992592592593</v>
      </c>
      <c r="M39" s="370">
        <f t="shared" si="6"/>
        <v>22685.36780975926</v>
      </c>
    </row>
    <row r="40" spans="2:13" x14ac:dyDescent="0.2">
      <c r="B40" s="3" t="s">
        <v>410</v>
      </c>
      <c r="C40" s="3" t="s">
        <v>307</v>
      </c>
      <c r="D40" s="3" t="s">
        <v>220</v>
      </c>
      <c r="E40" s="3" t="s">
        <v>696</v>
      </c>
      <c r="F40" s="367">
        <v>14939.09</v>
      </c>
      <c r="G40" s="367">
        <f t="shared" si="0"/>
        <v>3556.9973290000003</v>
      </c>
      <c r="H40" s="367">
        <f t="shared" si="3"/>
        <v>1244.9241666666667</v>
      </c>
      <c r="I40" s="367">
        <f t="shared" si="1"/>
        <v>296.41644408333332</v>
      </c>
      <c r="J40" s="367">
        <f t="shared" si="4"/>
        <v>1244.9241666666667</v>
      </c>
      <c r="K40" s="367">
        <f t="shared" si="2"/>
        <v>296.41644408333332</v>
      </c>
      <c r="L40" s="367">
        <f t="shared" si="5"/>
        <v>1106.5992592592593</v>
      </c>
      <c r="M40" s="370">
        <f t="shared" si="6"/>
        <v>22685.36780975926</v>
      </c>
    </row>
    <row r="41" spans="2:13" x14ac:dyDescent="0.2">
      <c r="B41" s="3" t="s">
        <v>411</v>
      </c>
      <c r="C41" s="3" t="s">
        <v>307</v>
      </c>
      <c r="D41" s="3" t="s">
        <v>221</v>
      </c>
      <c r="E41" s="3" t="s">
        <v>696</v>
      </c>
      <c r="F41" s="367">
        <v>14939.09</v>
      </c>
      <c r="G41" s="367">
        <f t="shared" si="0"/>
        <v>3556.9973290000003</v>
      </c>
      <c r="H41" s="367">
        <f t="shared" si="3"/>
        <v>1244.9241666666667</v>
      </c>
      <c r="I41" s="367">
        <f t="shared" si="1"/>
        <v>296.41644408333332</v>
      </c>
      <c r="J41" s="367">
        <f t="shared" si="4"/>
        <v>1244.9241666666667</v>
      </c>
      <c r="K41" s="367">
        <f t="shared" si="2"/>
        <v>296.41644408333332</v>
      </c>
      <c r="L41" s="367">
        <f t="shared" si="5"/>
        <v>1106.5992592592593</v>
      </c>
      <c r="M41" s="370">
        <f t="shared" si="6"/>
        <v>22685.36780975926</v>
      </c>
    </row>
    <row r="42" spans="2:13" x14ac:dyDescent="0.2">
      <c r="B42" s="3" t="s">
        <v>412</v>
      </c>
      <c r="C42" s="3" t="s">
        <v>307</v>
      </c>
      <c r="D42" s="3" t="s">
        <v>222</v>
      </c>
      <c r="E42" s="3" t="s">
        <v>696</v>
      </c>
      <c r="F42" s="367">
        <v>14939.09</v>
      </c>
      <c r="G42" s="367">
        <f t="shared" ref="G42:G73" si="7">F42*$E$4</f>
        <v>3556.9973290000003</v>
      </c>
      <c r="H42" s="367">
        <f t="shared" si="3"/>
        <v>1244.9241666666667</v>
      </c>
      <c r="I42" s="367">
        <f t="shared" ref="I42:I73" si="8">H42*$E$4</f>
        <v>296.41644408333332</v>
      </c>
      <c r="J42" s="367">
        <f t="shared" si="4"/>
        <v>1244.9241666666667</v>
      </c>
      <c r="K42" s="367">
        <f t="shared" ref="K42:K73" si="9">J42*$E$4</f>
        <v>296.41644408333332</v>
      </c>
      <c r="L42" s="367">
        <f t="shared" si="5"/>
        <v>1106.5992592592593</v>
      </c>
      <c r="M42" s="370">
        <f t="shared" si="6"/>
        <v>22685.36780975926</v>
      </c>
    </row>
    <row r="43" spans="2:13" x14ac:dyDescent="0.2">
      <c r="B43" s="3" t="s">
        <v>413</v>
      </c>
      <c r="C43" s="3" t="s">
        <v>307</v>
      </c>
      <c r="D43" s="3" t="s">
        <v>223</v>
      </c>
      <c r="E43" s="3" t="s">
        <v>696</v>
      </c>
      <c r="F43" s="367">
        <v>14939.09</v>
      </c>
      <c r="G43" s="367">
        <f t="shared" si="7"/>
        <v>3556.9973290000003</v>
      </c>
      <c r="H43" s="367">
        <f t="shared" si="3"/>
        <v>1244.9241666666667</v>
      </c>
      <c r="I43" s="367">
        <f t="shared" si="8"/>
        <v>296.41644408333332</v>
      </c>
      <c r="J43" s="367">
        <f t="shared" si="4"/>
        <v>1244.9241666666667</v>
      </c>
      <c r="K43" s="367">
        <f t="shared" si="9"/>
        <v>296.41644408333332</v>
      </c>
      <c r="L43" s="367">
        <f t="shared" si="5"/>
        <v>1106.5992592592593</v>
      </c>
      <c r="M43" s="370">
        <f t="shared" si="6"/>
        <v>22685.36780975926</v>
      </c>
    </row>
    <row r="44" spans="2:13" x14ac:dyDescent="0.2">
      <c r="B44" s="3" t="s">
        <v>414</v>
      </c>
      <c r="C44" s="3" t="s">
        <v>307</v>
      </c>
      <c r="D44" s="3" t="s">
        <v>224</v>
      </c>
      <c r="E44" s="3" t="s">
        <v>696</v>
      </c>
      <c r="F44" s="367">
        <v>14939.09</v>
      </c>
      <c r="G44" s="367">
        <f t="shared" si="7"/>
        <v>3556.9973290000003</v>
      </c>
      <c r="H44" s="367">
        <f t="shared" si="3"/>
        <v>1244.9241666666667</v>
      </c>
      <c r="I44" s="367">
        <f t="shared" si="8"/>
        <v>296.41644408333332</v>
      </c>
      <c r="J44" s="367">
        <f t="shared" si="4"/>
        <v>1244.9241666666667</v>
      </c>
      <c r="K44" s="367">
        <f t="shared" si="9"/>
        <v>296.41644408333332</v>
      </c>
      <c r="L44" s="367">
        <f t="shared" si="5"/>
        <v>1106.5992592592593</v>
      </c>
      <c r="M44" s="370">
        <f t="shared" si="6"/>
        <v>22685.36780975926</v>
      </c>
    </row>
    <row r="45" spans="2:13" x14ac:dyDescent="0.2">
      <c r="B45" s="3" t="s">
        <v>415</v>
      </c>
      <c r="C45" s="3" t="s">
        <v>307</v>
      </c>
      <c r="D45" s="3" t="s">
        <v>225</v>
      </c>
      <c r="E45" s="3" t="s">
        <v>696</v>
      </c>
      <c r="F45" s="367">
        <v>14939.09</v>
      </c>
      <c r="G45" s="367">
        <f t="shared" si="7"/>
        <v>3556.9973290000003</v>
      </c>
      <c r="H45" s="367">
        <f t="shared" si="3"/>
        <v>1244.9241666666667</v>
      </c>
      <c r="I45" s="367">
        <f t="shared" si="8"/>
        <v>296.41644408333332</v>
      </c>
      <c r="J45" s="367">
        <f t="shared" si="4"/>
        <v>1244.9241666666667</v>
      </c>
      <c r="K45" s="367">
        <f t="shared" si="9"/>
        <v>296.41644408333332</v>
      </c>
      <c r="L45" s="367">
        <f t="shared" si="5"/>
        <v>1106.5992592592593</v>
      </c>
      <c r="M45" s="370">
        <f t="shared" si="6"/>
        <v>22685.36780975926</v>
      </c>
    </row>
    <row r="46" spans="2:13" x14ac:dyDescent="0.2">
      <c r="B46" s="3" t="s">
        <v>416</v>
      </c>
      <c r="C46" s="3" t="s">
        <v>307</v>
      </c>
      <c r="D46" s="3" t="s">
        <v>226</v>
      </c>
      <c r="E46" s="3" t="s">
        <v>696</v>
      </c>
      <c r="F46" s="367">
        <v>14939.09</v>
      </c>
      <c r="G46" s="367">
        <f t="shared" si="7"/>
        <v>3556.9973290000003</v>
      </c>
      <c r="H46" s="367">
        <f t="shared" si="3"/>
        <v>1244.9241666666667</v>
      </c>
      <c r="I46" s="367">
        <f t="shared" si="8"/>
        <v>296.41644408333332</v>
      </c>
      <c r="J46" s="367">
        <f t="shared" si="4"/>
        <v>1244.9241666666667</v>
      </c>
      <c r="K46" s="367">
        <f t="shared" si="9"/>
        <v>296.41644408333332</v>
      </c>
      <c r="L46" s="367">
        <f t="shared" si="5"/>
        <v>1106.5992592592593</v>
      </c>
      <c r="M46" s="370">
        <f t="shared" si="6"/>
        <v>22685.36780975926</v>
      </c>
    </row>
    <row r="47" spans="2:13" x14ac:dyDescent="0.2">
      <c r="B47" s="3" t="s">
        <v>417</v>
      </c>
      <c r="C47" s="3" t="s">
        <v>307</v>
      </c>
      <c r="D47" s="3" t="s">
        <v>227</v>
      </c>
      <c r="E47" s="3" t="s">
        <v>696</v>
      </c>
      <c r="F47" s="367">
        <v>14939.09</v>
      </c>
      <c r="G47" s="367">
        <f t="shared" si="7"/>
        <v>3556.9973290000003</v>
      </c>
      <c r="H47" s="367">
        <f t="shared" si="3"/>
        <v>1244.9241666666667</v>
      </c>
      <c r="I47" s="367">
        <f t="shared" si="8"/>
        <v>296.41644408333332</v>
      </c>
      <c r="J47" s="367">
        <f t="shared" si="4"/>
        <v>1244.9241666666667</v>
      </c>
      <c r="K47" s="367">
        <f t="shared" si="9"/>
        <v>296.41644408333332</v>
      </c>
      <c r="L47" s="367">
        <f t="shared" si="5"/>
        <v>1106.5992592592593</v>
      </c>
      <c r="M47" s="370">
        <f t="shared" si="6"/>
        <v>22685.36780975926</v>
      </c>
    </row>
    <row r="48" spans="2:13" x14ac:dyDescent="0.2">
      <c r="B48" s="3" t="s">
        <v>418</v>
      </c>
      <c r="C48" s="3" t="s">
        <v>307</v>
      </c>
      <c r="D48" s="3" t="s">
        <v>228</v>
      </c>
      <c r="E48" s="3" t="s">
        <v>696</v>
      </c>
      <c r="F48" s="367">
        <v>14939.09</v>
      </c>
      <c r="G48" s="367">
        <f t="shared" si="7"/>
        <v>3556.9973290000003</v>
      </c>
      <c r="H48" s="367">
        <f t="shared" si="3"/>
        <v>1244.9241666666667</v>
      </c>
      <c r="I48" s="367">
        <f t="shared" si="8"/>
        <v>296.41644408333332</v>
      </c>
      <c r="J48" s="367">
        <f t="shared" si="4"/>
        <v>1244.9241666666667</v>
      </c>
      <c r="K48" s="367">
        <f t="shared" si="9"/>
        <v>296.41644408333332</v>
      </c>
      <c r="L48" s="367">
        <f t="shared" si="5"/>
        <v>1106.5992592592593</v>
      </c>
      <c r="M48" s="370">
        <f t="shared" si="6"/>
        <v>22685.36780975926</v>
      </c>
    </row>
    <row r="49" spans="2:13" x14ac:dyDescent="0.2">
      <c r="B49" s="3" t="s">
        <v>419</v>
      </c>
      <c r="C49" s="3" t="s">
        <v>307</v>
      </c>
      <c r="D49" s="3" t="s">
        <v>229</v>
      </c>
      <c r="E49" s="3" t="s">
        <v>696</v>
      </c>
      <c r="F49" s="367">
        <v>14939.09</v>
      </c>
      <c r="G49" s="367">
        <f t="shared" si="7"/>
        <v>3556.9973290000003</v>
      </c>
      <c r="H49" s="367">
        <f t="shared" si="3"/>
        <v>1244.9241666666667</v>
      </c>
      <c r="I49" s="367">
        <f t="shared" si="8"/>
        <v>296.41644408333332</v>
      </c>
      <c r="J49" s="367">
        <f t="shared" si="4"/>
        <v>1244.9241666666667</v>
      </c>
      <c r="K49" s="367">
        <f t="shared" si="9"/>
        <v>296.41644408333332</v>
      </c>
      <c r="L49" s="367">
        <f t="shared" si="5"/>
        <v>1106.5992592592593</v>
      </c>
      <c r="M49" s="370">
        <f t="shared" si="6"/>
        <v>22685.36780975926</v>
      </c>
    </row>
    <row r="50" spans="2:13" x14ac:dyDescent="0.2">
      <c r="B50" s="3" t="s">
        <v>420</v>
      </c>
      <c r="C50" s="3" t="s">
        <v>307</v>
      </c>
      <c r="D50" s="3" t="s">
        <v>230</v>
      </c>
      <c r="E50" s="3" t="s">
        <v>696</v>
      </c>
      <c r="F50" s="367">
        <v>14939.09</v>
      </c>
      <c r="G50" s="367">
        <f t="shared" si="7"/>
        <v>3556.9973290000003</v>
      </c>
      <c r="H50" s="367">
        <f t="shared" si="3"/>
        <v>1244.9241666666667</v>
      </c>
      <c r="I50" s="367">
        <f t="shared" si="8"/>
        <v>296.41644408333332</v>
      </c>
      <c r="J50" s="367">
        <f t="shared" si="4"/>
        <v>1244.9241666666667</v>
      </c>
      <c r="K50" s="367">
        <f t="shared" si="9"/>
        <v>296.41644408333332</v>
      </c>
      <c r="L50" s="367">
        <f t="shared" si="5"/>
        <v>1106.5992592592593</v>
      </c>
      <c r="M50" s="370">
        <f t="shared" si="6"/>
        <v>22685.36780975926</v>
      </c>
    </row>
    <row r="51" spans="2:13" x14ac:dyDescent="0.2">
      <c r="B51" s="3" t="s">
        <v>421</v>
      </c>
      <c r="C51" s="3" t="s">
        <v>307</v>
      </c>
      <c r="D51" s="3" t="s">
        <v>231</v>
      </c>
      <c r="E51" s="3" t="s">
        <v>696</v>
      </c>
      <c r="F51" s="367">
        <v>14939.09</v>
      </c>
      <c r="G51" s="367">
        <f t="shared" si="7"/>
        <v>3556.9973290000003</v>
      </c>
      <c r="H51" s="367">
        <f t="shared" si="3"/>
        <v>1244.9241666666667</v>
      </c>
      <c r="I51" s="367">
        <f t="shared" si="8"/>
        <v>296.41644408333332</v>
      </c>
      <c r="J51" s="367">
        <f t="shared" si="4"/>
        <v>1244.9241666666667</v>
      </c>
      <c r="K51" s="367">
        <f t="shared" si="9"/>
        <v>296.41644408333332</v>
      </c>
      <c r="L51" s="367">
        <f t="shared" si="5"/>
        <v>1106.5992592592593</v>
      </c>
      <c r="M51" s="370">
        <f t="shared" si="6"/>
        <v>22685.36780975926</v>
      </c>
    </row>
    <row r="52" spans="2:13" x14ac:dyDescent="0.2">
      <c r="B52" s="3" t="s">
        <v>422</v>
      </c>
      <c r="C52" s="3" t="s">
        <v>307</v>
      </c>
      <c r="D52" s="3" t="s">
        <v>232</v>
      </c>
      <c r="E52" s="3" t="s">
        <v>696</v>
      </c>
      <c r="F52" s="367">
        <v>22137.439999999999</v>
      </c>
      <c r="G52" s="367">
        <f t="shared" si="7"/>
        <v>5270.9244639999997</v>
      </c>
      <c r="H52" s="367">
        <f t="shared" si="3"/>
        <v>1844.7866666666666</v>
      </c>
      <c r="I52" s="367">
        <f t="shared" si="8"/>
        <v>439.24370533333331</v>
      </c>
      <c r="J52" s="367">
        <f t="shared" si="4"/>
        <v>1844.7866666666666</v>
      </c>
      <c r="K52" s="367">
        <f t="shared" si="9"/>
        <v>439.24370533333331</v>
      </c>
      <c r="L52" s="367">
        <f t="shared" si="5"/>
        <v>1639.8103703703703</v>
      </c>
      <c r="M52" s="370">
        <f t="shared" si="6"/>
        <v>33616.235578370368</v>
      </c>
    </row>
    <row r="53" spans="2:13" x14ac:dyDescent="0.2">
      <c r="B53" s="3" t="s">
        <v>423</v>
      </c>
      <c r="C53" s="3" t="s">
        <v>307</v>
      </c>
      <c r="D53" s="3" t="s">
        <v>233</v>
      </c>
      <c r="E53" s="3" t="s">
        <v>696</v>
      </c>
      <c r="F53" s="367">
        <v>20242.759999999998</v>
      </c>
      <c r="G53" s="367">
        <f t="shared" si="7"/>
        <v>4819.8011559999995</v>
      </c>
      <c r="H53" s="367">
        <f t="shared" si="3"/>
        <v>1686.8966666666665</v>
      </c>
      <c r="I53" s="367">
        <f t="shared" si="8"/>
        <v>401.65009633333329</v>
      </c>
      <c r="J53" s="367">
        <f t="shared" si="4"/>
        <v>1686.8966666666665</v>
      </c>
      <c r="K53" s="367">
        <f t="shared" si="9"/>
        <v>401.65009633333329</v>
      </c>
      <c r="L53" s="367">
        <f t="shared" si="5"/>
        <v>1499.4637037037037</v>
      </c>
      <c r="M53" s="370">
        <f t="shared" si="6"/>
        <v>30739.118385703703</v>
      </c>
    </row>
    <row r="54" spans="2:13" x14ac:dyDescent="0.2">
      <c r="B54" s="3" t="s">
        <v>424</v>
      </c>
      <c r="C54" s="3" t="s">
        <v>307</v>
      </c>
      <c r="D54" s="3" t="s">
        <v>234</v>
      </c>
      <c r="E54" s="3" t="s">
        <v>696</v>
      </c>
      <c r="F54" s="367">
        <v>20242.759999999998</v>
      </c>
      <c r="G54" s="367">
        <f t="shared" si="7"/>
        <v>4819.8011559999995</v>
      </c>
      <c r="H54" s="367">
        <f t="shared" ref="H54:H66" si="10">F54/12</f>
        <v>1686.8966666666665</v>
      </c>
      <c r="I54" s="367">
        <f t="shared" si="8"/>
        <v>401.65009633333329</v>
      </c>
      <c r="J54" s="367">
        <f t="shared" ref="J54:J66" si="11">F54/12</f>
        <v>1686.8966666666665</v>
      </c>
      <c r="K54" s="367">
        <f t="shared" si="9"/>
        <v>401.65009633333329</v>
      </c>
      <c r="L54" s="367">
        <f t="shared" ref="L54:L66" si="12">F54/13.5</f>
        <v>1499.4637037037037</v>
      </c>
      <c r="M54" s="370">
        <f t="shared" ref="M54:M66" si="13">SUM(G54:L54)+F54</f>
        <v>30739.118385703703</v>
      </c>
    </row>
    <row r="55" spans="2:13" x14ac:dyDescent="0.2">
      <c r="B55" s="3" t="s">
        <v>425</v>
      </c>
      <c r="C55" s="3" t="s">
        <v>307</v>
      </c>
      <c r="D55" s="3" t="s">
        <v>235</v>
      </c>
      <c r="E55" s="3" t="s">
        <v>696</v>
      </c>
      <c r="F55" s="367">
        <v>20013.53</v>
      </c>
      <c r="G55" s="367">
        <f t="shared" si="7"/>
        <v>4765.221493</v>
      </c>
      <c r="H55" s="367">
        <f t="shared" si="10"/>
        <v>1667.7941666666666</v>
      </c>
      <c r="I55" s="367">
        <f t="shared" si="8"/>
        <v>397.1017910833333</v>
      </c>
      <c r="J55" s="367">
        <f t="shared" si="11"/>
        <v>1667.7941666666666</v>
      </c>
      <c r="K55" s="367">
        <f t="shared" si="9"/>
        <v>397.1017910833333</v>
      </c>
      <c r="L55" s="367">
        <f t="shared" si="12"/>
        <v>1482.4837037037037</v>
      </c>
      <c r="M55" s="370">
        <f t="shared" si="13"/>
        <v>30391.027112203701</v>
      </c>
    </row>
    <row r="56" spans="2:13" x14ac:dyDescent="0.2">
      <c r="B56" s="3" t="s">
        <v>426</v>
      </c>
      <c r="C56" s="3" t="s">
        <v>307</v>
      </c>
      <c r="D56" s="3" t="s">
        <v>236</v>
      </c>
      <c r="E56" s="3" t="s">
        <v>696</v>
      </c>
      <c r="F56" s="367">
        <v>18900.68</v>
      </c>
      <c r="G56" s="367">
        <f t="shared" si="7"/>
        <v>4500.2519080000002</v>
      </c>
      <c r="H56" s="367">
        <f t="shared" si="10"/>
        <v>1575.0566666666666</v>
      </c>
      <c r="I56" s="367">
        <f t="shared" si="8"/>
        <v>375.02099233333331</v>
      </c>
      <c r="J56" s="367">
        <f t="shared" si="11"/>
        <v>1575.0566666666666</v>
      </c>
      <c r="K56" s="367">
        <f t="shared" si="9"/>
        <v>375.02099233333331</v>
      </c>
      <c r="L56" s="367">
        <f t="shared" si="12"/>
        <v>1400.0503703703705</v>
      </c>
      <c r="M56" s="370">
        <f t="shared" si="13"/>
        <v>28701.137596370369</v>
      </c>
    </row>
    <row r="57" spans="2:13" x14ac:dyDescent="0.2">
      <c r="B57" s="3" t="s">
        <v>427</v>
      </c>
      <c r="C57" s="3" t="s">
        <v>307</v>
      </c>
      <c r="D57" s="3" t="s">
        <v>237</v>
      </c>
      <c r="E57" s="3" t="s">
        <v>696</v>
      </c>
      <c r="F57" s="367">
        <v>18510.68</v>
      </c>
      <c r="G57" s="367">
        <f t="shared" si="7"/>
        <v>4407.3929079999998</v>
      </c>
      <c r="H57" s="367">
        <f t="shared" si="10"/>
        <v>1542.5566666666666</v>
      </c>
      <c r="I57" s="367">
        <f t="shared" si="8"/>
        <v>367.28274233333332</v>
      </c>
      <c r="J57" s="367">
        <f t="shared" si="11"/>
        <v>1542.5566666666666</v>
      </c>
      <c r="K57" s="367">
        <f t="shared" si="9"/>
        <v>367.28274233333332</v>
      </c>
      <c r="L57" s="367">
        <f t="shared" si="12"/>
        <v>1371.1614814814816</v>
      </c>
      <c r="M57" s="370">
        <f t="shared" si="13"/>
        <v>28108.913207481484</v>
      </c>
    </row>
    <row r="58" spans="2:13" x14ac:dyDescent="0.2">
      <c r="B58" s="3" t="s">
        <v>428</v>
      </c>
      <c r="C58" s="3" t="s">
        <v>307</v>
      </c>
      <c r="D58" s="3" t="s">
        <v>238</v>
      </c>
      <c r="E58" s="3" t="s">
        <v>696</v>
      </c>
      <c r="F58" s="367">
        <v>14939.09</v>
      </c>
      <c r="G58" s="367">
        <f t="shared" si="7"/>
        <v>3556.9973290000003</v>
      </c>
      <c r="H58" s="367">
        <f t="shared" si="10"/>
        <v>1244.9241666666667</v>
      </c>
      <c r="I58" s="367">
        <f t="shared" si="8"/>
        <v>296.41644408333332</v>
      </c>
      <c r="J58" s="367">
        <f t="shared" si="11"/>
        <v>1244.9241666666667</v>
      </c>
      <c r="K58" s="367">
        <f t="shared" si="9"/>
        <v>296.41644408333332</v>
      </c>
      <c r="L58" s="367">
        <f t="shared" si="12"/>
        <v>1106.5992592592593</v>
      </c>
      <c r="M58" s="370">
        <f t="shared" si="13"/>
        <v>22685.36780975926</v>
      </c>
    </row>
    <row r="59" spans="2:13" x14ac:dyDescent="0.2">
      <c r="B59" s="3" t="s">
        <v>429</v>
      </c>
      <c r="C59" s="3" t="s">
        <v>307</v>
      </c>
      <c r="D59" s="3" t="s">
        <v>239</v>
      </c>
      <c r="E59" s="3" t="s">
        <v>696</v>
      </c>
      <c r="F59" s="367">
        <v>14939.09</v>
      </c>
      <c r="G59" s="367">
        <f t="shared" si="7"/>
        <v>3556.9973290000003</v>
      </c>
      <c r="H59" s="367">
        <f t="shared" si="10"/>
        <v>1244.9241666666667</v>
      </c>
      <c r="I59" s="367">
        <f t="shared" si="8"/>
        <v>296.41644408333332</v>
      </c>
      <c r="J59" s="367">
        <f t="shared" si="11"/>
        <v>1244.9241666666667</v>
      </c>
      <c r="K59" s="367">
        <f t="shared" si="9"/>
        <v>296.41644408333332</v>
      </c>
      <c r="L59" s="367">
        <f t="shared" si="12"/>
        <v>1106.5992592592593</v>
      </c>
      <c r="M59" s="370">
        <f t="shared" si="13"/>
        <v>22685.36780975926</v>
      </c>
    </row>
    <row r="60" spans="2:13" x14ac:dyDescent="0.2">
      <c r="B60" s="3" t="s">
        <v>430</v>
      </c>
      <c r="C60" s="3" t="s">
        <v>307</v>
      </c>
      <c r="D60" s="3" t="s">
        <v>240</v>
      </c>
      <c r="E60" s="3" t="s">
        <v>696</v>
      </c>
      <c r="F60" s="367">
        <v>14939.09</v>
      </c>
      <c r="G60" s="367">
        <f t="shared" si="7"/>
        <v>3556.9973290000003</v>
      </c>
      <c r="H60" s="367">
        <f t="shared" si="10"/>
        <v>1244.9241666666667</v>
      </c>
      <c r="I60" s="367">
        <f t="shared" si="8"/>
        <v>296.41644408333332</v>
      </c>
      <c r="J60" s="367">
        <f t="shared" si="11"/>
        <v>1244.9241666666667</v>
      </c>
      <c r="K60" s="367">
        <f t="shared" si="9"/>
        <v>296.41644408333332</v>
      </c>
      <c r="L60" s="367">
        <f t="shared" si="12"/>
        <v>1106.5992592592593</v>
      </c>
      <c r="M60" s="370">
        <f t="shared" si="13"/>
        <v>22685.36780975926</v>
      </c>
    </row>
    <row r="61" spans="2:13" x14ac:dyDescent="0.2">
      <c r="B61" s="3" t="s">
        <v>431</v>
      </c>
      <c r="C61" s="3" t="s">
        <v>307</v>
      </c>
      <c r="D61" s="3" t="s">
        <v>241</v>
      </c>
      <c r="E61" s="3" t="s">
        <v>696</v>
      </c>
      <c r="F61" s="367">
        <v>14939.09</v>
      </c>
      <c r="G61" s="367">
        <f t="shared" si="7"/>
        <v>3556.9973290000003</v>
      </c>
      <c r="H61" s="367">
        <f t="shared" si="10"/>
        <v>1244.9241666666667</v>
      </c>
      <c r="I61" s="367">
        <f t="shared" si="8"/>
        <v>296.41644408333332</v>
      </c>
      <c r="J61" s="367">
        <f t="shared" si="11"/>
        <v>1244.9241666666667</v>
      </c>
      <c r="K61" s="367">
        <f t="shared" si="9"/>
        <v>296.41644408333332</v>
      </c>
      <c r="L61" s="367">
        <f t="shared" si="12"/>
        <v>1106.5992592592593</v>
      </c>
      <c r="M61" s="370">
        <f t="shared" si="13"/>
        <v>22685.36780975926</v>
      </c>
    </row>
    <row r="62" spans="2:13" x14ac:dyDescent="0.2">
      <c r="B62" s="3" t="s">
        <v>432</v>
      </c>
      <c r="C62" s="3" t="s">
        <v>307</v>
      </c>
      <c r="D62" s="3" t="s">
        <v>242</v>
      </c>
      <c r="E62" s="3" t="s">
        <v>696</v>
      </c>
      <c r="F62" s="367">
        <v>14939.09</v>
      </c>
      <c r="G62" s="367">
        <f t="shared" si="7"/>
        <v>3556.9973290000003</v>
      </c>
      <c r="H62" s="367">
        <f t="shared" si="10"/>
        <v>1244.9241666666667</v>
      </c>
      <c r="I62" s="367">
        <f t="shared" si="8"/>
        <v>296.41644408333332</v>
      </c>
      <c r="J62" s="367">
        <f t="shared" si="11"/>
        <v>1244.9241666666667</v>
      </c>
      <c r="K62" s="367">
        <f t="shared" si="9"/>
        <v>296.41644408333332</v>
      </c>
      <c r="L62" s="367">
        <f t="shared" si="12"/>
        <v>1106.5992592592593</v>
      </c>
      <c r="M62" s="370">
        <f t="shared" si="13"/>
        <v>22685.36780975926</v>
      </c>
    </row>
    <row r="63" spans="2:13" x14ac:dyDescent="0.2">
      <c r="B63" s="3" t="s">
        <v>433</v>
      </c>
      <c r="C63" s="3" t="s">
        <v>307</v>
      </c>
      <c r="D63" s="3" t="s">
        <v>243</v>
      </c>
      <c r="E63" s="3" t="s">
        <v>696</v>
      </c>
      <c r="F63" s="367">
        <v>14939.09</v>
      </c>
      <c r="G63" s="367">
        <f t="shared" si="7"/>
        <v>3556.9973290000003</v>
      </c>
      <c r="H63" s="367">
        <f t="shared" si="10"/>
        <v>1244.9241666666667</v>
      </c>
      <c r="I63" s="367">
        <f t="shared" si="8"/>
        <v>296.41644408333332</v>
      </c>
      <c r="J63" s="367">
        <f t="shared" si="11"/>
        <v>1244.9241666666667</v>
      </c>
      <c r="K63" s="367">
        <f t="shared" si="9"/>
        <v>296.41644408333332</v>
      </c>
      <c r="L63" s="367">
        <f t="shared" si="12"/>
        <v>1106.5992592592593</v>
      </c>
      <c r="M63" s="370">
        <f t="shared" si="13"/>
        <v>22685.36780975926</v>
      </c>
    </row>
    <row r="64" spans="2:13" x14ac:dyDescent="0.2">
      <c r="B64" s="3" t="s">
        <v>434</v>
      </c>
      <c r="C64" s="3" t="s">
        <v>307</v>
      </c>
      <c r="D64" s="3" t="s">
        <v>244</v>
      </c>
      <c r="E64" s="3" t="s">
        <v>696</v>
      </c>
      <c r="F64" s="367">
        <v>14939.09</v>
      </c>
      <c r="G64" s="367">
        <f t="shared" si="7"/>
        <v>3556.9973290000003</v>
      </c>
      <c r="H64" s="367">
        <f t="shared" si="10"/>
        <v>1244.9241666666667</v>
      </c>
      <c r="I64" s="367">
        <f t="shared" si="8"/>
        <v>296.41644408333332</v>
      </c>
      <c r="J64" s="367">
        <f t="shared" si="11"/>
        <v>1244.9241666666667</v>
      </c>
      <c r="K64" s="367">
        <f t="shared" si="9"/>
        <v>296.41644408333332</v>
      </c>
      <c r="L64" s="367">
        <f t="shared" si="12"/>
        <v>1106.5992592592593</v>
      </c>
      <c r="M64" s="370">
        <f t="shared" si="13"/>
        <v>22685.36780975926</v>
      </c>
    </row>
    <row r="65" spans="2:13" x14ac:dyDescent="0.2">
      <c r="B65" s="3" t="s">
        <v>435</v>
      </c>
      <c r="C65" s="3" t="s">
        <v>307</v>
      </c>
      <c r="D65" s="3" t="s">
        <v>245</v>
      </c>
      <c r="E65" s="3" t="s">
        <v>696</v>
      </c>
      <c r="F65" s="367">
        <v>14939.09</v>
      </c>
      <c r="G65" s="367">
        <f t="shared" si="7"/>
        <v>3556.9973290000003</v>
      </c>
      <c r="H65" s="367">
        <f t="shared" si="10"/>
        <v>1244.9241666666667</v>
      </c>
      <c r="I65" s="367">
        <f t="shared" si="8"/>
        <v>296.41644408333332</v>
      </c>
      <c r="J65" s="367">
        <f t="shared" si="11"/>
        <v>1244.9241666666667</v>
      </c>
      <c r="K65" s="367">
        <f t="shared" si="9"/>
        <v>296.41644408333332</v>
      </c>
      <c r="L65" s="367">
        <f t="shared" si="12"/>
        <v>1106.5992592592593</v>
      </c>
      <c r="M65" s="370">
        <f t="shared" si="13"/>
        <v>22685.36780975926</v>
      </c>
    </row>
    <row r="66" spans="2:13" x14ac:dyDescent="0.2">
      <c r="B66" s="3" t="s">
        <v>436</v>
      </c>
      <c r="C66" s="3" t="s">
        <v>307</v>
      </c>
      <c r="D66" s="3" t="s">
        <v>246</v>
      </c>
      <c r="E66" s="3" t="s">
        <v>696</v>
      </c>
      <c r="F66" s="367">
        <v>14939.09</v>
      </c>
      <c r="G66" s="367">
        <f t="shared" si="7"/>
        <v>3556.9973290000003</v>
      </c>
      <c r="H66" s="367">
        <f t="shared" si="10"/>
        <v>1244.9241666666667</v>
      </c>
      <c r="I66" s="367">
        <f t="shared" si="8"/>
        <v>296.41644408333332</v>
      </c>
      <c r="J66" s="367">
        <f t="shared" si="11"/>
        <v>1244.9241666666667</v>
      </c>
      <c r="K66" s="367">
        <f t="shared" si="9"/>
        <v>296.41644408333332</v>
      </c>
      <c r="L66" s="367">
        <f t="shared" si="12"/>
        <v>1106.5992592592593</v>
      </c>
      <c r="M66" s="370">
        <f t="shared" si="13"/>
        <v>22685.36780975926</v>
      </c>
    </row>
    <row r="67" spans="2:13" x14ac:dyDescent="0.2">
      <c r="B67" s="3" t="s">
        <v>437</v>
      </c>
      <c r="C67" s="3" t="s">
        <v>307</v>
      </c>
      <c r="D67" s="3" t="s">
        <v>247</v>
      </c>
      <c r="E67" s="3" t="s">
        <v>696</v>
      </c>
      <c r="F67" s="367">
        <v>14939.09</v>
      </c>
      <c r="G67" s="367">
        <f t="shared" si="7"/>
        <v>3556.9973290000003</v>
      </c>
      <c r="H67" s="367">
        <f t="shared" ref="H67:H127" si="14">F67/12</f>
        <v>1244.9241666666667</v>
      </c>
      <c r="I67" s="367">
        <f t="shared" si="8"/>
        <v>296.41644408333332</v>
      </c>
      <c r="J67" s="367">
        <f t="shared" ref="J67:J127" si="15">F67/12</f>
        <v>1244.9241666666667</v>
      </c>
      <c r="K67" s="367">
        <f t="shared" si="9"/>
        <v>296.41644408333332</v>
      </c>
      <c r="L67" s="367">
        <f t="shared" ref="L67:L127" si="16">F67/13.5</f>
        <v>1106.5992592592593</v>
      </c>
      <c r="M67" s="370">
        <f t="shared" ref="M67:M127" si="17">SUM(G67:L67)+F67</f>
        <v>22685.36780975926</v>
      </c>
    </row>
    <row r="68" spans="2:13" x14ac:dyDescent="0.2">
      <c r="B68" s="3" t="s">
        <v>438</v>
      </c>
      <c r="C68" s="3" t="s">
        <v>307</v>
      </c>
      <c r="D68" s="3" t="s">
        <v>248</v>
      </c>
      <c r="E68" s="3" t="s">
        <v>696</v>
      </c>
      <c r="F68" s="367">
        <v>14939.09</v>
      </c>
      <c r="G68" s="367">
        <f t="shared" si="7"/>
        <v>3556.9973290000003</v>
      </c>
      <c r="H68" s="367">
        <f t="shared" si="14"/>
        <v>1244.9241666666667</v>
      </c>
      <c r="I68" s="367">
        <f t="shared" si="8"/>
        <v>296.41644408333332</v>
      </c>
      <c r="J68" s="367">
        <f t="shared" si="15"/>
        <v>1244.9241666666667</v>
      </c>
      <c r="K68" s="367">
        <f t="shared" si="9"/>
        <v>296.41644408333332</v>
      </c>
      <c r="L68" s="367">
        <f t="shared" si="16"/>
        <v>1106.5992592592593</v>
      </c>
      <c r="M68" s="370">
        <f t="shared" si="17"/>
        <v>22685.36780975926</v>
      </c>
    </row>
    <row r="69" spans="2:13" x14ac:dyDescent="0.2">
      <c r="B69" s="3" t="s">
        <v>439</v>
      </c>
      <c r="C69" s="3" t="s">
        <v>307</v>
      </c>
      <c r="D69" s="3" t="s">
        <v>249</v>
      </c>
      <c r="E69" s="3" t="s">
        <v>696</v>
      </c>
      <c r="F69" s="367">
        <v>14939.09</v>
      </c>
      <c r="G69" s="367">
        <f t="shared" si="7"/>
        <v>3556.9973290000003</v>
      </c>
      <c r="H69" s="367">
        <f t="shared" si="14"/>
        <v>1244.9241666666667</v>
      </c>
      <c r="I69" s="367">
        <f t="shared" si="8"/>
        <v>296.41644408333332</v>
      </c>
      <c r="J69" s="367">
        <f t="shared" si="15"/>
        <v>1244.9241666666667</v>
      </c>
      <c r="K69" s="367">
        <f t="shared" si="9"/>
        <v>296.41644408333332</v>
      </c>
      <c r="L69" s="367">
        <f t="shared" si="16"/>
        <v>1106.5992592592593</v>
      </c>
      <c r="M69" s="370">
        <f t="shared" si="17"/>
        <v>22685.36780975926</v>
      </c>
    </row>
    <row r="70" spans="2:13" x14ac:dyDescent="0.2">
      <c r="B70" s="3" t="s">
        <v>440</v>
      </c>
      <c r="C70" s="3" t="s">
        <v>307</v>
      </c>
      <c r="D70" s="3" t="s">
        <v>250</v>
      </c>
      <c r="E70" s="3" t="s">
        <v>696</v>
      </c>
      <c r="F70" s="367">
        <v>14939.09</v>
      </c>
      <c r="G70" s="367">
        <f t="shared" si="7"/>
        <v>3556.9973290000003</v>
      </c>
      <c r="H70" s="367">
        <f t="shared" si="14"/>
        <v>1244.9241666666667</v>
      </c>
      <c r="I70" s="367">
        <f t="shared" si="8"/>
        <v>296.41644408333332</v>
      </c>
      <c r="J70" s="367">
        <f t="shared" si="15"/>
        <v>1244.9241666666667</v>
      </c>
      <c r="K70" s="367">
        <f t="shared" si="9"/>
        <v>296.41644408333332</v>
      </c>
      <c r="L70" s="367">
        <f t="shared" si="16"/>
        <v>1106.5992592592593</v>
      </c>
      <c r="M70" s="370">
        <f t="shared" si="17"/>
        <v>22685.36780975926</v>
      </c>
    </row>
    <row r="71" spans="2:13" x14ac:dyDescent="0.2">
      <c r="B71" s="3" t="s">
        <v>441</v>
      </c>
      <c r="C71" s="3" t="s">
        <v>307</v>
      </c>
      <c r="D71" s="3" t="s">
        <v>251</v>
      </c>
      <c r="E71" s="3" t="s">
        <v>696</v>
      </c>
      <c r="F71" s="367">
        <v>14939.09</v>
      </c>
      <c r="G71" s="367">
        <f t="shared" si="7"/>
        <v>3556.9973290000003</v>
      </c>
      <c r="H71" s="367">
        <f t="shared" si="14"/>
        <v>1244.9241666666667</v>
      </c>
      <c r="I71" s="367">
        <f t="shared" si="8"/>
        <v>296.41644408333332</v>
      </c>
      <c r="J71" s="367">
        <f t="shared" si="15"/>
        <v>1244.9241666666667</v>
      </c>
      <c r="K71" s="367">
        <f t="shared" si="9"/>
        <v>296.41644408333332</v>
      </c>
      <c r="L71" s="367">
        <f t="shared" si="16"/>
        <v>1106.5992592592593</v>
      </c>
      <c r="M71" s="370">
        <f t="shared" si="17"/>
        <v>22685.36780975926</v>
      </c>
    </row>
    <row r="72" spans="2:13" x14ac:dyDescent="0.2">
      <c r="B72" s="3" t="s">
        <v>442</v>
      </c>
      <c r="C72" s="3" t="s">
        <v>307</v>
      </c>
      <c r="D72" s="3" t="s">
        <v>252</v>
      </c>
      <c r="E72" s="3" t="s">
        <v>696</v>
      </c>
      <c r="F72" s="367">
        <v>14939.09</v>
      </c>
      <c r="G72" s="367">
        <f t="shared" si="7"/>
        <v>3556.9973290000003</v>
      </c>
      <c r="H72" s="367">
        <f t="shared" si="14"/>
        <v>1244.9241666666667</v>
      </c>
      <c r="I72" s="367">
        <f t="shared" si="8"/>
        <v>296.41644408333332</v>
      </c>
      <c r="J72" s="367">
        <f t="shared" si="15"/>
        <v>1244.9241666666667</v>
      </c>
      <c r="K72" s="367">
        <f t="shared" si="9"/>
        <v>296.41644408333332</v>
      </c>
      <c r="L72" s="367">
        <f t="shared" si="16"/>
        <v>1106.5992592592593</v>
      </c>
      <c r="M72" s="370">
        <f t="shared" si="17"/>
        <v>22685.36780975926</v>
      </c>
    </row>
    <row r="73" spans="2:13" x14ac:dyDescent="0.2">
      <c r="B73" s="3" t="s">
        <v>443</v>
      </c>
      <c r="C73" s="3" t="s">
        <v>307</v>
      </c>
      <c r="D73" s="3" t="s">
        <v>253</v>
      </c>
      <c r="E73" s="3" t="s">
        <v>696</v>
      </c>
      <c r="F73" s="367">
        <v>14939.09</v>
      </c>
      <c r="G73" s="367">
        <f t="shared" si="7"/>
        <v>3556.9973290000003</v>
      </c>
      <c r="H73" s="367">
        <f t="shared" si="14"/>
        <v>1244.9241666666667</v>
      </c>
      <c r="I73" s="367">
        <f t="shared" si="8"/>
        <v>296.41644408333332</v>
      </c>
      <c r="J73" s="367">
        <f t="shared" si="15"/>
        <v>1244.9241666666667</v>
      </c>
      <c r="K73" s="367">
        <f t="shared" si="9"/>
        <v>296.41644408333332</v>
      </c>
      <c r="L73" s="367">
        <f t="shared" si="16"/>
        <v>1106.5992592592593</v>
      </c>
      <c r="M73" s="370">
        <f t="shared" si="17"/>
        <v>22685.36780975926</v>
      </c>
    </row>
    <row r="74" spans="2:13" x14ac:dyDescent="0.2">
      <c r="B74" s="3" t="s">
        <v>444</v>
      </c>
      <c r="C74" s="3" t="s">
        <v>307</v>
      </c>
      <c r="D74" s="3" t="s">
        <v>254</v>
      </c>
      <c r="E74" s="3" t="s">
        <v>696</v>
      </c>
      <c r="F74" s="367">
        <v>14939.09</v>
      </c>
      <c r="G74" s="367">
        <f t="shared" ref="G74:G105" si="18">F74*$E$4</f>
        <v>3556.9973290000003</v>
      </c>
      <c r="H74" s="367">
        <f t="shared" si="14"/>
        <v>1244.9241666666667</v>
      </c>
      <c r="I74" s="367">
        <f t="shared" ref="I74:I105" si="19">H74*$E$4</f>
        <v>296.41644408333332</v>
      </c>
      <c r="J74" s="367">
        <f t="shared" si="15"/>
        <v>1244.9241666666667</v>
      </c>
      <c r="K74" s="367">
        <f t="shared" ref="K74:K105" si="20">J74*$E$4</f>
        <v>296.41644408333332</v>
      </c>
      <c r="L74" s="367">
        <f t="shared" si="16"/>
        <v>1106.5992592592593</v>
      </c>
      <c r="M74" s="370">
        <f t="shared" si="17"/>
        <v>22685.36780975926</v>
      </c>
    </row>
    <row r="75" spans="2:13" x14ac:dyDescent="0.2">
      <c r="B75" s="3" t="s">
        <v>445</v>
      </c>
      <c r="C75" s="3" t="s">
        <v>307</v>
      </c>
      <c r="D75" s="3" t="s">
        <v>255</v>
      </c>
      <c r="E75" s="3" t="s">
        <v>696</v>
      </c>
      <c r="F75" s="367">
        <v>14939.09</v>
      </c>
      <c r="G75" s="367">
        <f t="shared" si="18"/>
        <v>3556.9973290000003</v>
      </c>
      <c r="H75" s="367">
        <f t="shared" si="14"/>
        <v>1244.9241666666667</v>
      </c>
      <c r="I75" s="367">
        <f t="shared" si="19"/>
        <v>296.41644408333332</v>
      </c>
      <c r="J75" s="367">
        <f t="shared" si="15"/>
        <v>1244.9241666666667</v>
      </c>
      <c r="K75" s="367">
        <f t="shared" si="20"/>
        <v>296.41644408333332</v>
      </c>
      <c r="L75" s="367">
        <f t="shared" si="16"/>
        <v>1106.5992592592593</v>
      </c>
      <c r="M75" s="370">
        <f t="shared" si="17"/>
        <v>22685.36780975926</v>
      </c>
    </row>
    <row r="76" spans="2:13" x14ac:dyDescent="0.2">
      <c r="B76" s="3" t="s">
        <v>446</v>
      </c>
      <c r="C76" s="3" t="s">
        <v>307</v>
      </c>
      <c r="D76" s="3" t="s">
        <v>256</v>
      </c>
      <c r="E76" s="3" t="s">
        <v>696</v>
      </c>
      <c r="F76" s="367">
        <v>14939.09</v>
      </c>
      <c r="G76" s="367">
        <f t="shared" si="18"/>
        <v>3556.9973290000003</v>
      </c>
      <c r="H76" s="367">
        <f t="shared" si="14"/>
        <v>1244.9241666666667</v>
      </c>
      <c r="I76" s="367">
        <f t="shared" si="19"/>
        <v>296.41644408333332</v>
      </c>
      <c r="J76" s="367">
        <f t="shared" si="15"/>
        <v>1244.9241666666667</v>
      </c>
      <c r="K76" s="367">
        <f t="shared" si="20"/>
        <v>296.41644408333332</v>
      </c>
      <c r="L76" s="367">
        <f t="shared" si="16"/>
        <v>1106.5992592592593</v>
      </c>
      <c r="M76" s="370">
        <f t="shared" si="17"/>
        <v>22685.36780975926</v>
      </c>
    </row>
    <row r="77" spans="2:13" x14ac:dyDescent="0.2">
      <c r="B77" s="3" t="s">
        <v>447</v>
      </c>
      <c r="C77" s="3" t="s">
        <v>307</v>
      </c>
      <c r="D77" s="3" t="s">
        <v>257</v>
      </c>
      <c r="E77" s="3" t="s">
        <v>696</v>
      </c>
      <c r="F77" s="367">
        <v>14939.09</v>
      </c>
      <c r="G77" s="367">
        <f t="shared" si="18"/>
        <v>3556.9973290000003</v>
      </c>
      <c r="H77" s="367">
        <f t="shared" si="14"/>
        <v>1244.9241666666667</v>
      </c>
      <c r="I77" s="367">
        <f t="shared" si="19"/>
        <v>296.41644408333332</v>
      </c>
      <c r="J77" s="367">
        <f t="shared" si="15"/>
        <v>1244.9241666666667</v>
      </c>
      <c r="K77" s="367">
        <f t="shared" si="20"/>
        <v>296.41644408333332</v>
      </c>
      <c r="L77" s="367">
        <f t="shared" si="16"/>
        <v>1106.5992592592593</v>
      </c>
      <c r="M77" s="370">
        <f t="shared" si="17"/>
        <v>22685.36780975926</v>
      </c>
    </row>
    <row r="78" spans="2:13" x14ac:dyDescent="0.2">
      <c r="B78" s="3" t="s">
        <v>448</v>
      </c>
      <c r="C78" s="3" t="s">
        <v>307</v>
      </c>
      <c r="D78" s="3" t="s">
        <v>258</v>
      </c>
      <c r="E78" s="3" t="s">
        <v>696</v>
      </c>
      <c r="F78" s="367">
        <v>14939.09</v>
      </c>
      <c r="G78" s="367">
        <f t="shared" si="18"/>
        <v>3556.9973290000003</v>
      </c>
      <c r="H78" s="367">
        <f t="shared" si="14"/>
        <v>1244.9241666666667</v>
      </c>
      <c r="I78" s="367">
        <f t="shared" si="19"/>
        <v>296.41644408333332</v>
      </c>
      <c r="J78" s="367">
        <f t="shared" si="15"/>
        <v>1244.9241666666667</v>
      </c>
      <c r="K78" s="367">
        <f t="shared" si="20"/>
        <v>296.41644408333332</v>
      </c>
      <c r="L78" s="367">
        <f t="shared" si="16"/>
        <v>1106.5992592592593</v>
      </c>
      <c r="M78" s="370">
        <f t="shared" si="17"/>
        <v>22685.36780975926</v>
      </c>
    </row>
    <row r="79" spans="2:13" x14ac:dyDescent="0.2">
      <c r="B79" s="3" t="s">
        <v>449</v>
      </c>
      <c r="C79" s="3" t="s">
        <v>307</v>
      </c>
      <c r="D79" s="3" t="s">
        <v>259</v>
      </c>
      <c r="E79" s="3" t="s">
        <v>696</v>
      </c>
      <c r="F79" s="367">
        <v>14939.09</v>
      </c>
      <c r="G79" s="367">
        <f t="shared" si="18"/>
        <v>3556.9973290000003</v>
      </c>
      <c r="H79" s="367">
        <f t="shared" si="14"/>
        <v>1244.9241666666667</v>
      </c>
      <c r="I79" s="367">
        <f t="shared" si="19"/>
        <v>296.41644408333332</v>
      </c>
      <c r="J79" s="367">
        <f t="shared" si="15"/>
        <v>1244.9241666666667</v>
      </c>
      <c r="K79" s="367">
        <f t="shared" si="20"/>
        <v>296.41644408333332</v>
      </c>
      <c r="L79" s="367">
        <f t="shared" si="16"/>
        <v>1106.5992592592593</v>
      </c>
      <c r="M79" s="370">
        <f t="shared" si="17"/>
        <v>22685.36780975926</v>
      </c>
    </row>
    <row r="80" spans="2:13" x14ac:dyDescent="0.2">
      <c r="B80" s="3" t="s">
        <v>450</v>
      </c>
      <c r="C80" s="3" t="s">
        <v>307</v>
      </c>
      <c r="D80" s="3" t="s">
        <v>260</v>
      </c>
      <c r="E80" s="3" t="s">
        <v>696</v>
      </c>
      <c r="F80" s="367">
        <v>14939.09</v>
      </c>
      <c r="G80" s="367">
        <f t="shared" si="18"/>
        <v>3556.9973290000003</v>
      </c>
      <c r="H80" s="367">
        <f t="shared" si="14"/>
        <v>1244.9241666666667</v>
      </c>
      <c r="I80" s="367">
        <f t="shared" si="19"/>
        <v>296.41644408333332</v>
      </c>
      <c r="J80" s="367">
        <f t="shared" si="15"/>
        <v>1244.9241666666667</v>
      </c>
      <c r="K80" s="367">
        <f t="shared" si="20"/>
        <v>296.41644408333332</v>
      </c>
      <c r="L80" s="367">
        <f t="shared" si="16"/>
        <v>1106.5992592592593</v>
      </c>
      <c r="M80" s="370">
        <f t="shared" si="17"/>
        <v>22685.36780975926</v>
      </c>
    </row>
    <row r="81" spans="2:13" x14ac:dyDescent="0.2">
      <c r="B81" s="3" t="s">
        <v>451</v>
      </c>
      <c r="C81" s="3" t="s">
        <v>307</v>
      </c>
      <c r="D81" s="3" t="s">
        <v>261</v>
      </c>
      <c r="E81" s="3" t="s">
        <v>696</v>
      </c>
      <c r="F81" s="367">
        <v>14939.09</v>
      </c>
      <c r="G81" s="367">
        <f t="shared" si="18"/>
        <v>3556.9973290000003</v>
      </c>
      <c r="H81" s="367">
        <f t="shared" si="14"/>
        <v>1244.9241666666667</v>
      </c>
      <c r="I81" s="367">
        <f t="shared" si="19"/>
        <v>296.41644408333332</v>
      </c>
      <c r="J81" s="367">
        <f t="shared" si="15"/>
        <v>1244.9241666666667</v>
      </c>
      <c r="K81" s="367">
        <f t="shared" si="20"/>
        <v>296.41644408333332</v>
      </c>
      <c r="L81" s="367">
        <f t="shared" si="16"/>
        <v>1106.5992592592593</v>
      </c>
      <c r="M81" s="370">
        <f t="shared" si="17"/>
        <v>22685.36780975926</v>
      </c>
    </row>
    <row r="82" spans="2:13" x14ac:dyDescent="0.2">
      <c r="B82" s="3" t="s">
        <v>452</v>
      </c>
      <c r="C82" s="3" t="s">
        <v>307</v>
      </c>
      <c r="D82" s="3" t="s">
        <v>262</v>
      </c>
      <c r="E82" s="3" t="s">
        <v>696</v>
      </c>
      <c r="F82" s="367">
        <v>14939.09</v>
      </c>
      <c r="G82" s="367">
        <f t="shared" si="18"/>
        <v>3556.9973290000003</v>
      </c>
      <c r="H82" s="367">
        <f t="shared" si="14"/>
        <v>1244.9241666666667</v>
      </c>
      <c r="I82" s="367">
        <f t="shared" si="19"/>
        <v>296.41644408333332</v>
      </c>
      <c r="J82" s="367">
        <f t="shared" si="15"/>
        <v>1244.9241666666667</v>
      </c>
      <c r="K82" s="367">
        <f t="shared" si="20"/>
        <v>296.41644408333332</v>
      </c>
      <c r="L82" s="367">
        <f t="shared" si="16"/>
        <v>1106.5992592592593</v>
      </c>
      <c r="M82" s="370">
        <f t="shared" si="17"/>
        <v>22685.36780975926</v>
      </c>
    </row>
    <row r="83" spans="2:13" x14ac:dyDescent="0.2">
      <c r="B83" s="3" t="s">
        <v>453</v>
      </c>
      <c r="C83" s="3" t="s">
        <v>307</v>
      </c>
      <c r="D83" s="3" t="s">
        <v>263</v>
      </c>
      <c r="E83" s="3" t="s">
        <v>696</v>
      </c>
      <c r="F83" s="367">
        <v>14939.09</v>
      </c>
      <c r="G83" s="367">
        <f t="shared" si="18"/>
        <v>3556.9973290000003</v>
      </c>
      <c r="H83" s="367">
        <f t="shared" si="14"/>
        <v>1244.9241666666667</v>
      </c>
      <c r="I83" s="367">
        <f t="shared" si="19"/>
        <v>296.41644408333332</v>
      </c>
      <c r="J83" s="367">
        <f t="shared" si="15"/>
        <v>1244.9241666666667</v>
      </c>
      <c r="K83" s="367">
        <f t="shared" si="20"/>
        <v>296.41644408333332</v>
      </c>
      <c r="L83" s="367">
        <f t="shared" si="16"/>
        <v>1106.5992592592593</v>
      </c>
      <c r="M83" s="370">
        <f t="shared" si="17"/>
        <v>22685.36780975926</v>
      </c>
    </row>
    <row r="84" spans="2:13" x14ac:dyDescent="0.2">
      <c r="B84" s="3" t="s">
        <v>454</v>
      </c>
      <c r="C84" s="3" t="s">
        <v>307</v>
      </c>
      <c r="D84" s="3" t="s">
        <v>264</v>
      </c>
      <c r="E84" s="3" t="s">
        <v>696</v>
      </c>
      <c r="F84" s="367">
        <v>14939.09</v>
      </c>
      <c r="G84" s="367">
        <f t="shared" si="18"/>
        <v>3556.9973290000003</v>
      </c>
      <c r="H84" s="367">
        <f t="shared" si="14"/>
        <v>1244.9241666666667</v>
      </c>
      <c r="I84" s="367">
        <f t="shared" si="19"/>
        <v>296.41644408333332</v>
      </c>
      <c r="J84" s="367">
        <f t="shared" si="15"/>
        <v>1244.9241666666667</v>
      </c>
      <c r="K84" s="367">
        <f t="shared" si="20"/>
        <v>296.41644408333332</v>
      </c>
      <c r="L84" s="367">
        <f t="shared" si="16"/>
        <v>1106.5992592592593</v>
      </c>
      <c r="M84" s="370">
        <f t="shared" si="17"/>
        <v>22685.36780975926</v>
      </c>
    </row>
    <row r="85" spans="2:13" x14ac:dyDescent="0.2">
      <c r="B85" s="3" t="s">
        <v>455</v>
      </c>
      <c r="C85" s="3" t="s">
        <v>307</v>
      </c>
      <c r="D85" s="3" t="s">
        <v>265</v>
      </c>
      <c r="E85" s="3" t="s">
        <v>696</v>
      </c>
      <c r="F85" s="367">
        <v>14939.09</v>
      </c>
      <c r="G85" s="367">
        <f t="shared" si="18"/>
        <v>3556.9973290000003</v>
      </c>
      <c r="H85" s="367">
        <f t="shared" si="14"/>
        <v>1244.9241666666667</v>
      </c>
      <c r="I85" s="367">
        <f t="shared" si="19"/>
        <v>296.41644408333332</v>
      </c>
      <c r="J85" s="367">
        <f t="shared" si="15"/>
        <v>1244.9241666666667</v>
      </c>
      <c r="K85" s="367">
        <f t="shared" si="20"/>
        <v>296.41644408333332</v>
      </c>
      <c r="L85" s="367">
        <f t="shared" si="16"/>
        <v>1106.5992592592593</v>
      </c>
      <c r="M85" s="370">
        <f t="shared" si="17"/>
        <v>22685.36780975926</v>
      </c>
    </row>
    <row r="86" spans="2:13" x14ac:dyDescent="0.2">
      <c r="B86" s="3" t="s">
        <v>456</v>
      </c>
      <c r="C86" s="3" t="s">
        <v>307</v>
      </c>
      <c r="D86" s="3" t="s">
        <v>266</v>
      </c>
      <c r="E86" s="3" t="s">
        <v>696</v>
      </c>
      <c r="F86" s="367">
        <v>14939.09</v>
      </c>
      <c r="G86" s="367">
        <f t="shared" si="18"/>
        <v>3556.9973290000003</v>
      </c>
      <c r="H86" s="367">
        <f t="shared" si="14"/>
        <v>1244.9241666666667</v>
      </c>
      <c r="I86" s="367">
        <f t="shared" si="19"/>
        <v>296.41644408333332</v>
      </c>
      <c r="J86" s="367">
        <f t="shared" si="15"/>
        <v>1244.9241666666667</v>
      </c>
      <c r="K86" s="367">
        <f t="shared" si="20"/>
        <v>296.41644408333332</v>
      </c>
      <c r="L86" s="367">
        <f t="shared" si="16"/>
        <v>1106.5992592592593</v>
      </c>
      <c r="M86" s="370">
        <f t="shared" si="17"/>
        <v>22685.36780975926</v>
      </c>
    </row>
    <row r="87" spans="2:13" x14ac:dyDescent="0.2">
      <c r="B87" s="3" t="s">
        <v>457</v>
      </c>
      <c r="C87" s="3" t="s">
        <v>307</v>
      </c>
      <c r="D87" s="3" t="s">
        <v>267</v>
      </c>
      <c r="E87" s="3" t="s">
        <v>696</v>
      </c>
      <c r="F87" s="367">
        <v>14939.09</v>
      </c>
      <c r="G87" s="367">
        <f t="shared" si="18"/>
        <v>3556.9973290000003</v>
      </c>
      <c r="H87" s="367">
        <f t="shared" si="14"/>
        <v>1244.9241666666667</v>
      </c>
      <c r="I87" s="367">
        <f t="shared" si="19"/>
        <v>296.41644408333332</v>
      </c>
      <c r="J87" s="367">
        <f t="shared" si="15"/>
        <v>1244.9241666666667</v>
      </c>
      <c r="K87" s="367">
        <f t="shared" si="20"/>
        <v>296.41644408333332</v>
      </c>
      <c r="L87" s="367">
        <f t="shared" si="16"/>
        <v>1106.5992592592593</v>
      </c>
      <c r="M87" s="370">
        <f t="shared" si="17"/>
        <v>22685.36780975926</v>
      </c>
    </row>
    <row r="88" spans="2:13" x14ac:dyDescent="0.2">
      <c r="B88" s="3" t="s">
        <v>458</v>
      </c>
      <c r="C88" s="3" t="s">
        <v>307</v>
      </c>
      <c r="D88" s="3" t="s">
        <v>268</v>
      </c>
      <c r="E88" s="3" t="s">
        <v>696</v>
      </c>
      <c r="F88" s="367">
        <v>14939.09</v>
      </c>
      <c r="G88" s="367">
        <f t="shared" si="18"/>
        <v>3556.9973290000003</v>
      </c>
      <c r="H88" s="367">
        <f t="shared" si="14"/>
        <v>1244.9241666666667</v>
      </c>
      <c r="I88" s="367">
        <f t="shared" si="19"/>
        <v>296.41644408333332</v>
      </c>
      <c r="J88" s="367">
        <f t="shared" si="15"/>
        <v>1244.9241666666667</v>
      </c>
      <c r="K88" s="367">
        <f t="shared" si="20"/>
        <v>296.41644408333332</v>
      </c>
      <c r="L88" s="367">
        <f t="shared" si="16"/>
        <v>1106.5992592592593</v>
      </c>
      <c r="M88" s="370">
        <f t="shared" si="17"/>
        <v>22685.36780975926</v>
      </c>
    </row>
    <row r="89" spans="2:13" x14ac:dyDescent="0.2">
      <c r="B89" s="3" t="s">
        <v>459</v>
      </c>
      <c r="C89" s="3" t="s">
        <v>307</v>
      </c>
      <c r="D89" s="3" t="s">
        <v>269</v>
      </c>
      <c r="E89" s="3" t="s">
        <v>696</v>
      </c>
      <c r="F89" s="367">
        <v>14939.09</v>
      </c>
      <c r="G89" s="367">
        <f t="shared" si="18"/>
        <v>3556.9973290000003</v>
      </c>
      <c r="H89" s="367">
        <f t="shared" si="14"/>
        <v>1244.9241666666667</v>
      </c>
      <c r="I89" s="367">
        <f t="shared" si="19"/>
        <v>296.41644408333332</v>
      </c>
      <c r="J89" s="367">
        <f t="shared" si="15"/>
        <v>1244.9241666666667</v>
      </c>
      <c r="K89" s="367">
        <f t="shared" si="20"/>
        <v>296.41644408333332</v>
      </c>
      <c r="L89" s="367">
        <f t="shared" si="16"/>
        <v>1106.5992592592593</v>
      </c>
      <c r="M89" s="370">
        <f t="shared" si="17"/>
        <v>22685.36780975926</v>
      </c>
    </row>
    <row r="90" spans="2:13" x14ac:dyDescent="0.2">
      <c r="B90" s="3" t="s">
        <v>460</v>
      </c>
      <c r="C90" s="3" t="s">
        <v>307</v>
      </c>
      <c r="D90" s="3" t="s">
        <v>270</v>
      </c>
      <c r="E90" s="3" t="s">
        <v>696</v>
      </c>
      <c r="F90" s="367">
        <v>14939.09</v>
      </c>
      <c r="G90" s="367">
        <f t="shared" si="18"/>
        <v>3556.9973290000003</v>
      </c>
      <c r="H90" s="367">
        <f t="shared" si="14"/>
        <v>1244.9241666666667</v>
      </c>
      <c r="I90" s="367">
        <f t="shared" si="19"/>
        <v>296.41644408333332</v>
      </c>
      <c r="J90" s="367">
        <f t="shared" si="15"/>
        <v>1244.9241666666667</v>
      </c>
      <c r="K90" s="367">
        <f t="shared" si="20"/>
        <v>296.41644408333332</v>
      </c>
      <c r="L90" s="367">
        <f t="shared" si="16"/>
        <v>1106.5992592592593</v>
      </c>
      <c r="M90" s="370">
        <f t="shared" si="17"/>
        <v>22685.36780975926</v>
      </c>
    </row>
    <row r="91" spans="2:13" x14ac:dyDescent="0.2">
      <c r="B91" s="3" t="s">
        <v>461</v>
      </c>
      <c r="C91" s="3" t="s">
        <v>307</v>
      </c>
      <c r="D91" s="3" t="s">
        <v>271</v>
      </c>
      <c r="E91" s="3" t="s">
        <v>696</v>
      </c>
      <c r="F91" s="367">
        <v>14939.09</v>
      </c>
      <c r="G91" s="367">
        <f t="shared" si="18"/>
        <v>3556.9973290000003</v>
      </c>
      <c r="H91" s="367">
        <f t="shared" si="14"/>
        <v>1244.9241666666667</v>
      </c>
      <c r="I91" s="367">
        <f t="shared" si="19"/>
        <v>296.41644408333332</v>
      </c>
      <c r="J91" s="367">
        <f t="shared" si="15"/>
        <v>1244.9241666666667</v>
      </c>
      <c r="K91" s="367">
        <f t="shared" si="20"/>
        <v>296.41644408333332</v>
      </c>
      <c r="L91" s="367">
        <f t="shared" si="16"/>
        <v>1106.5992592592593</v>
      </c>
      <c r="M91" s="370">
        <f t="shared" si="17"/>
        <v>22685.36780975926</v>
      </c>
    </row>
    <row r="92" spans="2:13" x14ac:dyDescent="0.2">
      <c r="B92" s="3" t="s">
        <v>462</v>
      </c>
      <c r="C92" s="3" t="s">
        <v>307</v>
      </c>
      <c r="D92" s="3" t="s">
        <v>272</v>
      </c>
      <c r="E92" s="3" t="s">
        <v>696</v>
      </c>
      <c r="F92" s="367">
        <v>14939.09</v>
      </c>
      <c r="G92" s="367">
        <f t="shared" si="18"/>
        <v>3556.9973290000003</v>
      </c>
      <c r="H92" s="367">
        <f t="shared" si="14"/>
        <v>1244.9241666666667</v>
      </c>
      <c r="I92" s="367">
        <f t="shared" si="19"/>
        <v>296.41644408333332</v>
      </c>
      <c r="J92" s="367">
        <f t="shared" si="15"/>
        <v>1244.9241666666667</v>
      </c>
      <c r="K92" s="367">
        <f t="shared" si="20"/>
        <v>296.41644408333332</v>
      </c>
      <c r="L92" s="367">
        <f t="shared" si="16"/>
        <v>1106.5992592592593</v>
      </c>
      <c r="M92" s="370">
        <f t="shared" si="17"/>
        <v>22685.36780975926</v>
      </c>
    </row>
    <row r="93" spans="2:13" x14ac:dyDescent="0.2">
      <c r="B93" s="3" t="s">
        <v>463</v>
      </c>
      <c r="C93" s="3" t="s">
        <v>307</v>
      </c>
      <c r="D93" s="3" t="s">
        <v>273</v>
      </c>
      <c r="E93" s="3" t="s">
        <v>696</v>
      </c>
      <c r="F93" s="367">
        <v>14939.09</v>
      </c>
      <c r="G93" s="367">
        <f t="shared" si="18"/>
        <v>3556.9973290000003</v>
      </c>
      <c r="H93" s="367">
        <f t="shared" si="14"/>
        <v>1244.9241666666667</v>
      </c>
      <c r="I93" s="367">
        <f t="shared" si="19"/>
        <v>296.41644408333332</v>
      </c>
      <c r="J93" s="367">
        <f t="shared" si="15"/>
        <v>1244.9241666666667</v>
      </c>
      <c r="K93" s="367">
        <f t="shared" si="20"/>
        <v>296.41644408333332</v>
      </c>
      <c r="L93" s="367">
        <f t="shared" si="16"/>
        <v>1106.5992592592593</v>
      </c>
      <c r="M93" s="370">
        <f t="shared" si="17"/>
        <v>22685.36780975926</v>
      </c>
    </row>
    <row r="94" spans="2:13" x14ac:dyDescent="0.2">
      <c r="B94" s="3" t="s">
        <v>464</v>
      </c>
      <c r="C94" s="3" t="s">
        <v>307</v>
      </c>
      <c r="D94" s="3" t="s">
        <v>274</v>
      </c>
      <c r="E94" s="3" t="s">
        <v>696</v>
      </c>
      <c r="F94" s="367">
        <v>14939.09</v>
      </c>
      <c r="G94" s="367">
        <f t="shared" si="18"/>
        <v>3556.9973290000003</v>
      </c>
      <c r="H94" s="367">
        <f t="shared" si="14"/>
        <v>1244.9241666666667</v>
      </c>
      <c r="I94" s="367">
        <f t="shared" si="19"/>
        <v>296.41644408333332</v>
      </c>
      <c r="J94" s="367">
        <f t="shared" si="15"/>
        <v>1244.9241666666667</v>
      </c>
      <c r="K94" s="367">
        <f t="shared" si="20"/>
        <v>296.41644408333332</v>
      </c>
      <c r="L94" s="367">
        <f t="shared" si="16"/>
        <v>1106.5992592592593</v>
      </c>
      <c r="M94" s="370">
        <f t="shared" si="17"/>
        <v>22685.36780975926</v>
      </c>
    </row>
    <row r="95" spans="2:13" x14ac:dyDescent="0.2">
      <c r="B95" s="3" t="s">
        <v>465</v>
      </c>
      <c r="C95" s="3" t="s">
        <v>307</v>
      </c>
      <c r="D95" s="3" t="s">
        <v>275</v>
      </c>
      <c r="E95" s="3" t="s">
        <v>696</v>
      </c>
      <c r="F95" s="367">
        <v>14939.09</v>
      </c>
      <c r="G95" s="367">
        <f t="shared" si="18"/>
        <v>3556.9973290000003</v>
      </c>
      <c r="H95" s="367">
        <f t="shared" si="14"/>
        <v>1244.9241666666667</v>
      </c>
      <c r="I95" s="367">
        <f t="shared" si="19"/>
        <v>296.41644408333332</v>
      </c>
      <c r="J95" s="367">
        <f t="shared" si="15"/>
        <v>1244.9241666666667</v>
      </c>
      <c r="K95" s="367">
        <f t="shared" si="20"/>
        <v>296.41644408333332</v>
      </c>
      <c r="L95" s="367">
        <f t="shared" si="16"/>
        <v>1106.5992592592593</v>
      </c>
      <c r="M95" s="370">
        <f t="shared" si="17"/>
        <v>22685.36780975926</v>
      </c>
    </row>
    <row r="96" spans="2:13" x14ac:dyDescent="0.2">
      <c r="B96" s="3" t="s">
        <v>466</v>
      </c>
      <c r="C96" s="3" t="s">
        <v>307</v>
      </c>
      <c r="D96" s="3" t="s">
        <v>276</v>
      </c>
      <c r="E96" s="3" t="s">
        <v>696</v>
      </c>
      <c r="F96" s="367">
        <v>14939.09</v>
      </c>
      <c r="G96" s="367">
        <f t="shared" si="18"/>
        <v>3556.9973290000003</v>
      </c>
      <c r="H96" s="367">
        <f t="shared" si="14"/>
        <v>1244.9241666666667</v>
      </c>
      <c r="I96" s="367">
        <f t="shared" si="19"/>
        <v>296.41644408333332</v>
      </c>
      <c r="J96" s="367">
        <f t="shared" si="15"/>
        <v>1244.9241666666667</v>
      </c>
      <c r="K96" s="367">
        <f t="shared" si="20"/>
        <v>296.41644408333332</v>
      </c>
      <c r="L96" s="367">
        <f t="shared" si="16"/>
        <v>1106.5992592592593</v>
      </c>
      <c r="M96" s="370">
        <f t="shared" si="17"/>
        <v>22685.36780975926</v>
      </c>
    </row>
    <row r="97" spans="2:13" x14ac:dyDescent="0.2">
      <c r="B97" s="3" t="s">
        <v>467</v>
      </c>
      <c r="C97" s="3" t="s">
        <v>307</v>
      </c>
      <c r="D97" s="3" t="s">
        <v>277</v>
      </c>
      <c r="E97" s="3" t="s">
        <v>696</v>
      </c>
      <c r="F97" s="367">
        <v>14939.09</v>
      </c>
      <c r="G97" s="367">
        <f t="shared" si="18"/>
        <v>3556.9973290000003</v>
      </c>
      <c r="H97" s="367">
        <f t="shared" si="14"/>
        <v>1244.9241666666667</v>
      </c>
      <c r="I97" s="367">
        <f t="shared" si="19"/>
        <v>296.41644408333332</v>
      </c>
      <c r="J97" s="367">
        <f t="shared" si="15"/>
        <v>1244.9241666666667</v>
      </c>
      <c r="K97" s="367">
        <f t="shared" si="20"/>
        <v>296.41644408333332</v>
      </c>
      <c r="L97" s="367">
        <f t="shared" si="16"/>
        <v>1106.5992592592593</v>
      </c>
      <c r="M97" s="370">
        <f t="shared" si="17"/>
        <v>22685.36780975926</v>
      </c>
    </row>
    <row r="98" spans="2:13" x14ac:dyDescent="0.2">
      <c r="B98" s="3" t="s">
        <v>468</v>
      </c>
      <c r="C98" s="3" t="s">
        <v>307</v>
      </c>
      <c r="D98" s="3" t="s">
        <v>278</v>
      </c>
      <c r="E98" s="3" t="s">
        <v>696</v>
      </c>
      <c r="F98" s="367">
        <v>14939.09</v>
      </c>
      <c r="G98" s="367">
        <f t="shared" si="18"/>
        <v>3556.9973290000003</v>
      </c>
      <c r="H98" s="367">
        <f t="shared" si="14"/>
        <v>1244.9241666666667</v>
      </c>
      <c r="I98" s="367">
        <f t="shared" si="19"/>
        <v>296.41644408333332</v>
      </c>
      <c r="J98" s="367">
        <f t="shared" si="15"/>
        <v>1244.9241666666667</v>
      </c>
      <c r="K98" s="367">
        <f t="shared" si="20"/>
        <v>296.41644408333332</v>
      </c>
      <c r="L98" s="367">
        <f t="shared" si="16"/>
        <v>1106.5992592592593</v>
      </c>
      <c r="M98" s="370">
        <f t="shared" si="17"/>
        <v>22685.36780975926</v>
      </c>
    </row>
    <row r="99" spans="2:13" x14ac:dyDescent="0.2">
      <c r="B99" s="3" t="s">
        <v>469</v>
      </c>
      <c r="C99" s="3" t="s">
        <v>307</v>
      </c>
      <c r="D99" s="3" t="s">
        <v>279</v>
      </c>
      <c r="E99" s="3" t="s">
        <v>696</v>
      </c>
      <c r="F99" s="367">
        <v>14939.09</v>
      </c>
      <c r="G99" s="367">
        <f t="shared" si="18"/>
        <v>3556.9973290000003</v>
      </c>
      <c r="H99" s="367">
        <f t="shared" si="14"/>
        <v>1244.9241666666667</v>
      </c>
      <c r="I99" s="367">
        <f t="shared" si="19"/>
        <v>296.41644408333332</v>
      </c>
      <c r="J99" s="367">
        <f t="shared" si="15"/>
        <v>1244.9241666666667</v>
      </c>
      <c r="K99" s="367">
        <f t="shared" si="20"/>
        <v>296.41644408333332</v>
      </c>
      <c r="L99" s="367">
        <f t="shared" si="16"/>
        <v>1106.5992592592593</v>
      </c>
      <c r="M99" s="370">
        <f t="shared" si="17"/>
        <v>22685.36780975926</v>
      </c>
    </row>
    <row r="100" spans="2:13" x14ac:dyDescent="0.2">
      <c r="B100" s="3" t="s">
        <v>470</v>
      </c>
      <c r="C100" s="3" t="s">
        <v>307</v>
      </c>
      <c r="D100" s="3" t="s">
        <v>280</v>
      </c>
      <c r="E100" s="3" t="s">
        <v>696</v>
      </c>
      <c r="F100" s="367">
        <v>14939.09</v>
      </c>
      <c r="G100" s="367">
        <f t="shared" si="18"/>
        <v>3556.9973290000003</v>
      </c>
      <c r="H100" s="367">
        <f t="shared" si="14"/>
        <v>1244.9241666666667</v>
      </c>
      <c r="I100" s="367">
        <f t="shared" si="19"/>
        <v>296.41644408333332</v>
      </c>
      <c r="J100" s="367">
        <f t="shared" si="15"/>
        <v>1244.9241666666667</v>
      </c>
      <c r="K100" s="367">
        <f t="shared" si="20"/>
        <v>296.41644408333332</v>
      </c>
      <c r="L100" s="367">
        <f t="shared" si="16"/>
        <v>1106.5992592592593</v>
      </c>
      <c r="M100" s="370">
        <f t="shared" si="17"/>
        <v>22685.36780975926</v>
      </c>
    </row>
    <row r="101" spans="2:13" x14ac:dyDescent="0.2">
      <c r="B101" s="3" t="s">
        <v>471</v>
      </c>
      <c r="C101" s="3" t="s">
        <v>307</v>
      </c>
      <c r="D101" s="3" t="s">
        <v>281</v>
      </c>
      <c r="E101" s="3" t="s">
        <v>696</v>
      </c>
      <c r="F101" s="367">
        <v>14939.09</v>
      </c>
      <c r="G101" s="367">
        <f t="shared" si="18"/>
        <v>3556.9973290000003</v>
      </c>
      <c r="H101" s="367">
        <f t="shared" si="14"/>
        <v>1244.9241666666667</v>
      </c>
      <c r="I101" s="367">
        <f t="shared" si="19"/>
        <v>296.41644408333332</v>
      </c>
      <c r="J101" s="367">
        <f t="shared" si="15"/>
        <v>1244.9241666666667</v>
      </c>
      <c r="K101" s="367">
        <f t="shared" si="20"/>
        <v>296.41644408333332</v>
      </c>
      <c r="L101" s="367">
        <f t="shared" si="16"/>
        <v>1106.5992592592593</v>
      </c>
      <c r="M101" s="370">
        <f t="shared" si="17"/>
        <v>22685.36780975926</v>
      </c>
    </row>
    <row r="102" spans="2:13" x14ac:dyDescent="0.2">
      <c r="B102" s="3" t="s">
        <v>472</v>
      </c>
      <c r="C102" s="3" t="s">
        <v>307</v>
      </c>
      <c r="D102" s="3" t="s">
        <v>282</v>
      </c>
      <c r="E102" s="3" t="s">
        <v>696</v>
      </c>
      <c r="F102" s="367">
        <v>14939.09</v>
      </c>
      <c r="G102" s="367">
        <f t="shared" si="18"/>
        <v>3556.9973290000003</v>
      </c>
      <c r="H102" s="367">
        <f t="shared" si="14"/>
        <v>1244.9241666666667</v>
      </c>
      <c r="I102" s="367">
        <f t="shared" si="19"/>
        <v>296.41644408333332</v>
      </c>
      <c r="J102" s="367">
        <f t="shared" si="15"/>
        <v>1244.9241666666667</v>
      </c>
      <c r="K102" s="367">
        <f t="shared" si="20"/>
        <v>296.41644408333332</v>
      </c>
      <c r="L102" s="367">
        <f t="shared" si="16"/>
        <v>1106.5992592592593</v>
      </c>
      <c r="M102" s="370">
        <f t="shared" si="17"/>
        <v>22685.36780975926</v>
      </c>
    </row>
    <row r="103" spans="2:13" x14ac:dyDescent="0.2">
      <c r="B103" s="3" t="s">
        <v>473</v>
      </c>
      <c r="C103" s="3" t="s">
        <v>307</v>
      </c>
      <c r="D103" s="3" t="s">
        <v>283</v>
      </c>
      <c r="E103" s="3" t="s">
        <v>696</v>
      </c>
      <c r="F103" s="367">
        <v>14939.09</v>
      </c>
      <c r="G103" s="367">
        <f t="shared" si="18"/>
        <v>3556.9973290000003</v>
      </c>
      <c r="H103" s="367">
        <f t="shared" si="14"/>
        <v>1244.9241666666667</v>
      </c>
      <c r="I103" s="367">
        <f t="shared" si="19"/>
        <v>296.41644408333332</v>
      </c>
      <c r="J103" s="367">
        <f t="shared" si="15"/>
        <v>1244.9241666666667</v>
      </c>
      <c r="K103" s="367">
        <f t="shared" si="20"/>
        <v>296.41644408333332</v>
      </c>
      <c r="L103" s="367">
        <f t="shared" si="16"/>
        <v>1106.5992592592593</v>
      </c>
      <c r="M103" s="370">
        <f t="shared" si="17"/>
        <v>22685.36780975926</v>
      </c>
    </row>
    <row r="104" spans="2:13" x14ac:dyDescent="0.2">
      <c r="B104" s="3" t="s">
        <v>474</v>
      </c>
      <c r="C104" s="3" t="s">
        <v>307</v>
      </c>
      <c r="D104" s="3" t="s">
        <v>284</v>
      </c>
      <c r="E104" s="3" t="s">
        <v>696</v>
      </c>
      <c r="F104" s="367">
        <v>14939.09</v>
      </c>
      <c r="G104" s="367">
        <f t="shared" si="18"/>
        <v>3556.9973290000003</v>
      </c>
      <c r="H104" s="367">
        <f t="shared" si="14"/>
        <v>1244.9241666666667</v>
      </c>
      <c r="I104" s="367">
        <f t="shared" si="19"/>
        <v>296.41644408333332</v>
      </c>
      <c r="J104" s="367">
        <f t="shared" si="15"/>
        <v>1244.9241666666667</v>
      </c>
      <c r="K104" s="367">
        <f t="shared" si="20"/>
        <v>296.41644408333332</v>
      </c>
      <c r="L104" s="367">
        <f t="shared" si="16"/>
        <v>1106.5992592592593</v>
      </c>
      <c r="M104" s="370">
        <f t="shared" si="17"/>
        <v>22685.36780975926</v>
      </c>
    </row>
    <row r="105" spans="2:13" x14ac:dyDescent="0.2">
      <c r="B105" s="3" t="s">
        <v>475</v>
      </c>
      <c r="C105" s="3" t="s">
        <v>307</v>
      </c>
      <c r="D105" s="3" t="s">
        <v>285</v>
      </c>
      <c r="E105" s="3" t="s">
        <v>696</v>
      </c>
      <c r="F105" s="367">
        <v>14939.09</v>
      </c>
      <c r="G105" s="367">
        <f t="shared" si="18"/>
        <v>3556.9973290000003</v>
      </c>
      <c r="H105" s="367">
        <f t="shared" si="14"/>
        <v>1244.9241666666667</v>
      </c>
      <c r="I105" s="367">
        <f t="shared" si="19"/>
        <v>296.41644408333332</v>
      </c>
      <c r="J105" s="367">
        <f t="shared" si="15"/>
        <v>1244.9241666666667</v>
      </c>
      <c r="K105" s="367">
        <f t="shared" si="20"/>
        <v>296.41644408333332</v>
      </c>
      <c r="L105" s="367">
        <f t="shared" si="16"/>
        <v>1106.5992592592593</v>
      </c>
      <c r="M105" s="370">
        <f t="shared" si="17"/>
        <v>22685.36780975926</v>
      </c>
    </row>
    <row r="106" spans="2:13" x14ac:dyDescent="0.2">
      <c r="B106" s="3" t="s">
        <v>476</v>
      </c>
      <c r="C106" s="3" t="s">
        <v>307</v>
      </c>
      <c r="D106" s="3" t="s">
        <v>286</v>
      </c>
      <c r="E106" s="3" t="s">
        <v>696</v>
      </c>
      <c r="F106" s="367">
        <v>14939.09</v>
      </c>
      <c r="G106" s="367">
        <f t="shared" ref="G106:G137" si="21">F106*$E$4</f>
        <v>3556.9973290000003</v>
      </c>
      <c r="H106" s="367">
        <f t="shared" si="14"/>
        <v>1244.9241666666667</v>
      </c>
      <c r="I106" s="367">
        <f t="shared" ref="I106:I137" si="22">H106*$E$4</f>
        <v>296.41644408333332</v>
      </c>
      <c r="J106" s="367">
        <f t="shared" si="15"/>
        <v>1244.9241666666667</v>
      </c>
      <c r="K106" s="367">
        <f t="shared" ref="K106:K137" si="23">J106*$E$4</f>
        <v>296.41644408333332</v>
      </c>
      <c r="L106" s="367">
        <f t="shared" si="16"/>
        <v>1106.5992592592593</v>
      </c>
      <c r="M106" s="370">
        <f t="shared" si="17"/>
        <v>22685.36780975926</v>
      </c>
    </row>
    <row r="107" spans="2:13" x14ac:dyDescent="0.2">
      <c r="B107" s="3" t="s">
        <v>477</v>
      </c>
      <c r="C107" s="3" t="s">
        <v>307</v>
      </c>
      <c r="D107" s="3" t="s">
        <v>287</v>
      </c>
      <c r="E107" s="3" t="s">
        <v>696</v>
      </c>
      <c r="F107" s="367">
        <v>14939.09</v>
      </c>
      <c r="G107" s="367">
        <f t="shared" si="21"/>
        <v>3556.9973290000003</v>
      </c>
      <c r="H107" s="367">
        <f t="shared" si="14"/>
        <v>1244.9241666666667</v>
      </c>
      <c r="I107" s="367">
        <f t="shared" si="22"/>
        <v>296.41644408333332</v>
      </c>
      <c r="J107" s="367">
        <f t="shared" si="15"/>
        <v>1244.9241666666667</v>
      </c>
      <c r="K107" s="367">
        <f t="shared" si="23"/>
        <v>296.41644408333332</v>
      </c>
      <c r="L107" s="367">
        <f t="shared" si="16"/>
        <v>1106.5992592592593</v>
      </c>
      <c r="M107" s="370">
        <f t="shared" si="17"/>
        <v>22685.36780975926</v>
      </c>
    </row>
    <row r="108" spans="2:13" x14ac:dyDescent="0.2">
      <c r="B108" s="3" t="s">
        <v>478</v>
      </c>
      <c r="C108" s="3" t="s">
        <v>307</v>
      </c>
      <c r="D108" s="3" t="s">
        <v>288</v>
      </c>
      <c r="E108" s="3" t="s">
        <v>696</v>
      </c>
      <c r="F108" s="367">
        <v>14939.09</v>
      </c>
      <c r="G108" s="367">
        <f t="shared" si="21"/>
        <v>3556.9973290000003</v>
      </c>
      <c r="H108" s="367">
        <f t="shared" si="14"/>
        <v>1244.9241666666667</v>
      </c>
      <c r="I108" s="367">
        <f t="shared" si="22"/>
        <v>296.41644408333332</v>
      </c>
      <c r="J108" s="367">
        <f t="shared" si="15"/>
        <v>1244.9241666666667</v>
      </c>
      <c r="K108" s="367">
        <f t="shared" si="23"/>
        <v>296.41644408333332</v>
      </c>
      <c r="L108" s="367">
        <f t="shared" si="16"/>
        <v>1106.5992592592593</v>
      </c>
      <c r="M108" s="370">
        <f t="shared" si="17"/>
        <v>22685.36780975926</v>
      </c>
    </row>
    <row r="109" spans="2:13" x14ac:dyDescent="0.2">
      <c r="B109" s="3" t="s">
        <v>479</v>
      </c>
      <c r="C109" s="3" t="s">
        <v>307</v>
      </c>
      <c r="D109" s="3" t="s">
        <v>289</v>
      </c>
      <c r="E109" s="3" t="s">
        <v>696</v>
      </c>
      <c r="F109" s="367">
        <v>14939.09</v>
      </c>
      <c r="G109" s="367">
        <f t="shared" si="21"/>
        <v>3556.9973290000003</v>
      </c>
      <c r="H109" s="367">
        <f t="shared" si="14"/>
        <v>1244.9241666666667</v>
      </c>
      <c r="I109" s="367">
        <f t="shared" si="22"/>
        <v>296.41644408333332</v>
      </c>
      <c r="J109" s="367">
        <f t="shared" si="15"/>
        <v>1244.9241666666667</v>
      </c>
      <c r="K109" s="367">
        <f t="shared" si="23"/>
        <v>296.41644408333332</v>
      </c>
      <c r="L109" s="367">
        <f t="shared" si="16"/>
        <v>1106.5992592592593</v>
      </c>
      <c r="M109" s="370">
        <f t="shared" si="17"/>
        <v>22685.36780975926</v>
      </c>
    </row>
    <row r="110" spans="2:13" x14ac:dyDescent="0.2">
      <c r="B110" s="3" t="s">
        <v>480</v>
      </c>
      <c r="C110" s="3" t="s">
        <v>307</v>
      </c>
      <c r="D110" s="3" t="s">
        <v>290</v>
      </c>
      <c r="E110" s="3" t="s">
        <v>696</v>
      </c>
      <c r="F110" s="367">
        <v>14939.09</v>
      </c>
      <c r="G110" s="367">
        <f t="shared" si="21"/>
        <v>3556.9973290000003</v>
      </c>
      <c r="H110" s="367">
        <f t="shared" si="14"/>
        <v>1244.9241666666667</v>
      </c>
      <c r="I110" s="367">
        <f t="shared" si="22"/>
        <v>296.41644408333332</v>
      </c>
      <c r="J110" s="367">
        <f t="shared" si="15"/>
        <v>1244.9241666666667</v>
      </c>
      <c r="K110" s="367">
        <f t="shared" si="23"/>
        <v>296.41644408333332</v>
      </c>
      <c r="L110" s="367">
        <f t="shared" si="16"/>
        <v>1106.5992592592593</v>
      </c>
      <c r="M110" s="370">
        <f t="shared" si="17"/>
        <v>22685.36780975926</v>
      </c>
    </row>
    <row r="111" spans="2:13" x14ac:dyDescent="0.2">
      <c r="B111" s="3" t="s">
        <v>481</v>
      </c>
      <c r="C111" s="3" t="s">
        <v>307</v>
      </c>
      <c r="D111" s="3" t="s">
        <v>291</v>
      </c>
      <c r="E111" s="3" t="s">
        <v>696</v>
      </c>
      <c r="F111" s="367">
        <v>14939.09</v>
      </c>
      <c r="G111" s="367">
        <f t="shared" si="21"/>
        <v>3556.9973290000003</v>
      </c>
      <c r="H111" s="367">
        <f t="shared" si="14"/>
        <v>1244.9241666666667</v>
      </c>
      <c r="I111" s="367">
        <f t="shared" si="22"/>
        <v>296.41644408333332</v>
      </c>
      <c r="J111" s="367">
        <f t="shared" si="15"/>
        <v>1244.9241666666667</v>
      </c>
      <c r="K111" s="367">
        <f t="shared" si="23"/>
        <v>296.41644408333332</v>
      </c>
      <c r="L111" s="367">
        <f t="shared" si="16"/>
        <v>1106.5992592592593</v>
      </c>
      <c r="M111" s="370">
        <f t="shared" si="17"/>
        <v>22685.36780975926</v>
      </c>
    </row>
    <row r="112" spans="2:13" x14ac:dyDescent="0.2">
      <c r="B112" s="3" t="s">
        <v>482</v>
      </c>
      <c r="C112" s="3" t="s">
        <v>307</v>
      </c>
      <c r="D112" s="3" t="s">
        <v>292</v>
      </c>
      <c r="E112" s="3" t="s">
        <v>696</v>
      </c>
      <c r="F112" s="367">
        <v>14939.09</v>
      </c>
      <c r="G112" s="367">
        <f t="shared" si="21"/>
        <v>3556.9973290000003</v>
      </c>
      <c r="H112" s="367">
        <f t="shared" si="14"/>
        <v>1244.9241666666667</v>
      </c>
      <c r="I112" s="367">
        <f t="shared" si="22"/>
        <v>296.41644408333332</v>
      </c>
      <c r="J112" s="367">
        <f t="shared" si="15"/>
        <v>1244.9241666666667</v>
      </c>
      <c r="K112" s="367">
        <f t="shared" si="23"/>
        <v>296.41644408333332</v>
      </c>
      <c r="L112" s="367">
        <f t="shared" si="16"/>
        <v>1106.5992592592593</v>
      </c>
      <c r="M112" s="370">
        <f t="shared" si="17"/>
        <v>22685.36780975926</v>
      </c>
    </row>
    <row r="113" spans="2:13" x14ac:dyDescent="0.2">
      <c r="B113" s="3" t="s">
        <v>483</v>
      </c>
      <c r="C113" s="3" t="s">
        <v>307</v>
      </c>
      <c r="D113" s="3" t="s">
        <v>293</v>
      </c>
      <c r="E113" s="3" t="s">
        <v>697</v>
      </c>
      <c r="F113" s="367">
        <v>14939.09</v>
      </c>
      <c r="G113" s="367">
        <f t="shared" si="21"/>
        <v>3556.9973290000003</v>
      </c>
      <c r="H113" s="367">
        <f t="shared" si="14"/>
        <v>1244.9241666666667</v>
      </c>
      <c r="I113" s="367">
        <f t="shared" si="22"/>
        <v>296.41644408333332</v>
      </c>
      <c r="J113" s="367">
        <f t="shared" si="15"/>
        <v>1244.9241666666667</v>
      </c>
      <c r="K113" s="367">
        <f t="shared" si="23"/>
        <v>296.41644408333332</v>
      </c>
      <c r="L113" s="367">
        <f t="shared" si="16"/>
        <v>1106.5992592592593</v>
      </c>
      <c r="M113" s="370">
        <f t="shared" si="17"/>
        <v>22685.36780975926</v>
      </c>
    </row>
    <row r="114" spans="2:13" x14ac:dyDescent="0.2">
      <c r="B114" s="3" t="s">
        <v>484</v>
      </c>
      <c r="C114" s="3" t="s">
        <v>307</v>
      </c>
      <c r="D114" s="3" t="s">
        <v>294</v>
      </c>
      <c r="E114" s="3" t="s">
        <v>697</v>
      </c>
      <c r="F114" s="367">
        <v>14939.09</v>
      </c>
      <c r="G114" s="367">
        <f t="shared" si="21"/>
        <v>3556.9973290000003</v>
      </c>
      <c r="H114" s="367">
        <f t="shared" si="14"/>
        <v>1244.9241666666667</v>
      </c>
      <c r="I114" s="367">
        <f t="shared" si="22"/>
        <v>296.41644408333332</v>
      </c>
      <c r="J114" s="367">
        <f t="shared" si="15"/>
        <v>1244.9241666666667</v>
      </c>
      <c r="K114" s="367">
        <f t="shared" si="23"/>
        <v>296.41644408333332</v>
      </c>
      <c r="L114" s="367">
        <f t="shared" si="16"/>
        <v>1106.5992592592593</v>
      </c>
      <c r="M114" s="370">
        <f t="shared" si="17"/>
        <v>22685.36780975926</v>
      </c>
    </row>
    <row r="115" spans="2:13" x14ac:dyDescent="0.2">
      <c r="B115" s="3" t="s">
        <v>485</v>
      </c>
      <c r="C115" s="3" t="s">
        <v>307</v>
      </c>
      <c r="D115" s="3" t="s">
        <v>295</v>
      </c>
      <c r="E115" s="3" t="s">
        <v>697</v>
      </c>
      <c r="F115" s="367">
        <v>14939.09</v>
      </c>
      <c r="G115" s="367">
        <f t="shared" si="21"/>
        <v>3556.9973290000003</v>
      </c>
      <c r="H115" s="367">
        <f t="shared" si="14"/>
        <v>1244.9241666666667</v>
      </c>
      <c r="I115" s="367">
        <f t="shared" si="22"/>
        <v>296.41644408333332</v>
      </c>
      <c r="J115" s="367">
        <f t="shared" si="15"/>
        <v>1244.9241666666667</v>
      </c>
      <c r="K115" s="367">
        <f t="shared" si="23"/>
        <v>296.41644408333332</v>
      </c>
      <c r="L115" s="367">
        <f t="shared" si="16"/>
        <v>1106.5992592592593</v>
      </c>
      <c r="M115" s="370">
        <f t="shared" si="17"/>
        <v>22685.36780975926</v>
      </c>
    </row>
    <row r="116" spans="2:13" x14ac:dyDescent="0.2">
      <c r="B116" s="3" t="s">
        <v>486</v>
      </c>
      <c r="C116" s="3" t="s">
        <v>307</v>
      </c>
      <c r="D116" s="3" t="s">
        <v>296</v>
      </c>
      <c r="E116" s="3" t="s">
        <v>697</v>
      </c>
      <c r="F116" s="367">
        <v>14939.09</v>
      </c>
      <c r="G116" s="367">
        <f t="shared" si="21"/>
        <v>3556.9973290000003</v>
      </c>
      <c r="H116" s="367">
        <f t="shared" si="14"/>
        <v>1244.9241666666667</v>
      </c>
      <c r="I116" s="367">
        <f t="shared" si="22"/>
        <v>296.41644408333332</v>
      </c>
      <c r="J116" s="367">
        <f t="shared" si="15"/>
        <v>1244.9241666666667</v>
      </c>
      <c r="K116" s="367">
        <f t="shared" si="23"/>
        <v>296.41644408333332</v>
      </c>
      <c r="L116" s="367">
        <f t="shared" si="16"/>
        <v>1106.5992592592593</v>
      </c>
      <c r="M116" s="370">
        <f t="shared" si="17"/>
        <v>22685.36780975926</v>
      </c>
    </row>
    <row r="117" spans="2:13" x14ac:dyDescent="0.2">
      <c r="B117" s="3" t="s">
        <v>487</v>
      </c>
      <c r="C117" s="3" t="s">
        <v>307</v>
      </c>
      <c r="D117" s="3" t="s">
        <v>297</v>
      </c>
      <c r="E117" s="3" t="s">
        <v>697</v>
      </c>
      <c r="F117" s="367">
        <v>14939.09</v>
      </c>
      <c r="G117" s="367">
        <f t="shared" si="21"/>
        <v>3556.9973290000003</v>
      </c>
      <c r="H117" s="367">
        <f t="shared" si="14"/>
        <v>1244.9241666666667</v>
      </c>
      <c r="I117" s="367">
        <f t="shared" si="22"/>
        <v>296.41644408333332</v>
      </c>
      <c r="J117" s="367">
        <f t="shared" si="15"/>
        <v>1244.9241666666667</v>
      </c>
      <c r="K117" s="367">
        <f t="shared" si="23"/>
        <v>296.41644408333332</v>
      </c>
      <c r="L117" s="367">
        <f t="shared" si="16"/>
        <v>1106.5992592592593</v>
      </c>
      <c r="M117" s="370">
        <f t="shared" si="17"/>
        <v>22685.36780975926</v>
      </c>
    </row>
    <row r="118" spans="2:13" x14ac:dyDescent="0.2">
      <c r="B118" s="3" t="s">
        <v>488</v>
      </c>
      <c r="C118" s="3" t="s">
        <v>307</v>
      </c>
      <c r="D118" s="3" t="s">
        <v>298</v>
      </c>
      <c r="E118" s="3" t="s">
        <v>697</v>
      </c>
      <c r="F118" s="367">
        <v>14939.09</v>
      </c>
      <c r="G118" s="367">
        <f t="shared" si="21"/>
        <v>3556.9973290000003</v>
      </c>
      <c r="H118" s="367">
        <f t="shared" si="14"/>
        <v>1244.9241666666667</v>
      </c>
      <c r="I118" s="367">
        <f t="shared" si="22"/>
        <v>296.41644408333332</v>
      </c>
      <c r="J118" s="367">
        <f t="shared" si="15"/>
        <v>1244.9241666666667</v>
      </c>
      <c r="K118" s="367">
        <f t="shared" si="23"/>
        <v>296.41644408333332</v>
      </c>
      <c r="L118" s="367">
        <f t="shared" si="16"/>
        <v>1106.5992592592593</v>
      </c>
      <c r="M118" s="370">
        <f t="shared" si="17"/>
        <v>22685.36780975926</v>
      </c>
    </row>
    <row r="119" spans="2:13" x14ac:dyDescent="0.2">
      <c r="B119" s="3" t="s">
        <v>489</v>
      </c>
      <c r="C119" s="3" t="s">
        <v>307</v>
      </c>
      <c r="D119" s="3" t="s">
        <v>299</v>
      </c>
      <c r="E119" s="3" t="s">
        <v>697</v>
      </c>
      <c r="F119" s="367">
        <v>14939.09</v>
      </c>
      <c r="G119" s="367">
        <f t="shared" si="21"/>
        <v>3556.9973290000003</v>
      </c>
      <c r="H119" s="367">
        <f t="shared" si="14"/>
        <v>1244.9241666666667</v>
      </c>
      <c r="I119" s="367">
        <f t="shared" si="22"/>
        <v>296.41644408333332</v>
      </c>
      <c r="J119" s="367">
        <f t="shared" si="15"/>
        <v>1244.9241666666667</v>
      </c>
      <c r="K119" s="367">
        <f t="shared" si="23"/>
        <v>296.41644408333332</v>
      </c>
      <c r="L119" s="367">
        <f t="shared" si="16"/>
        <v>1106.5992592592593</v>
      </c>
      <c r="M119" s="370">
        <f t="shared" si="17"/>
        <v>22685.36780975926</v>
      </c>
    </row>
    <row r="120" spans="2:13" x14ac:dyDescent="0.2">
      <c r="B120" s="3" t="s">
        <v>490</v>
      </c>
      <c r="C120" s="3" t="s">
        <v>307</v>
      </c>
      <c r="D120" s="3" t="s">
        <v>300</v>
      </c>
      <c r="E120" s="3" t="s">
        <v>697</v>
      </c>
      <c r="F120" s="367">
        <v>14939.09</v>
      </c>
      <c r="G120" s="367">
        <f t="shared" si="21"/>
        <v>3556.9973290000003</v>
      </c>
      <c r="H120" s="367">
        <f t="shared" si="14"/>
        <v>1244.9241666666667</v>
      </c>
      <c r="I120" s="367">
        <f t="shared" si="22"/>
        <v>296.41644408333332</v>
      </c>
      <c r="J120" s="367">
        <f t="shared" si="15"/>
        <v>1244.9241666666667</v>
      </c>
      <c r="K120" s="367">
        <f t="shared" si="23"/>
        <v>296.41644408333332</v>
      </c>
      <c r="L120" s="367">
        <f t="shared" si="16"/>
        <v>1106.5992592592593</v>
      </c>
      <c r="M120" s="370">
        <f t="shared" si="17"/>
        <v>22685.36780975926</v>
      </c>
    </row>
    <row r="121" spans="2:13" x14ac:dyDescent="0.2">
      <c r="B121" s="3" t="s">
        <v>491</v>
      </c>
      <c r="C121" s="3" t="s">
        <v>307</v>
      </c>
      <c r="D121" s="3" t="s">
        <v>301</v>
      </c>
      <c r="E121" s="3" t="s">
        <v>697</v>
      </c>
      <c r="F121" s="367">
        <v>14939.09</v>
      </c>
      <c r="G121" s="367">
        <f t="shared" si="21"/>
        <v>3556.9973290000003</v>
      </c>
      <c r="H121" s="367">
        <f t="shared" si="14"/>
        <v>1244.9241666666667</v>
      </c>
      <c r="I121" s="367">
        <f t="shared" si="22"/>
        <v>296.41644408333332</v>
      </c>
      <c r="J121" s="367">
        <f t="shared" si="15"/>
        <v>1244.9241666666667</v>
      </c>
      <c r="K121" s="367">
        <f t="shared" si="23"/>
        <v>296.41644408333332</v>
      </c>
      <c r="L121" s="367">
        <f t="shared" si="16"/>
        <v>1106.5992592592593</v>
      </c>
      <c r="M121" s="370">
        <f t="shared" si="17"/>
        <v>22685.36780975926</v>
      </c>
    </row>
    <row r="122" spans="2:13" x14ac:dyDescent="0.2">
      <c r="B122" s="3" t="s">
        <v>492</v>
      </c>
      <c r="C122" s="3" t="s">
        <v>307</v>
      </c>
      <c r="D122" s="3" t="s">
        <v>302</v>
      </c>
      <c r="E122" s="3" t="s">
        <v>697</v>
      </c>
      <c r="F122" s="367">
        <v>14939.09</v>
      </c>
      <c r="G122" s="367">
        <f t="shared" si="21"/>
        <v>3556.9973290000003</v>
      </c>
      <c r="H122" s="367">
        <f t="shared" si="14"/>
        <v>1244.9241666666667</v>
      </c>
      <c r="I122" s="367">
        <f t="shared" si="22"/>
        <v>296.41644408333332</v>
      </c>
      <c r="J122" s="367">
        <f t="shared" si="15"/>
        <v>1244.9241666666667</v>
      </c>
      <c r="K122" s="367">
        <f t="shared" si="23"/>
        <v>296.41644408333332</v>
      </c>
      <c r="L122" s="367">
        <f t="shared" si="16"/>
        <v>1106.5992592592593</v>
      </c>
      <c r="M122" s="370">
        <f t="shared" si="17"/>
        <v>22685.36780975926</v>
      </c>
    </row>
    <row r="123" spans="2:13" x14ac:dyDescent="0.2">
      <c r="B123" s="3" t="s">
        <v>493</v>
      </c>
      <c r="C123" s="3" t="s">
        <v>307</v>
      </c>
      <c r="D123" s="3" t="s">
        <v>303</v>
      </c>
      <c r="E123" s="3" t="s">
        <v>697</v>
      </c>
      <c r="F123" s="367">
        <v>14939.09</v>
      </c>
      <c r="G123" s="367">
        <f t="shared" si="21"/>
        <v>3556.9973290000003</v>
      </c>
      <c r="H123" s="367">
        <f t="shared" si="14"/>
        <v>1244.9241666666667</v>
      </c>
      <c r="I123" s="367">
        <f t="shared" si="22"/>
        <v>296.41644408333332</v>
      </c>
      <c r="J123" s="367">
        <f t="shared" si="15"/>
        <v>1244.9241666666667</v>
      </c>
      <c r="K123" s="367">
        <f t="shared" si="23"/>
        <v>296.41644408333332</v>
      </c>
      <c r="L123" s="367">
        <f t="shared" si="16"/>
        <v>1106.5992592592593</v>
      </c>
      <c r="M123" s="370">
        <f t="shared" si="17"/>
        <v>22685.36780975926</v>
      </c>
    </row>
    <row r="124" spans="2:13" x14ac:dyDescent="0.2">
      <c r="B124" s="3" t="s">
        <v>494</v>
      </c>
      <c r="C124" s="3" t="s">
        <v>308</v>
      </c>
      <c r="D124" s="3" t="s">
        <v>309</v>
      </c>
      <c r="E124" s="3"/>
      <c r="F124" s="367">
        <v>27109.83</v>
      </c>
      <c r="G124" s="367">
        <f t="shared" si="21"/>
        <v>6454.850523000001</v>
      </c>
      <c r="H124" s="367">
        <f t="shared" si="14"/>
        <v>2259.1525000000001</v>
      </c>
      <c r="I124" s="367">
        <f t="shared" si="22"/>
        <v>537.90421025000001</v>
      </c>
      <c r="J124" s="367">
        <f t="shared" si="15"/>
        <v>2259.1525000000001</v>
      </c>
      <c r="K124" s="367">
        <f t="shared" si="23"/>
        <v>537.90421025000001</v>
      </c>
      <c r="L124" s="367">
        <f t="shared" si="16"/>
        <v>2008.1355555555556</v>
      </c>
      <c r="M124" s="370">
        <f t="shared" si="17"/>
        <v>41166.929499055565</v>
      </c>
    </row>
    <row r="125" spans="2:13" x14ac:dyDescent="0.2">
      <c r="B125" s="3" t="s">
        <v>495</v>
      </c>
      <c r="C125" s="3" t="s">
        <v>308</v>
      </c>
      <c r="D125" s="3" t="s">
        <v>310</v>
      </c>
      <c r="E125" s="3"/>
      <c r="F125" s="367">
        <v>14939.09</v>
      </c>
      <c r="G125" s="367">
        <f t="shared" si="21"/>
        <v>3556.9973290000003</v>
      </c>
      <c r="H125" s="367">
        <f t="shared" si="14"/>
        <v>1244.9241666666667</v>
      </c>
      <c r="I125" s="367">
        <f t="shared" si="22"/>
        <v>296.41644408333332</v>
      </c>
      <c r="J125" s="367">
        <f t="shared" si="15"/>
        <v>1244.9241666666667</v>
      </c>
      <c r="K125" s="367">
        <f t="shared" si="23"/>
        <v>296.41644408333332</v>
      </c>
      <c r="L125" s="367">
        <f t="shared" si="16"/>
        <v>1106.5992592592593</v>
      </c>
      <c r="M125" s="370">
        <f t="shared" si="17"/>
        <v>22685.36780975926</v>
      </c>
    </row>
    <row r="126" spans="2:13" x14ac:dyDescent="0.2">
      <c r="B126" s="3" t="s">
        <v>496</v>
      </c>
      <c r="C126" s="3" t="s">
        <v>308</v>
      </c>
      <c r="D126" s="3" t="s">
        <v>311</v>
      </c>
      <c r="E126" s="3"/>
      <c r="F126" s="367">
        <v>9723.3700000000008</v>
      </c>
      <c r="G126" s="367">
        <f t="shared" si="21"/>
        <v>2315.1343970000003</v>
      </c>
      <c r="H126" s="367">
        <f t="shared" si="14"/>
        <v>810.28083333333336</v>
      </c>
      <c r="I126" s="367">
        <f t="shared" si="22"/>
        <v>192.92786641666669</v>
      </c>
      <c r="J126" s="367">
        <f t="shared" si="15"/>
        <v>810.28083333333336</v>
      </c>
      <c r="K126" s="367">
        <f t="shared" si="23"/>
        <v>192.92786641666669</v>
      </c>
      <c r="L126" s="367">
        <f t="shared" si="16"/>
        <v>720.24962962962968</v>
      </c>
      <c r="M126" s="370">
        <f t="shared" si="17"/>
        <v>14765.171426129631</v>
      </c>
    </row>
    <row r="127" spans="2:13" x14ac:dyDescent="0.2">
      <c r="B127" s="3" t="s">
        <v>497</v>
      </c>
      <c r="C127" s="3" t="s">
        <v>308</v>
      </c>
      <c r="D127" s="3" t="s">
        <v>312</v>
      </c>
      <c r="E127" s="3"/>
      <c r="F127" s="367">
        <v>14421.64</v>
      </c>
      <c r="G127" s="367">
        <f t="shared" si="21"/>
        <v>3433.7924840000001</v>
      </c>
      <c r="H127" s="367">
        <f t="shared" si="14"/>
        <v>1201.8033333333333</v>
      </c>
      <c r="I127" s="367">
        <f t="shared" si="22"/>
        <v>286.14937366666669</v>
      </c>
      <c r="J127" s="367">
        <f t="shared" si="15"/>
        <v>1201.8033333333333</v>
      </c>
      <c r="K127" s="367">
        <f t="shared" si="23"/>
        <v>286.14937366666669</v>
      </c>
      <c r="L127" s="367">
        <f t="shared" si="16"/>
        <v>1068.2696296296297</v>
      </c>
      <c r="M127" s="370">
        <f t="shared" si="17"/>
        <v>21899.607527629629</v>
      </c>
    </row>
    <row r="128" spans="2:13" x14ac:dyDescent="0.2">
      <c r="B128" s="3" t="s">
        <v>498</v>
      </c>
      <c r="C128" s="3" t="s">
        <v>308</v>
      </c>
      <c r="D128" s="3" t="s">
        <v>313</v>
      </c>
      <c r="E128" s="3"/>
      <c r="F128" s="367">
        <v>14939.09</v>
      </c>
      <c r="G128" s="367">
        <f t="shared" si="21"/>
        <v>3556.9973290000003</v>
      </c>
      <c r="H128" s="367">
        <f t="shared" ref="H128:H131" si="24">F128/12</f>
        <v>1244.9241666666667</v>
      </c>
      <c r="I128" s="367">
        <f t="shared" si="22"/>
        <v>296.41644408333332</v>
      </c>
      <c r="J128" s="367">
        <f t="shared" ref="J128:J131" si="25">F128/12</f>
        <v>1244.9241666666667</v>
      </c>
      <c r="K128" s="367">
        <f t="shared" si="23"/>
        <v>296.41644408333332</v>
      </c>
      <c r="L128" s="367">
        <f t="shared" ref="L128:L131" si="26">F128/13.5</f>
        <v>1106.5992592592593</v>
      </c>
      <c r="M128" s="370">
        <f t="shared" ref="M128:M131" si="27">SUM(G128:L128)+F128</f>
        <v>22685.36780975926</v>
      </c>
    </row>
    <row r="129" spans="2:13" x14ac:dyDescent="0.2">
      <c r="B129" s="3" t="s">
        <v>499</v>
      </c>
      <c r="C129" s="3" t="s">
        <v>308</v>
      </c>
      <c r="D129" s="3" t="s">
        <v>314</v>
      </c>
      <c r="E129" s="3"/>
      <c r="F129" s="367">
        <v>14939.09</v>
      </c>
      <c r="G129" s="367">
        <f t="shared" si="21"/>
        <v>3556.9973290000003</v>
      </c>
      <c r="H129" s="367">
        <f t="shared" si="24"/>
        <v>1244.9241666666667</v>
      </c>
      <c r="I129" s="367">
        <f t="shared" si="22"/>
        <v>296.41644408333332</v>
      </c>
      <c r="J129" s="367">
        <f t="shared" si="25"/>
        <v>1244.9241666666667</v>
      </c>
      <c r="K129" s="367">
        <f t="shared" si="23"/>
        <v>296.41644408333332</v>
      </c>
      <c r="L129" s="367">
        <f t="shared" si="26"/>
        <v>1106.5992592592593</v>
      </c>
      <c r="M129" s="370">
        <f t="shared" si="27"/>
        <v>22685.36780975926</v>
      </c>
    </row>
    <row r="130" spans="2:13" x14ac:dyDescent="0.2">
      <c r="B130" s="3" t="s">
        <v>500</v>
      </c>
      <c r="C130" s="3" t="s">
        <v>308</v>
      </c>
      <c r="D130" s="3" t="s">
        <v>315</v>
      </c>
      <c r="E130" s="3"/>
      <c r="F130" s="367">
        <v>14939.09</v>
      </c>
      <c r="G130" s="367">
        <f t="shared" si="21"/>
        <v>3556.9973290000003</v>
      </c>
      <c r="H130" s="367">
        <f t="shared" si="24"/>
        <v>1244.9241666666667</v>
      </c>
      <c r="I130" s="367">
        <f t="shared" si="22"/>
        <v>296.41644408333332</v>
      </c>
      <c r="J130" s="367">
        <f t="shared" si="25"/>
        <v>1244.9241666666667</v>
      </c>
      <c r="K130" s="367">
        <f t="shared" si="23"/>
        <v>296.41644408333332</v>
      </c>
      <c r="L130" s="367">
        <f t="shared" si="26"/>
        <v>1106.5992592592593</v>
      </c>
      <c r="M130" s="370">
        <f t="shared" si="27"/>
        <v>22685.36780975926</v>
      </c>
    </row>
    <row r="131" spans="2:13" x14ac:dyDescent="0.2">
      <c r="B131" s="3" t="s">
        <v>501</v>
      </c>
      <c r="C131" s="3" t="s">
        <v>308</v>
      </c>
      <c r="D131" s="3" t="s">
        <v>316</v>
      </c>
      <c r="E131" s="3"/>
      <c r="F131" s="367">
        <v>14939.09</v>
      </c>
      <c r="G131" s="367">
        <f t="shared" si="21"/>
        <v>3556.9973290000003</v>
      </c>
      <c r="H131" s="367">
        <f t="shared" si="24"/>
        <v>1244.9241666666667</v>
      </c>
      <c r="I131" s="367">
        <f t="shared" si="22"/>
        <v>296.41644408333332</v>
      </c>
      <c r="J131" s="367">
        <f t="shared" si="25"/>
        <v>1244.9241666666667</v>
      </c>
      <c r="K131" s="367">
        <f t="shared" si="23"/>
        <v>296.41644408333332</v>
      </c>
      <c r="L131" s="367">
        <f t="shared" si="26"/>
        <v>1106.5992592592593</v>
      </c>
      <c r="M131" s="370">
        <f t="shared" si="27"/>
        <v>22685.36780975926</v>
      </c>
    </row>
    <row r="132" spans="2:13" x14ac:dyDescent="0.2">
      <c r="B132" s="3" t="s">
        <v>502</v>
      </c>
      <c r="C132" s="3" t="s">
        <v>308</v>
      </c>
      <c r="D132" s="3" t="s">
        <v>317</v>
      </c>
      <c r="E132" s="3"/>
      <c r="F132" s="367">
        <v>14939.09</v>
      </c>
      <c r="G132" s="367">
        <f t="shared" si="21"/>
        <v>3556.9973290000003</v>
      </c>
      <c r="H132" s="367">
        <f t="shared" ref="H132:H143" si="28">F132/12</f>
        <v>1244.9241666666667</v>
      </c>
      <c r="I132" s="367">
        <f t="shared" si="22"/>
        <v>296.41644408333332</v>
      </c>
      <c r="J132" s="367">
        <f t="shared" ref="J132:J143" si="29">F132/12</f>
        <v>1244.9241666666667</v>
      </c>
      <c r="K132" s="367">
        <f t="shared" si="23"/>
        <v>296.41644408333332</v>
      </c>
      <c r="L132" s="367">
        <f t="shared" ref="L132:L143" si="30">F132/13.5</f>
        <v>1106.5992592592593</v>
      </c>
      <c r="M132" s="370">
        <f t="shared" ref="M132:M143" si="31">SUM(G132:L132)+F132</f>
        <v>22685.36780975926</v>
      </c>
    </row>
    <row r="133" spans="2:13" x14ac:dyDescent="0.2">
      <c r="B133" s="3" t="s">
        <v>503</v>
      </c>
      <c r="C133" s="3" t="s">
        <v>308</v>
      </c>
      <c r="D133" s="3" t="s">
        <v>318</v>
      </c>
      <c r="E133" s="3"/>
      <c r="F133" s="367">
        <v>14939.09</v>
      </c>
      <c r="G133" s="367">
        <f t="shared" si="21"/>
        <v>3556.9973290000003</v>
      </c>
      <c r="H133" s="367">
        <f t="shared" si="28"/>
        <v>1244.9241666666667</v>
      </c>
      <c r="I133" s="367">
        <f t="shared" si="22"/>
        <v>296.41644408333332</v>
      </c>
      <c r="J133" s="367">
        <f t="shared" si="29"/>
        <v>1244.9241666666667</v>
      </c>
      <c r="K133" s="367">
        <f t="shared" si="23"/>
        <v>296.41644408333332</v>
      </c>
      <c r="L133" s="367">
        <f t="shared" si="30"/>
        <v>1106.5992592592593</v>
      </c>
      <c r="M133" s="370">
        <f t="shared" si="31"/>
        <v>22685.36780975926</v>
      </c>
    </row>
    <row r="134" spans="2:13" x14ac:dyDescent="0.2">
      <c r="B134" s="3" t="s">
        <v>504</v>
      </c>
      <c r="C134" s="3" t="s">
        <v>308</v>
      </c>
      <c r="D134" s="3" t="s">
        <v>319</v>
      </c>
      <c r="E134" s="3"/>
      <c r="F134" s="367">
        <v>14939.09</v>
      </c>
      <c r="G134" s="367">
        <f t="shared" si="21"/>
        <v>3556.9973290000003</v>
      </c>
      <c r="H134" s="367">
        <f t="shared" si="28"/>
        <v>1244.9241666666667</v>
      </c>
      <c r="I134" s="367">
        <f t="shared" si="22"/>
        <v>296.41644408333332</v>
      </c>
      <c r="J134" s="367">
        <f t="shared" si="29"/>
        <v>1244.9241666666667</v>
      </c>
      <c r="K134" s="367">
        <f t="shared" si="23"/>
        <v>296.41644408333332</v>
      </c>
      <c r="L134" s="367">
        <f t="shared" si="30"/>
        <v>1106.5992592592593</v>
      </c>
      <c r="M134" s="370">
        <f t="shared" si="31"/>
        <v>22685.36780975926</v>
      </c>
    </row>
    <row r="135" spans="2:13" x14ac:dyDescent="0.2">
      <c r="B135" s="3" t="s">
        <v>505</v>
      </c>
      <c r="C135" s="3" t="s">
        <v>308</v>
      </c>
      <c r="D135" s="3" t="s">
        <v>320</v>
      </c>
      <c r="E135" s="3"/>
      <c r="F135" s="367">
        <v>14939.09</v>
      </c>
      <c r="G135" s="367">
        <f t="shared" si="21"/>
        <v>3556.9973290000003</v>
      </c>
      <c r="H135" s="367">
        <f t="shared" si="28"/>
        <v>1244.9241666666667</v>
      </c>
      <c r="I135" s="367">
        <f t="shared" si="22"/>
        <v>296.41644408333332</v>
      </c>
      <c r="J135" s="367">
        <f t="shared" si="29"/>
        <v>1244.9241666666667</v>
      </c>
      <c r="K135" s="367">
        <f t="shared" si="23"/>
        <v>296.41644408333332</v>
      </c>
      <c r="L135" s="367">
        <f t="shared" si="30"/>
        <v>1106.5992592592593</v>
      </c>
      <c r="M135" s="370">
        <f t="shared" si="31"/>
        <v>22685.36780975926</v>
      </c>
    </row>
    <row r="136" spans="2:13" x14ac:dyDescent="0.2">
      <c r="B136" s="3" t="s">
        <v>506</v>
      </c>
      <c r="C136" s="3" t="s">
        <v>308</v>
      </c>
      <c r="D136" s="3" t="s">
        <v>321</v>
      </c>
      <c r="E136" s="3"/>
      <c r="F136" s="367">
        <v>14939.09</v>
      </c>
      <c r="G136" s="367">
        <f t="shared" si="21"/>
        <v>3556.9973290000003</v>
      </c>
      <c r="H136" s="367">
        <f t="shared" si="28"/>
        <v>1244.9241666666667</v>
      </c>
      <c r="I136" s="367">
        <f t="shared" si="22"/>
        <v>296.41644408333332</v>
      </c>
      <c r="J136" s="367">
        <f t="shared" si="29"/>
        <v>1244.9241666666667</v>
      </c>
      <c r="K136" s="367">
        <f t="shared" si="23"/>
        <v>296.41644408333332</v>
      </c>
      <c r="L136" s="367">
        <f t="shared" si="30"/>
        <v>1106.5992592592593</v>
      </c>
      <c r="M136" s="370">
        <f t="shared" si="31"/>
        <v>22685.36780975926</v>
      </c>
    </row>
    <row r="137" spans="2:13" x14ac:dyDescent="0.2">
      <c r="B137" s="3" t="s">
        <v>507</v>
      </c>
      <c r="C137" s="3" t="s">
        <v>308</v>
      </c>
      <c r="D137" s="3" t="s">
        <v>322</v>
      </c>
      <c r="E137" s="3"/>
      <c r="F137" s="367">
        <v>14939.09</v>
      </c>
      <c r="G137" s="367">
        <f t="shared" si="21"/>
        <v>3556.9973290000003</v>
      </c>
      <c r="H137" s="367">
        <f t="shared" si="28"/>
        <v>1244.9241666666667</v>
      </c>
      <c r="I137" s="367">
        <f t="shared" si="22"/>
        <v>296.41644408333332</v>
      </c>
      <c r="J137" s="367">
        <f t="shared" si="29"/>
        <v>1244.9241666666667</v>
      </c>
      <c r="K137" s="367">
        <f t="shared" si="23"/>
        <v>296.41644408333332</v>
      </c>
      <c r="L137" s="367">
        <f t="shared" si="30"/>
        <v>1106.5992592592593</v>
      </c>
      <c r="M137" s="370">
        <f t="shared" si="31"/>
        <v>22685.36780975926</v>
      </c>
    </row>
    <row r="138" spans="2:13" x14ac:dyDescent="0.2">
      <c r="B138" s="3" t="s">
        <v>508</v>
      </c>
      <c r="C138" s="3" t="s">
        <v>308</v>
      </c>
      <c r="D138" s="3" t="s">
        <v>323</v>
      </c>
      <c r="E138" s="3"/>
      <c r="F138" s="367">
        <v>14939.09</v>
      </c>
      <c r="G138" s="367">
        <f t="shared" ref="G138:G169" si="32">F138*$E$4</f>
        <v>3556.9973290000003</v>
      </c>
      <c r="H138" s="367">
        <f t="shared" si="28"/>
        <v>1244.9241666666667</v>
      </c>
      <c r="I138" s="367">
        <f t="shared" ref="I138:I169" si="33">H138*$E$4</f>
        <v>296.41644408333332</v>
      </c>
      <c r="J138" s="367">
        <f t="shared" si="29"/>
        <v>1244.9241666666667</v>
      </c>
      <c r="K138" s="367">
        <f t="shared" ref="K138:K169" si="34">J138*$E$4</f>
        <v>296.41644408333332</v>
      </c>
      <c r="L138" s="367">
        <f t="shared" si="30"/>
        <v>1106.5992592592593</v>
      </c>
      <c r="M138" s="370">
        <f t="shared" si="31"/>
        <v>22685.36780975926</v>
      </c>
    </row>
    <row r="139" spans="2:13" x14ac:dyDescent="0.2">
      <c r="B139" s="3" t="s">
        <v>509</v>
      </c>
      <c r="C139" s="3" t="s">
        <v>308</v>
      </c>
      <c r="D139" s="3" t="s">
        <v>324</v>
      </c>
      <c r="E139" s="3"/>
      <c r="F139" s="367">
        <v>14939.09</v>
      </c>
      <c r="G139" s="367">
        <f t="shared" si="32"/>
        <v>3556.9973290000003</v>
      </c>
      <c r="H139" s="367">
        <f t="shared" si="28"/>
        <v>1244.9241666666667</v>
      </c>
      <c r="I139" s="367">
        <f t="shared" si="33"/>
        <v>296.41644408333332</v>
      </c>
      <c r="J139" s="367">
        <f t="shared" si="29"/>
        <v>1244.9241666666667</v>
      </c>
      <c r="K139" s="367">
        <f t="shared" si="34"/>
        <v>296.41644408333332</v>
      </c>
      <c r="L139" s="367">
        <f t="shared" si="30"/>
        <v>1106.5992592592593</v>
      </c>
      <c r="M139" s="370">
        <f t="shared" si="31"/>
        <v>22685.36780975926</v>
      </c>
    </row>
    <row r="140" spans="2:13" x14ac:dyDescent="0.2">
      <c r="B140" s="3" t="s">
        <v>510</v>
      </c>
      <c r="C140" s="3" t="s">
        <v>325</v>
      </c>
      <c r="D140" s="3" t="s">
        <v>325</v>
      </c>
      <c r="E140" s="3"/>
      <c r="F140" s="367">
        <v>24078.080000000002</v>
      </c>
      <c r="G140" s="367">
        <f t="shared" si="32"/>
        <v>5732.9908480000004</v>
      </c>
      <c r="H140" s="367">
        <f t="shared" si="28"/>
        <v>2006.5066666666669</v>
      </c>
      <c r="I140" s="367">
        <f t="shared" si="33"/>
        <v>477.74923733333338</v>
      </c>
      <c r="J140" s="367">
        <f t="shared" si="29"/>
        <v>2006.5066666666669</v>
      </c>
      <c r="K140" s="367">
        <f t="shared" si="34"/>
        <v>477.74923733333338</v>
      </c>
      <c r="L140" s="367">
        <f t="shared" si="30"/>
        <v>1783.5614814814817</v>
      </c>
      <c r="M140" s="370">
        <f t="shared" si="31"/>
        <v>36563.144137481482</v>
      </c>
    </row>
    <row r="141" spans="2:13" x14ac:dyDescent="0.2">
      <c r="B141" s="3" t="s">
        <v>511</v>
      </c>
      <c r="C141" s="3" t="s">
        <v>326</v>
      </c>
      <c r="D141" s="3" t="s">
        <v>327</v>
      </c>
      <c r="E141" s="3"/>
      <c r="F141" s="367">
        <v>30845.74</v>
      </c>
      <c r="G141" s="367">
        <f t="shared" si="32"/>
        <v>7344.3706940000002</v>
      </c>
      <c r="H141" s="367">
        <f t="shared" si="28"/>
        <v>2570.4783333333335</v>
      </c>
      <c r="I141" s="367">
        <f t="shared" si="33"/>
        <v>612.03089116666672</v>
      </c>
      <c r="J141" s="367">
        <f t="shared" si="29"/>
        <v>2570.4783333333335</v>
      </c>
      <c r="K141" s="367">
        <f t="shared" si="34"/>
        <v>612.03089116666672</v>
      </c>
      <c r="L141" s="367">
        <f t="shared" si="30"/>
        <v>2284.8696296296298</v>
      </c>
      <c r="M141" s="370">
        <f t="shared" si="31"/>
        <v>46839.998772629631</v>
      </c>
    </row>
    <row r="142" spans="2:13" x14ac:dyDescent="0.2">
      <c r="B142" s="3" t="s">
        <v>512</v>
      </c>
      <c r="C142" s="3" t="s">
        <v>326</v>
      </c>
      <c r="D142" s="3" t="s">
        <v>328</v>
      </c>
      <c r="E142" s="3"/>
      <c r="F142" s="367">
        <v>21465.279999999999</v>
      </c>
      <c r="G142" s="367">
        <f t="shared" si="32"/>
        <v>5110.8831680000003</v>
      </c>
      <c r="H142" s="367">
        <f t="shared" si="28"/>
        <v>1788.7733333333333</v>
      </c>
      <c r="I142" s="367">
        <f t="shared" si="33"/>
        <v>425.90693066666665</v>
      </c>
      <c r="J142" s="367">
        <f t="shared" si="29"/>
        <v>1788.7733333333333</v>
      </c>
      <c r="K142" s="367">
        <f t="shared" si="34"/>
        <v>425.90693066666665</v>
      </c>
      <c r="L142" s="367">
        <f t="shared" si="30"/>
        <v>1590.0207407407406</v>
      </c>
      <c r="M142" s="370">
        <f t="shared" si="31"/>
        <v>32595.54443674074</v>
      </c>
    </row>
    <row r="143" spans="2:13" x14ac:dyDescent="0.2">
      <c r="B143" s="3" t="s">
        <v>513</v>
      </c>
      <c r="C143" s="3" t="s">
        <v>331</v>
      </c>
      <c r="D143" s="3" t="s">
        <v>329</v>
      </c>
      <c r="E143" s="3"/>
      <c r="F143" s="367">
        <v>13167.65</v>
      </c>
      <c r="G143" s="367">
        <f t="shared" si="32"/>
        <v>3135.2174650000002</v>
      </c>
      <c r="H143" s="367">
        <f t="shared" si="28"/>
        <v>1097.3041666666666</v>
      </c>
      <c r="I143" s="367">
        <f t="shared" si="33"/>
        <v>261.26812208333331</v>
      </c>
      <c r="J143" s="367">
        <f t="shared" si="29"/>
        <v>1097.3041666666666</v>
      </c>
      <c r="K143" s="367">
        <f t="shared" si="34"/>
        <v>261.26812208333331</v>
      </c>
      <c r="L143" s="367">
        <f t="shared" si="30"/>
        <v>975.3814814814815</v>
      </c>
      <c r="M143" s="370">
        <f t="shared" si="31"/>
        <v>19995.393523981482</v>
      </c>
    </row>
    <row r="144" spans="2:13" x14ac:dyDescent="0.2">
      <c r="B144" s="3" t="s">
        <v>514</v>
      </c>
      <c r="C144" s="3" t="s">
        <v>331</v>
      </c>
      <c r="D144" s="3" t="s">
        <v>330</v>
      </c>
      <c r="E144" s="3"/>
      <c r="F144" s="367">
        <v>13167.65</v>
      </c>
      <c r="G144" s="367">
        <f t="shared" si="32"/>
        <v>3135.2174650000002</v>
      </c>
      <c r="H144" s="367">
        <f t="shared" ref="H144:H149" si="35">F144/12</f>
        <v>1097.3041666666666</v>
      </c>
      <c r="I144" s="367">
        <f t="shared" si="33"/>
        <v>261.26812208333331</v>
      </c>
      <c r="J144" s="367">
        <f t="shared" ref="J144:J149" si="36">F144/12</f>
        <v>1097.3041666666666</v>
      </c>
      <c r="K144" s="367">
        <f t="shared" si="34"/>
        <v>261.26812208333331</v>
      </c>
      <c r="L144" s="367">
        <f t="shared" ref="L144:L149" si="37">F144/13.5</f>
        <v>975.3814814814815</v>
      </c>
      <c r="M144" s="370">
        <f t="shared" ref="M144:M149" si="38">SUM(G144:L144)+F144</f>
        <v>19995.393523981482</v>
      </c>
    </row>
    <row r="145" spans="2:13" x14ac:dyDescent="0.2">
      <c r="B145" s="3" t="s">
        <v>515</v>
      </c>
      <c r="C145" s="3" t="s">
        <v>569</v>
      </c>
      <c r="D145" s="3" t="s">
        <v>579</v>
      </c>
      <c r="E145" s="3"/>
      <c r="F145" s="367">
        <v>17458.009999999998</v>
      </c>
      <c r="G145" s="367">
        <f t="shared" si="32"/>
        <v>4156.7521809999998</v>
      </c>
      <c r="H145" s="367">
        <f t="shared" si="35"/>
        <v>1454.8341666666665</v>
      </c>
      <c r="I145" s="367">
        <f t="shared" si="33"/>
        <v>346.39601508333334</v>
      </c>
      <c r="J145" s="367">
        <f t="shared" si="36"/>
        <v>1454.8341666666665</v>
      </c>
      <c r="K145" s="367">
        <f t="shared" si="34"/>
        <v>346.39601508333334</v>
      </c>
      <c r="L145" s="367">
        <f t="shared" si="37"/>
        <v>1293.1859259259259</v>
      </c>
      <c r="M145" s="370">
        <f t="shared" si="38"/>
        <v>26510.408470425922</v>
      </c>
    </row>
    <row r="146" spans="2:13" x14ac:dyDescent="0.2">
      <c r="B146" s="3" t="s">
        <v>516</v>
      </c>
      <c r="C146" s="3" t="s">
        <v>333</v>
      </c>
      <c r="D146" s="3" t="s">
        <v>333</v>
      </c>
      <c r="E146" s="3"/>
      <c r="F146" s="367">
        <v>70077.33</v>
      </c>
      <c r="G146" s="367">
        <f t="shared" si="32"/>
        <v>16685.412273000002</v>
      </c>
      <c r="H146" s="367">
        <f t="shared" si="35"/>
        <v>5839.7775000000001</v>
      </c>
      <c r="I146" s="367">
        <f t="shared" si="33"/>
        <v>1390.45102275</v>
      </c>
      <c r="J146" s="367">
        <f t="shared" si="36"/>
        <v>5839.7775000000001</v>
      </c>
      <c r="K146" s="367">
        <f t="shared" si="34"/>
        <v>1390.45102275</v>
      </c>
      <c r="L146" s="367">
        <f t="shared" si="37"/>
        <v>5190.9133333333339</v>
      </c>
      <c r="M146" s="370">
        <f t="shared" si="38"/>
        <v>106414.11265183333</v>
      </c>
    </row>
    <row r="147" spans="2:13" x14ac:dyDescent="0.2">
      <c r="B147" s="3" t="s">
        <v>517</v>
      </c>
      <c r="C147" s="3" t="s">
        <v>141</v>
      </c>
      <c r="D147" s="3" t="s">
        <v>334</v>
      </c>
      <c r="E147" s="3"/>
      <c r="F147" s="367">
        <v>24579.07</v>
      </c>
      <c r="G147" s="367">
        <f t="shared" si="32"/>
        <v>5852.2765669999999</v>
      </c>
      <c r="H147" s="367">
        <f t="shared" si="35"/>
        <v>2048.2558333333332</v>
      </c>
      <c r="I147" s="367">
        <f t="shared" si="33"/>
        <v>487.68971391666662</v>
      </c>
      <c r="J147" s="367">
        <f t="shared" si="36"/>
        <v>2048.2558333333332</v>
      </c>
      <c r="K147" s="367">
        <f t="shared" si="34"/>
        <v>487.68971391666662</v>
      </c>
      <c r="L147" s="367">
        <f t="shared" si="37"/>
        <v>1820.6718518518519</v>
      </c>
      <c r="M147" s="370">
        <f t="shared" si="38"/>
        <v>37323.909513351849</v>
      </c>
    </row>
    <row r="148" spans="2:13" x14ac:dyDescent="0.2">
      <c r="B148" s="3" t="s">
        <v>518</v>
      </c>
      <c r="C148" s="3" t="s">
        <v>141</v>
      </c>
      <c r="D148" s="3" t="s">
        <v>335</v>
      </c>
      <c r="E148" s="3"/>
      <c r="F148" s="367">
        <v>18431.41</v>
      </c>
      <c r="G148" s="367">
        <f t="shared" si="32"/>
        <v>4388.5187210000004</v>
      </c>
      <c r="H148" s="367">
        <f t="shared" si="35"/>
        <v>1535.9508333333333</v>
      </c>
      <c r="I148" s="367">
        <f t="shared" si="33"/>
        <v>365.70989341666666</v>
      </c>
      <c r="J148" s="367">
        <f t="shared" si="36"/>
        <v>1535.9508333333333</v>
      </c>
      <c r="K148" s="367">
        <f t="shared" si="34"/>
        <v>365.70989341666666</v>
      </c>
      <c r="L148" s="367">
        <f t="shared" si="37"/>
        <v>1365.2896296296296</v>
      </c>
      <c r="M148" s="370">
        <f t="shared" si="38"/>
        <v>27988.539804129628</v>
      </c>
    </row>
    <row r="149" spans="2:13" x14ac:dyDescent="0.2">
      <c r="B149" s="3" t="s">
        <v>519</v>
      </c>
      <c r="C149" s="3" t="s">
        <v>141</v>
      </c>
      <c r="D149" s="3" t="s">
        <v>336</v>
      </c>
      <c r="E149" s="3"/>
      <c r="F149" s="367">
        <v>23363.69</v>
      </c>
      <c r="G149" s="367">
        <f t="shared" si="32"/>
        <v>5562.8945889999995</v>
      </c>
      <c r="H149" s="367">
        <f t="shared" si="35"/>
        <v>1946.9741666666666</v>
      </c>
      <c r="I149" s="367">
        <f t="shared" si="33"/>
        <v>463.57454908333335</v>
      </c>
      <c r="J149" s="367">
        <f t="shared" si="36"/>
        <v>1946.9741666666666</v>
      </c>
      <c r="K149" s="367">
        <f t="shared" si="34"/>
        <v>463.57454908333335</v>
      </c>
      <c r="L149" s="367">
        <f t="shared" si="37"/>
        <v>1730.6437037037035</v>
      </c>
      <c r="M149" s="370">
        <f t="shared" si="38"/>
        <v>35478.3257242037</v>
      </c>
    </row>
    <row r="150" spans="2:13" x14ac:dyDescent="0.2">
      <c r="B150" s="3" t="s">
        <v>520</v>
      </c>
      <c r="C150" s="3" t="s">
        <v>141</v>
      </c>
      <c r="D150" s="3" t="s">
        <v>337</v>
      </c>
      <c r="E150" s="3"/>
      <c r="F150" s="367">
        <v>19680.900000000001</v>
      </c>
      <c r="G150" s="367">
        <f t="shared" si="32"/>
        <v>4686.0222900000008</v>
      </c>
      <c r="H150" s="367">
        <f t="shared" ref="H150:H186" si="39">F150/12</f>
        <v>1640.075</v>
      </c>
      <c r="I150" s="367">
        <f t="shared" si="33"/>
        <v>390.50185750000003</v>
      </c>
      <c r="J150" s="367">
        <f t="shared" ref="J150:J186" si="40">F150/12</f>
        <v>1640.075</v>
      </c>
      <c r="K150" s="367">
        <f t="shared" si="34"/>
        <v>390.50185750000003</v>
      </c>
      <c r="L150" s="367">
        <f t="shared" ref="L150:L186" si="41">F150/13.5</f>
        <v>1457.8444444444447</v>
      </c>
      <c r="M150" s="370">
        <f t="shared" ref="M150:M186" si="42">SUM(G150:L150)+F150</f>
        <v>29885.920449444449</v>
      </c>
    </row>
    <row r="151" spans="2:13" x14ac:dyDescent="0.2">
      <c r="B151" s="3" t="s">
        <v>521</v>
      </c>
      <c r="C151" s="3" t="s">
        <v>141</v>
      </c>
      <c r="D151" s="3" t="s">
        <v>338</v>
      </c>
      <c r="E151" s="3"/>
      <c r="F151" s="367">
        <v>10764.81</v>
      </c>
      <c r="G151" s="367">
        <f t="shared" si="32"/>
        <v>2563.1012609999998</v>
      </c>
      <c r="H151" s="367">
        <f t="shared" si="39"/>
        <v>897.0675</v>
      </c>
      <c r="I151" s="367">
        <f t="shared" si="33"/>
        <v>213.59177174999999</v>
      </c>
      <c r="J151" s="367">
        <f t="shared" si="40"/>
        <v>897.0675</v>
      </c>
      <c r="K151" s="367">
        <f t="shared" si="34"/>
        <v>213.59177174999999</v>
      </c>
      <c r="L151" s="367">
        <f t="shared" si="41"/>
        <v>797.39333333333332</v>
      </c>
      <c r="M151" s="370">
        <f t="shared" si="42"/>
        <v>16346.623137833332</v>
      </c>
    </row>
    <row r="152" spans="2:13" x14ac:dyDescent="0.2">
      <c r="B152" s="3" t="s">
        <v>522</v>
      </c>
      <c r="C152" s="3" t="s">
        <v>141</v>
      </c>
      <c r="D152" s="3" t="s">
        <v>339</v>
      </c>
      <c r="E152" s="3"/>
      <c r="F152" s="367">
        <v>17717.43</v>
      </c>
      <c r="G152" s="367">
        <f t="shared" si="32"/>
        <v>4218.5200830000003</v>
      </c>
      <c r="H152" s="367">
        <f t="shared" si="39"/>
        <v>1476.4525000000001</v>
      </c>
      <c r="I152" s="367">
        <f t="shared" si="33"/>
        <v>351.54334025000003</v>
      </c>
      <c r="J152" s="367">
        <f t="shared" si="40"/>
        <v>1476.4525000000001</v>
      </c>
      <c r="K152" s="367">
        <f t="shared" si="34"/>
        <v>351.54334025000003</v>
      </c>
      <c r="L152" s="367">
        <f t="shared" si="41"/>
        <v>1312.4022222222222</v>
      </c>
      <c r="M152" s="370">
        <f t="shared" si="42"/>
        <v>26904.343985722226</v>
      </c>
    </row>
    <row r="153" spans="2:13" x14ac:dyDescent="0.2">
      <c r="B153" s="3" t="s">
        <v>523</v>
      </c>
      <c r="C153" s="3" t="s">
        <v>141</v>
      </c>
      <c r="D153" s="3" t="s">
        <v>340</v>
      </c>
      <c r="E153" s="3"/>
      <c r="F153" s="367">
        <v>16581.22</v>
      </c>
      <c r="G153" s="367">
        <f t="shared" si="32"/>
        <v>3947.9884820000002</v>
      </c>
      <c r="H153" s="367">
        <f t="shared" si="39"/>
        <v>1381.7683333333334</v>
      </c>
      <c r="I153" s="367">
        <f t="shared" si="33"/>
        <v>328.9990401666667</v>
      </c>
      <c r="J153" s="367">
        <f t="shared" si="40"/>
        <v>1381.7683333333334</v>
      </c>
      <c r="K153" s="367">
        <f t="shared" si="34"/>
        <v>328.9990401666667</v>
      </c>
      <c r="L153" s="367">
        <f t="shared" si="41"/>
        <v>1228.2385185185185</v>
      </c>
      <c r="M153" s="370">
        <f t="shared" si="42"/>
        <v>25178.981747518519</v>
      </c>
    </row>
    <row r="154" spans="2:13" x14ac:dyDescent="0.2">
      <c r="B154" s="3" t="s">
        <v>524</v>
      </c>
      <c r="C154" s="3" t="s">
        <v>141</v>
      </c>
      <c r="D154" s="3" t="s">
        <v>341</v>
      </c>
      <c r="E154" s="3"/>
      <c r="F154" s="367">
        <v>13161.66</v>
      </c>
      <c r="G154" s="367">
        <f t="shared" si="32"/>
        <v>3133.7912460000002</v>
      </c>
      <c r="H154" s="367">
        <f t="shared" si="39"/>
        <v>1096.8050000000001</v>
      </c>
      <c r="I154" s="367">
        <f t="shared" si="33"/>
        <v>261.1492705</v>
      </c>
      <c r="J154" s="367">
        <f t="shared" si="40"/>
        <v>1096.8050000000001</v>
      </c>
      <c r="K154" s="367">
        <f t="shared" si="34"/>
        <v>261.1492705</v>
      </c>
      <c r="L154" s="367">
        <f t="shared" si="41"/>
        <v>974.9377777777778</v>
      </c>
      <c r="M154" s="370">
        <f t="shared" si="42"/>
        <v>19986.297564777778</v>
      </c>
    </row>
    <row r="155" spans="2:13" x14ac:dyDescent="0.2">
      <c r="B155" s="3" t="s">
        <v>525</v>
      </c>
      <c r="C155" s="3" t="s">
        <v>578</v>
      </c>
      <c r="D155" s="3" t="s">
        <v>342</v>
      </c>
      <c r="E155" s="3"/>
      <c r="F155" s="367">
        <v>16581.22</v>
      </c>
      <c r="G155" s="367">
        <f t="shared" si="32"/>
        <v>3947.9884820000002</v>
      </c>
      <c r="H155" s="367">
        <f t="shared" si="39"/>
        <v>1381.7683333333334</v>
      </c>
      <c r="I155" s="367">
        <f t="shared" si="33"/>
        <v>328.9990401666667</v>
      </c>
      <c r="J155" s="367">
        <f t="shared" si="40"/>
        <v>1381.7683333333334</v>
      </c>
      <c r="K155" s="367">
        <f t="shared" si="34"/>
        <v>328.9990401666667</v>
      </c>
      <c r="L155" s="367">
        <f t="shared" si="41"/>
        <v>1228.2385185185185</v>
      </c>
      <c r="M155" s="370">
        <f t="shared" si="42"/>
        <v>25178.981747518519</v>
      </c>
    </row>
    <row r="156" spans="2:13" x14ac:dyDescent="0.2">
      <c r="B156" s="3" t="s">
        <v>526</v>
      </c>
      <c r="C156" s="3" t="s">
        <v>578</v>
      </c>
      <c r="D156" s="3" t="s">
        <v>343</v>
      </c>
      <c r="E156" s="3"/>
      <c r="F156" s="367">
        <v>16581.22</v>
      </c>
      <c r="G156" s="367">
        <f t="shared" si="32"/>
        <v>3947.9884820000002</v>
      </c>
      <c r="H156" s="367">
        <f t="shared" si="39"/>
        <v>1381.7683333333334</v>
      </c>
      <c r="I156" s="367">
        <f t="shared" si="33"/>
        <v>328.9990401666667</v>
      </c>
      <c r="J156" s="367">
        <f t="shared" si="40"/>
        <v>1381.7683333333334</v>
      </c>
      <c r="K156" s="367">
        <f t="shared" si="34"/>
        <v>328.9990401666667</v>
      </c>
      <c r="L156" s="367">
        <f t="shared" si="41"/>
        <v>1228.2385185185185</v>
      </c>
      <c r="M156" s="370">
        <f t="shared" si="42"/>
        <v>25178.981747518519</v>
      </c>
    </row>
    <row r="157" spans="2:13" x14ac:dyDescent="0.2">
      <c r="B157" s="3" t="s">
        <v>527</v>
      </c>
      <c r="C157" s="3" t="s">
        <v>578</v>
      </c>
      <c r="D157" s="3" t="s">
        <v>344</v>
      </c>
      <c r="E157" s="3"/>
      <c r="F157" s="367">
        <v>16581.22</v>
      </c>
      <c r="G157" s="367">
        <f t="shared" si="32"/>
        <v>3947.9884820000002</v>
      </c>
      <c r="H157" s="367">
        <f t="shared" si="39"/>
        <v>1381.7683333333334</v>
      </c>
      <c r="I157" s="367">
        <f t="shared" si="33"/>
        <v>328.9990401666667</v>
      </c>
      <c r="J157" s="367">
        <f t="shared" si="40"/>
        <v>1381.7683333333334</v>
      </c>
      <c r="K157" s="367">
        <f t="shared" si="34"/>
        <v>328.9990401666667</v>
      </c>
      <c r="L157" s="367">
        <f t="shared" si="41"/>
        <v>1228.2385185185185</v>
      </c>
      <c r="M157" s="370">
        <f t="shared" si="42"/>
        <v>25178.981747518519</v>
      </c>
    </row>
    <row r="158" spans="2:13" x14ac:dyDescent="0.2">
      <c r="B158" s="3" t="s">
        <v>528</v>
      </c>
      <c r="C158" s="3" t="s">
        <v>578</v>
      </c>
      <c r="D158" s="3" t="s">
        <v>345</v>
      </c>
      <c r="E158" s="3"/>
      <c r="F158" s="367">
        <v>16581.22</v>
      </c>
      <c r="G158" s="367">
        <f t="shared" si="32"/>
        <v>3947.9884820000002</v>
      </c>
      <c r="H158" s="367">
        <f t="shared" si="39"/>
        <v>1381.7683333333334</v>
      </c>
      <c r="I158" s="367">
        <f t="shared" si="33"/>
        <v>328.9990401666667</v>
      </c>
      <c r="J158" s="367">
        <f t="shared" si="40"/>
        <v>1381.7683333333334</v>
      </c>
      <c r="K158" s="367">
        <f t="shared" si="34"/>
        <v>328.9990401666667</v>
      </c>
      <c r="L158" s="367">
        <f t="shared" si="41"/>
        <v>1228.2385185185185</v>
      </c>
      <c r="M158" s="370">
        <f t="shared" si="42"/>
        <v>25178.981747518519</v>
      </c>
    </row>
    <row r="159" spans="2:13" x14ac:dyDescent="0.2">
      <c r="B159" s="3" t="s">
        <v>529</v>
      </c>
      <c r="C159" s="3" t="s">
        <v>578</v>
      </c>
      <c r="D159" s="3" t="s">
        <v>346</v>
      </c>
      <c r="E159" s="3"/>
      <c r="F159" s="367">
        <v>16581.22</v>
      </c>
      <c r="G159" s="367">
        <f t="shared" si="32"/>
        <v>3947.9884820000002</v>
      </c>
      <c r="H159" s="367">
        <f t="shared" si="39"/>
        <v>1381.7683333333334</v>
      </c>
      <c r="I159" s="367">
        <f t="shared" si="33"/>
        <v>328.9990401666667</v>
      </c>
      <c r="J159" s="367">
        <f t="shared" si="40"/>
        <v>1381.7683333333334</v>
      </c>
      <c r="K159" s="367">
        <f t="shared" si="34"/>
        <v>328.9990401666667</v>
      </c>
      <c r="L159" s="367">
        <f t="shared" si="41"/>
        <v>1228.2385185185185</v>
      </c>
      <c r="M159" s="370">
        <f t="shared" si="42"/>
        <v>25178.981747518519</v>
      </c>
    </row>
    <row r="160" spans="2:13" x14ac:dyDescent="0.2">
      <c r="B160" s="3" t="s">
        <v>530</v>
      </c>
      <c r="C160" s="3" t="s">
        <v>578</v>
      </c>
      <c r="D160" s="3" t="s">
        <v>347</v>
      </c>
      <c r="E160" s="3"/>
      <c r="F160" s="367">
        <v>16581.22</v>
      </c>
      <c r="G160" s="367">
        <f t="shared" si="32"/>
        <v>3947.9884820000002</v>
      </c>
      <c r="H160" s="367">
        <f t="shared" si="39"/>
        <v>1381.7683333333334</v>
      </c>
      <c r="I160" s="367">
        <f t="shared" si="33"/>
        <v>328.9990401666667</v>
      </c>
      <c r="J160" s="367">
        <f t="shared" si="40"/>
        <v>1381.7683333333334</v>
      </c>
      <c r="K160" s="367">
        <f t="shared" si="34"/>
        <v>328.9990401666667</v>
      </c>
      <c r="L160" s="367">
        <f t="shared" si="41"/>
        <v>1228.2385185185185</v>
      </c>
      <c r="M160" s="370">
        <f t="shared" si="42"/>
        <v>25178.981747518519</v>
      </c>
    </row>
    <row r="161" spans="2:13" x14ac:dyDescent="0.2">
      <c r="B161" s="3" t="s">
        <v>531</v>
      </c>
      <c r="C161" s="3" t="s">
        <v>578</v>
      </c>
      <c r="D161" s="3" t="s">
        <v>348</v>
      </c>
      <c r="E161" s="3"/>
      <c r="F161" s="367">
        <v>16581.22</v>
      </c>
      <c r="G161" s="367">
        <f t="shared" si="32"/>
        <v>3947.9884820000002</v>
      </c>
      <c r="H161" s="367">
        <f t="shared" si="39"/>
        <v>1381.7683333333334</v>
      </c>
      <c r="I161" s="367">
        <f t="shared" si="33"/>
        <v>328.9990401666667</v>
      </c>
      <c r="J161" s="367">
        <f t="shared" si="40"/>
        <v>1381.7683333333334</v>
      </c>
      <c r="K161" s="367">
        <f t="shared" si="34"/>
        <v>328.9990401666667</v>
      </c>
      <c r="L161" s="367">
        <f t="shared" si="41"/>
        <v>1228.2385185185185</v>
      </c>
      <c r="M161" s="370">
        <f t="shared" si="42"/>
        <v>25178.981747518519</v>
      </c>
    </row>
    <row r="162" spans="2:13" x14ac:dyDescent="0.2">
      <c r="B162" s="3" t="s">
        <v>532</v>
      </c>
      <c r="C162" s="3" t="s">
        <v>578</v>
      </c>
      <c r="D162" s="3" t="s">
        <v>349</v>
      </c>
      <c r="E162" s="3"/>
      <c r="F162" s="367">
        <v>16581.22</v>
      </c>
      <c r="G162" s="367">
        <f t="shared" si="32"/>
        <v>3947.9884820000002</v>
      </c>
      <c r="H162" s="367">
        <f t="shared" si="39"/>
        <v>1381.7683333333334</v>
      </c>
      <c r="I162" s="367">
        <f t="shared" si="33"/>
        <v>328.9990401666667</v>
      </c>
      <c r="J162" s="367">
        <f t="shared" si="40"/>
        <v>1381.7683333333334</v>
      </c>
      <c r="K162" s="367">
        <f t="shared" si="34"/>
        <v>328.9990401666667</v>
      </c>
      <c r="L162" s="367">
        <f t="shared" si="41"/>
        <v>1228.2385185185185</v>
      </c>
      <c r="M162" s="370">
        <f t="shared" si="42"/>
        <v>25178.981747518519</v>
      </c>
    </row>
    <row r="163" spans="2:13" x14ac:dyDescent="0.2">
      <c r="B163" s="3" t="s">
        <v>533</v>
      </c>
      <c r="C163" s="3" t="s">
        <v>578</v>
      </c>
      <c r="D163" s="3" t="s">
        <v>350</v>
      </c>
      <c r="E163" s="3"/>
      <c r="F163" s="367">
        <v>16581.22</v>
      </c>
      <c r="G163" s="367">
        <f t="shared" si="32"/>
        <v>3947.9884820000002</v>
      </c>
      <c r="H163" s="367">
        <f t="shared" si="39"/>
        <v>1381.7683333333334</v>
      </c>
      <c r="I163" s="367">
        <f t="shared" si="33"/>
        <v>328.9990401666667</v>
      </c>
      <c r="J163" s="367">
        <f t="shared" si="40"/>
        <v>1381.7683333333334</v>
      </c>
      <c r="K163" s="367">
        <f t="shared" si="34"/>
        <v>328.9990401666667</v>
      </c>
      <c r="L163" s="367">
        <f t="shared" si="41"/>
        <v>1228.2385185185185</v>
      </c>
      <c r="M163" s="370">
        <f t="shared" si="42"/>
        <v>25178.981747518519</v>
      </c>
    </row>
    <row r="164" spans="2:13" x14ac:dyDescent="0.2">
      <c r="B164" s="3" t="s">
        <v>534</v>
      </c>
      <c r="C164" s="3" t="s">
        <v>578</v>
      </c>
      <c r="D164" s="3" t="s">
        <v>351</v>
      </c>
      <c r="E164" s="3"/>
      <c r="F164" s="367">
        <v>16581.22</v>
      </c>
      <c r="G164" s="367">
        <f t="shared" si="32"/>
        <v>3947.9884820000002</v>
      </c>
      <c r="H164" s="367">
        <f t="shared" si="39"/>
        <v>1381.7683333333334</v>
      </c>
      <c r="I164" s="367">
        <f t="shared" si="33"/>
        <v>328.9990401666667</v>
      </c>
      <c r="J164" s="367">
        <f t="shared" si="40"/>
        <v>1381.7683333333334</v>
      </c>
      <c r="K164" s="367">
        <f t="shared" si="34"/>
        <v>328.9990401666667</v>
      </c>
      <c r="L164" s="367">
        <f t="shared" si="41"/>
        <v>1228.2385185185185</v>
      </c>
      <c r="M164" s="370">
        <f t="shared" si="42"/>
        <v>25178.981747518519</v>
      </c>
    </row>
    <row r="165" spans="2:13" x14ac:dyDescent="0.2">
      <c r="B165" s="3" t="s">
        <v>535</v>
      </c>
      <c r="C165" s="3" t="s">
        <v>578</v>
      </c>
      <c r="D165" s="3" t="s">
        <v>352</v>
      </c>
      <c r="E165" s="3"/>
      <c r="F165" s="367">
        <v>16581.22</v>
      </c>
      <c r="G165" s="367">
        <f t="shared" si="32"/>
        <v>3947.9884820000002</v>
      </c>
      <c r="H165" s="367">
        <f t="shared" si="39"/>
        <v>1381.7683333333334</v>
      </c>
      <c r="I165" s="367">
        <f t="shared" si="33"/>
        <v>328.9990401666667</v>
      </c>
      <c r="J165" s="367">
        <f t="shared" si="40"/>
        <v>1381.7683333333334</v>
      </c>
      <c r="K165" s="367">
        <f t="shared" si="34"/>
        <v>328.9990401666667</v>
      </c>
      <c r="L165" s="367">
        <f t="shared" si="41"/>
        <v>1228.2385185185185</v>
      </c>
      <c r="M165" s="370">
        <f t="shared" si="42"/>
        <v>25178.981747518519</v>
      </c>
    </row>
    <row r="166" spans="2:13" x14ac:dyDescent="0.2">
      <c r="B166" s="3" t="s">
        <v>536</v>
      </c>
      <c r="C166" s="3" t="s">
        <v>578</v>
      </c>
      <c r="D166" s="3" t="s">
        <v>353</v>
      </c>
      <c r="E166" s="3"/>
      <c r="F166" s="367">
        <v>16581.22</v>
      </c>
      <c r="G166" s="367">
        <f t="shared" si="32"/>
        <v>3947.9884820000002</v>
      </c>
      <c r="H166" s="367">
        <f t="shared" si="39"/>
        <v>1381.7683333333334</v>
      </c>
      <c r="I166" s="367">
        <f t="shared" si="33"/>
        <v>328.9990401666667</v>
      </c>
      <c r="J166" s="367">
        <f t="shared" si="40"/>
        <v>1381.7683333333334</v>
      </c>
      <c r="K166" s="367">
        <f t="shared" si="34"/>
        <v>328.9990401666667</v>
      </c>
      <c r="L166" s="367">
        <f t="shared" si="41"/>
        <v>1228.2385185185185</v>
      </c>
      <c r="M166" s="370">
        <f t="shared" si="42"/>
        <v>25178.981747518519</v>
      </c>
    </row>
    <row r="167" spans="2:13" x14ac:dyDescent="0.2">
      <c r="B167" s="3" t="s">
        <v>537</v>
      </c>
      <c r="C167" s="3" t="s">
        <v>578</v>
      </c>
      <c r="D167" s="3" t="s">
        <v>354</v>
      </c>
      <c r="E167" s="3"/>
      <c r="F167" s="367">
        <v>16581.22</v>
      </c>
      <c r="G167" s="367">
        <f t="shared" si="32"/>
        <v>3947.9884820000002</v>
      </c>
      <c r="H167" s="367">
        <f t="shared" si="39"/>
        <v>1381.7683333333334</v>
      </c>
      <c r="I167" s="367">
        <f t="shared" si="33"/>
        <v>328.9990401666667</v>
      </c>
      <c r="J167" s="367">
        <f t="shared" si="40"/>
        <v>1381.7683333333334</v>
      </c>
      <c r="K167" s="367">
        <f t="shared" si="34"/>
        <v>328.9990401666667</v>
      </c>
      <c r="L167" s="367">
        <f t="shared" si="41"/>
        <v>1228.2385185185185</v>
      </c>
      <c r="M167" s="370">
        <f t="shared" si="42"/>
        <v>25178.981747518519</v>
      </c>
    </row>
    <row r="168" spans="2:13" x14ac:dyDescent="0.2">
      <c r="B168" s="3" t="s">
        <v>538</v>
      </c>
      <c r="C168" s="3" t="s">
        <v>578</v>
      </c>
      <c r="D168" s="3" t="s">
        <v>355</v>
      </c>
      <c r="E168" s="3"/>
      <c r="F168" s="367">
        <v>16581.22</v>
      </c>
      <c r="G168" s="367">
        <f t="shared" si="32"/>
        <v>3947.9884820000002</v>
      </c>
      <c r="H168" s="367">
        <f t="shared" si="39"/>
        <v>1381.7683333333334</v>
      </c>
      <c r="I168" s="367">
        <f t="shared" si="33"/>
        <v>328.9990401666667</v>
      </c>
      <c r="J168" s="367">
        <f t="shared" si="40"/>
        <v>1381.7683333333334</v>
      </c>
      <c r="K168" s="367">
        <f t="shared" si="34"/>
        <v>328.9990401666667</v>
      </c>
      <c r="L168" s="367">
        <f t="shared" si="41"/>
        <v>1228.2385185185185</v>
      </c>
      <c r="M168" s="370">
        <f t="shared" si="42"/>
        <v>25178.981747518519</v>
      </c>
    </row>
    <row r="169" spans="2:13" x14ac:dyDescent="0.2">
      <c r="B169" s="3" t="s">
        <v>539</v>
      </c>
      <c r="C169" s="3" t="s">
        <v>578</v>
      </c>
      <c r="D169" s="3" t="s">
        <v>356</v>
      </c>
      <c r="E169" s="3"/>
      <c r="F169" s="367">
        <v>16581.22</v>
      </c>
      <c r="G169" s="367">
        <f t="shared" si="32"/>
        <v>3947.9884820000002</v>
      </c>
      <c r="H169" s="367">
        <f t="shared" si="39"/>
        <v>1381.7683333333334</v>
      </c>
      <c r="I169" s="367">
        <f t="shared" si="33"/>
        <v>328.9990401666667</v>
      </c>
      <c r="J169" s="367">
        <f t="shared" si="40"/>
        <v>1381.7683333333334</v>
      </c>
      <c r="K169" s="367">
        <f t="shared" si="34"/>
        <v>328.9990401666667</v>
      </c>
      <c r="L169" s="367">
        <f t="shared" si="41"/>
        <v>1228.2385185185185</v>
      </c>
      <c r="M169" s="370">
        <f t="shared" si="42"/>
        <v>25178.981747518519</v>
      </c>
    </row>
    <row r="170" spans="2:13" x14ac:dyDescent="0.2">
      <c r="B170" s="3" t="s">
        <v>540</v>
      </c>
      <c r="C170" s="3" t="s">
        <v>578</v>
      </c>
      <c r="D170" s="3" t="s">
        <v>357</v>
      </c>
      <c r="E170" s="3"/>
      <c r="F170" s="367">
        <v>16581.22</v>
      </c>
      <c r="G170" s="367">
        <f t="shared" ref="G170:G194" si="43">F170*$E$4</f>
        <v>3947.9884820000002</v>
      </c>
      <c r="H170" s="367">
        <f t="shared" si="39"/>
        <v>1381.7683333333334</v>
      </c>
      <c r="I170" s="367">
        <f t="shared" ref="I170:I194" si="44">H170*$E$4</f>
        <v>328.9990401666667</v>
      </c>
      <c r="J170" s="367">
        <f t="shared" si="40"/>
        <v>1381.7683333333334</v>
      </c>
      <c r="K170" s="367">
        <f t="shared" ref="K170:K194" si="45">J170*$E$4</f>
        <v>328.9990401666667</v>
      </c>
      <c r="L170" s="367">
        <f t="shared" si="41"/>
        <v>1228.2385185185185</v>
      </c>
      <c r="M170" s="370">
        <f t="shared" si="42"/>
        <v>25178.981747518519</v>
      </c>
    </row>
    <row r="171" spans="2:13" x14ac:dyDescent="0.2">
      <c r="B171" s="3" t="s">
        <v>541</v>
      </c>
      <c r="C171" s="3" t="s">
        <v>578</v>
      </c>
      <c r="D171" s="3" t="s">
        <v>358</v>
      </c>
      <c r="E171" s="3"/>
      <c r="F171" s="367">
        <v>16581.22</v>
      </c>
      <c r="G171" s="367">
        <f t="shared" si="43"/>
        <v>3947.9884820000002</v>
      </c>
      <c r="H171" s="367">
        <f t="shared" si="39"/>
        <v>1381.7683333333334</v>
      </c>
      <c r="I171" s="367">
        <f t="shared" si="44"/>
        <v>328.9990401666667</v>
      </c>
      <c r="J171" s="367">
        <f t="shared" si="40"/>
        <v>1381.7683333333334</v>
      </c>
      <c r="K171" s="367">
        <f t="shared" si="45"/>
        <v>328.9990401666667</v>
      </c>
      <c r="L171" s="367">
        <f t="shared" si="41"/>
        <v>1228.2385185185185</v>
      </c>
      <c r="M171" s="370">
        <f t="shared" si="42"/>
        <v>25178.981747518519</v>
      </c>
    </row>
    <row r="172" spans="2:13" x14ac:dyDescent="0.2">
      <c r="B172" s="3" t="s">
        <v>542</v>
      </c>
      <c r="C172" s="3" t="s">
        <v>578</v>
      </c>
      <c r="D172" s="3" t="s">
        <v>359</v>
      </c>
      <c r="E172" s="3"/>
      <c r="F172" s="367">
        <v>16581.22</v>
      </c>
      <c r="G172" s="367">
        <f t="shared" si="43"/>
        <v>3947.9884820000002</v>
      </c>
      <c r="H172" s="367">
        <f t="shared" si="39"/>
        <v>1381.7683333333334</v>
      </c>
      <c r="I172" s="367">
        <f t="shared" si="44"/>
        <v>328.9990401666667</v>
      </c>
      <c r="J172" s="367">
        <f t="shared" si="40"/>
        <v>1381.7683333333334</v>
      </c>
      <c r="K172" s="367">
        <f t="shared" si="45"/>
        <v>328.9990401666667</v>
      </c>
      <c r="L172" s="367">
        <f t="shared" si="41"/>
        <v>1228.2385185185185</v>
      </c>
      <c r="M172" s="370">
        <f t="shared" si="42"/>
        <v>25178.981747518519</v>
      </c>
    </row>
    <row r="173" spans="2:13" x14ac:dyDescent="0.2">
      <c r="B173" s="3" t="s">
        <v>543</v>
      </c>
      <c r="C173" s="3" t="s">
        <v>578</v>
      </c>
      <c r="D173" s="3" t="s">
        <v>360</v>
      </c>
      <c r="E173" s="3"/>
      <c r="F173" s="367">
        <v>16581.22</v>
      </c>
      <c r="G173" s="367">
        <f t="shared" si="43"/>
        <v>3947.9884820000002</v>
      </c>
      <c r="H173" s="367">
        <f t="shared" si="39"/>
        <v>1381.7683333333334</v>
      </c>
      <c r="I173" s="367">
        <f t="shared" si="44"/>
        <v>328.9990401666667</v>
      </c>
      <c r="J173" s="367">
        <f t="shared" si="40"/>
        <v>1381.7683333333334</v>
      </c>
      <c r="K173" s="367">
        <f t="shared" si="45"/>
        <v>328.9990401666667</v>
      </c>
      <c r="L173" s="367">
        <f t="shared" si="41"/>
        <v>1228.2385185185185</v>
      </c>
      <c r="M173" s="370">
        <f t="shared" si="42"/>
        <v>25178.981747518519</v>
      </c>
    </row>
    <row r="174" spans="2:13" x14ac:dyDescent="0.2">
      <c r="B174" s="3" t="s">
        <v>544</v>
      </c>
      <c r="C174" s="3" t="s">
        <v>578</v>
      </c>
      <c r="D174" s="3" t="s">
        <v>361</v>
      </c>
      <c r="E174" s="3"/>
      <c r="F174" s="367">
        <v>16581.22</v>
      </c>
      <c r="G174" s="367">
        <f t="shared" si="43"/>
        <v>3947.9884820000002</v>
      </c>
      <c r="H174" s="367">
        <f t="shared" si="39"/>
        <v>1381.7683333333334</v>
      </c>
      <c r="I174" s="367">
        <f t="shared" si="44"/>
        <v>328.9990401666667</v>
      </c>
      <c r="J174" s="367">
        <f t="shared" si="40"/>
        <v>1381.7683333333334</v>
      </c>
      <c r="K174" s="367">
        <f t="shared" si="45"/>
        <v>328.9990401666667</v>
      </c>
      <c r="L174" s="367">
        <f t="shared" si="41"/>
        <v>1228.2385185185185</v>
      </c>
      <c r="M174" s="370">
        <f t="shared" si="42"/>
        <v>25178.981747518519</v>
      </c>
    </row>
    <row r="175" spans="2:13" x14ac:dyDescent="0.2">
      <c r="B175" s="3" t="s">
        <v>545</v>
      </c>
      <c r="C175" s="3" t="s">
        <v>578</v>
      </c>
      <c r="D175" s="3" t="s">
        <v>362</v>
      </c>
      <c r="E175" s="3"/>
      <c r="F175" s="367">
        <v>16581.22</v>
      </c>
      <c r="G175" s="367">
        <f t="shared" si="43"/>
        <v>3947.9884820000002</v>
      </c>
      <c r="H175" s="367">
        <f t="shared" si="39"/>
        <v>1381.7683333333334</v>
      </c>
      <c r="I175" s="367">
        <f t="shared" si="44"/>
        <v>328.9990401666667</v>
      </c>
      <c r="J175" s="367">
        <f t="shared" si="40"/>
        <v>1381.7683333333334</v>
      </c>
      <c r="K175" s="367">
        <f t="shared" si="45"/>
        <v>328.9990401666667</v>
      </c>
      <c r="L175" s="367">
        <f t="shared" si="41"/>
        <v>1228.2385185185185</v>
      </c>
      <c r="M175" s="370">
        <f t="shared" si="42"/>
        <v>25178.981747518519</v>
      </c>
    </row>
    <row r="176" spans="2:13" x14ac:dyDescent="0.2">
      <c r="B176" s="3" t="s">
        <v>546</v>
      </c>
      <c r="C176" s="3" t="s">
        <v>578</v>
      </c>
      <c r="D176" s="3" t="s">
        <v>363</v>
      </c>
      <c r="E176" s="3"/>
      <c r="F176" s="367">
        <v>16581.22</v>
      </c>
      <c r="G176" s="367">
        <f t="shared" si="43"/>
        <v>3947.9884820000002</v>
      </c>
      <c r="H176" s="367">
        <f t="shared" si="39"/>
        <v>1381.7683333333334</v>
      </c>
      <c r="I176" s="367">
        <f t="shared" si="44"/>
        <v>328.9990401666667</v>
      </c>
      <c r="J176" s="367">
        <f t="shared" si="40"/>
        <v>1381.7683333333334</v>
      </c>
      <c r="K176" s="367">
        <f t="shared" si="45"/>
        <v>328.9990401666667</v>
      </c>
      <c r="L176" s="367">
        <f t="shared" si="41"/>
        <v>1228.2385185185185</v>
      </c>
      <c r="M176" s="370">
        <f t="shared" si="42"/>
        <v>25178.981747518519</v>
      </c>
    </row>
    <row r="177" spans="2:13" x14ac:dyDescent="0.2">
      <c r="B177" s="3" t="s">
        <v>547</v>
      </c>
      <c r="C177" s="3" t="s">
        <v>578</v>
      </c>
      <c r="D177" s="3" t="s">
        <v>364</v>
      </c>
      <c r="E177" s="3"/>
      <c r="F177" s="367">
        <v>16581.22</v>
      </c>
      <c r="G177" s="367">
        <f t="shared" si="43"/>
        <v>3947.9884820000002</v>
      </c>
      <c r="H177" s="367">
        <f t="shared" si="39"/>
        <v>1381.7683333333334</v>
      </c>
      <c r="I177" s="367">
        <f t="shared" si="44"/>
        <v>328.9990401666667</v>
      </c>
      <c r="J177" s="367">
        <f t="shared" si="40"/>
        <v>1381.7683333333334</v>
      </c>
      <c r="K177" s="367">
        <f t="shared" si="45"/>
        <v>328.9990401666667</v>
      </c>
      <c r="L177" s="367">
        <f t="shared" si="41"/>
        <v>1228.2385185185185</v>
      </c>
      <c r="M177" s="370">
        <f t="shared" si="42"/>
        <v>25178.981747518519</v>
      </c>
    </row>
    <row r="178" spans="2:13" x14ac:dyDescent="0.2">
      <c r="B178" s="3" t="s">
        <v>548</v>
      </c>
      <c r="C178" s="3" t="s">
        <v>578</v>
      </c>
      <c r="D178" s="3" t="s">
        <v>365</v>
      </c>
      <c r="E178" s="3"/>
      <c r="F178" s="367">
        <v>16581.22</v>
      </c>
      <c r="G178" s="367">
        <f t="shared" si="43"/>
        <v>3947.9884820000002</v>
      </c>
      <c r="H178" s="367">
        <f t="shared" si="39"/>
        <v>1381.7683333333334</v>
      </c>
      <c r="I178" s="367">
        <f t="shared" si="44"/>
        <v>328.9990401666667</v>
      </c>
      <c r="J178" s="367">
        <f t="shared" si="40"/>
        <v>1381.7683333333334</v>
      </c>
      <c r="K178" s="367">
        <f t="shared" si="45"/>
        <v>328.9990401666667</v>
      </c>
      <c r="L178" s="367">
        <f t="shared" si="41"/>
        <v>1228.2385185185185</v>
      </c>
      <c r="M178" s="370">
        <f t="shared" si="42"/>
        <v>25178.981747518519</v>
      </c>
    </row>
    <row r="179" spans="2:13" x14ac:dyDescent="0.2">
      <c r="B179" s="3" t="s">
        <v>549</v>
      </c>
      <c r="C179" s="3" t="s">
        <v>578</v>
      </c>
      <c r="D179" s="3" t="s">
        <v>366</v>
      </c>
      <c r="E179" s="3"/>
      <c r="F179" s="367">
        <v>16581.22</v>
      </c>
      <c r="G179" s="367">
        <f t="shared" si="43"/>
        <v>3947.9884820000002</v>
      </c>
      <c r="H179" s="367">
        <f t="shared" si="39"/>
        <v>1381.7683333333334</v>
      </c>
      <c r="I179" s="367">
        <f t="shared" si="44"/>
        <v>328.9990401666667</v>
      </c>
      <c r="J179" s="367">
        <f t="shared" si="40"/>
        <v>1381.7683333333334</v>
      </c>
      <c r="K179" s="367">
        <f t="shared" si="45"/>
        <v>328.9990401666667</v>
      </c>
      <c r="L179" s="367">
        <f t="shared" si="41"/>
        <v>1228.2385185185185</v>
      </c>
      <c r="M179" s="370">
        <f t="shared" si="42"/>
        <v>25178.981747518519</v>
      </c>
    </row>
    <row r="180" spans="2:13" x14ac:dyDescent="0.2">
      <c r="B180" s="3" t="s">
        <v>550</v>
      </c>
      <c r="C180" s="3" t="s">
        <v>578</v>
      </c>
      <c r="D180" s="3" t="s">
        <v>367</v>
      </c>
      <c r="E180" s="3"/>
      <c r="F180" s="367">
        <v>16581.22</v>
      </c>
      <c r="G180" s="367">
        <f t="shared" si="43"/>
        <v>3947.9884820000002</v>
      </c>
      <c r="H180" s="367">
        <f t="shared" si="39"/>
        <v>1381.7683333333334</v>
      </c>
      <c r="I180" s="367">
        <f t="shared" si="44"/>
        <v>328.9990401666667</v>
      </c>
      <c r="J180" s="367">
        <f t="shared" si="40"/>
        <v>1381.7683333333334</v>
      </c>
      <c r="K180" s="367">
        <f t="shared" si="45"/>
        <v>328.9990401666667</v>
      </c>
      <c r="L180" s="367">
        <f t="shared" si="41"/>
        <v>1228.2385185185185</v>
      </c>
      <c r="M180" s="370">
        <f t="shared" si="42"/>
        <v>25178.981747518519</v>
      </c>
    </row>
    <row r="181" spans="2:13" x14ac:dyDescent="0.2">
      <c r="B181" s="3" t="s">
        <v>551</v>
      </c>
      <c r="C181" s="3" t="s">
        <v>578</v>
      </c>
      <c r="D181" s="3" t="s">
        <v>368</v>
      </c>
      <c r="E181" s="3"/>
      <c r="F181" s="367">
        <v>16581.22</v>
      </c>
      <c r="G181" s="367">
        <f t="shared" si="43"/>
        <v>3947.9884820000002</v>
      </c>
      <c r="H181" s="367">
        <f t="shared" si="39"/>
        <v>1381.7683333333334</v>
      </c>
      <c r="I181" s="367">
        <f t="shared" si="44"/>
        <v>328.9990401666667</v>
      </c>
      <c r="J181" s="367">
        <f t="shared" si="40"/>
        <v>1381.7683333333334</v>
      </c>
      <c r="K181" s="367">
        <f t="shared" si="45"/>
        <v>328.9990401666667</v>
      </c>
      <c r="L181" s="367">
        <f t="shared" si="41"/>
        <v>1228.2385185185185</v>
      </c>
      <c r="M181" s="370">
        <f t="shared" si="42"/>
        <v>25178.981747518519</v>
      </c>
    </row>
    <row r="182" spans="2:13" x14ac:dyDescent="0.2">
      <c r="B182" s="3" t="s">
        <v>552</v>
      </c>
      <c r="C182" s="3" t="s">
        <v>578</v>
      </c>
      <c r="D182" s="3" t="s">
        <v>369</v>
      </c>
      <c r="E182" s="3"/>
      <c r="F182" s="367">
        <v>16581.22</v>
      </c>
      <c r="G182" s="367">
        <f t="shared" si="43"/>
        <v>3947.9884820000002</v>
      </c>
      <c r="H182" s="367">
        <f t="shared" si="39"/>
        <v>1381.7683333333334</v>
      </c>
      <c r="I182" s="367">
        <f t="shared" si="44"/>
        <v>328.9990401666667</v>
      </c>
      <c r="J182" s="367">
        <f t="shared" si="40"/>
        <v>1381.7683333333334</v>
      </c>
      <c r="K182" s="367">
        <f t="shared" si="45"/>
        <v>328.9990401666667</v>
      </c>
      <c r="L182" s="367">
        <f t="shared" si="41"/>
        <v>1228.2385185185185</v>
      </c>
      <c r="M182" s="370">
        <f t="shared" si="42"/>
        <v>25178.981747518519</v>
      </c>
    </row>
    <row r="183" spans="2:13" x14ac:dyDescent="0.2">
      <c r="B183" s="3" t="s">
        <v>553</v>
      </c>
      <c r="C183" s="3" t="s">
        <v>578</v>
      </c>
      <c r="D183" s="3" t="s">
        <v>370</v>
      </c>
      <c r="E183" s="3"/>
      <c r="F183" s="367">
        <v>16581.22</v>
      </c>
      <c r="G183" s="367">
        <f t="shared" si="43"/>
        <v>3947.9884820000002</v>
      </c>
      <c r="H183" s="367">
        <f t="shared" si="39"/>
        <v>1381.7683333333334</v>
      </c>
      <c r="I183" s="367">
        <f t="shared" si="44"/>
        <v>328.9990401666667</v>
      </c>
      <c r="J183" s="367">
        <f t="shared" si="40"/>
        <v>1381.7683333333334</v>
      </c>
      <c r="K183" s="367">
        <f t="shared" si="45"/>
        <v>328.9990401666667</v>
      </c>
      <c r="L183" s="367">
        <f t="shared" si="41"/>
        <v>1228.2385185185185</v>
      </c>
      <c r="M183" s="370">
        <f t="shared" si="42"/>
        <v>25178.981747518519</v>
      </c>
    </row>
    <row r="184" spans="2:13" x14ac:dyDescent="0.2">
      <c r="B184" s="3" t="s">
        <v>554</v>
      </c>
      <c r="C184" s="3" t="s">
        <v>578</v>
      </c>
      <c r="D184" s="3" t="s">
        <v>371</v>
      </c>
      <c r="E184" s="3"/>
      <c r="F184" s="367">
        <v>16581.22</v>
      </c>
      <c r="G184" s="367">
        <f t="shared" si="43"/>
        <v>3947.9884820000002</v>
      </c>
      <c r="H184" s="367">
        <f t="shared" si="39"/>
        <v>1381.7683333333334</v>
      </c>
      <c r="I184" s="367">
        <f t="shared" si="44"/>
        <v>328.9990401666667</v>
      </c>
      <c r="J184" s="367">
        <f t="shared" si="40"/>
        <v>1381.7683333333334</v>
      </c>
      <c r="K184" s="367">
        <f t="shared" si="45"/>
        <v>328.9990401666667</v>
      </c>
      <c r="L184" s="367">
        <f t="shared" si="41"/>
        <v>1228.2385185185185</v>
      </c>
      <c r="M184" s="370">
        <f t="shared" si="42"/>
        <v>25178.981747518519</v>
      </c>
    </row>
    <row r="185" spans="2:13" x14ac:dyDescent="0.2">
      <c r="B185" s="3" t="s">
        <v>555</v>
      </c>
      <c r="C185" s="3" t="s">
        <v>567</v>
      </c>
      <c r="D185" s="3" t="s">
        <v>372</v>
      </c>
      <c r="E185" s="3"/>
      <c r="F185" s="367">
        <v>15973.53</v>
      </c>
      <c r="G185" s="367">
        <f t="shared" si="43"/>
        <v>3803.297493</v>
      </c>
      <c r="H185" s="367">
        <f t="shared" si="39"/>
        <v>1331.1275000000001</v>
      </c>
      <c r="I185" s="367">
        <f t="shared" si="44"/>
        <v>316.94145775000004</v>
      </c>
      <c r="J185" s="367">
        <f t="shared" si="40"/>
        <v>1331.1275000000001</v>
      </c>
      <c r="K185" s="367">
        <f t="shared" si="45"/>
        <v>316.94145775000004</v>
      </c>
      <c r="L185" s="367">
        <f t="shared" si="41"/>
        <v>1183.2244444444445</v>
      </c>
      <c r="M185" s="370">
        <f t="shared" si="42"/>
        <v>24256.189852944444</v>
      </c>
    </row>
    <row r="186" spans="2:13" x14ac:dyDescent="0.2">
      <c r="B186" s="3" t="s">
        <v>556</v>
      </c>
      <c r="C186" s="3" t="s">
        <v>567</v>
      </c>
      <c r="D186" s="3" t="s">
        <v>373</v>
      </c>
      <c r="E186" s="3"/>
      <c r="F186" s="367">
        <v>6334.83</v>
      </c>
      <c r="G186" s="367">
        <f t="shared" si="43"/>
        <v>1508.3230229999999</v>
      </c>
      <c r="H186" s="367">
        <f t="shared" si="39"/>
        <v>527.90250000000003</v>
      </c>
      <c r="I186" s="367">
        <f t="shared" si="44"/>
        <v>125.69358525000001</v>
      </c>
      <c r="J186" s="367">
        <f t="shared" si="40"/>
        <v>527.90250000000003</v>
      </c>
      <c r="K186" s="367">
        <f t="shared" si="45"/>
        <v>125.69358525000001</v>
      </c>
      <c r="L186" s="367">
        <f t="shared" si="41"/>
        <v>469.24666666666667</v>
      </c>
      <c r="M186" s="370">
        <f t="shared" si="42"/>
        <v>9619.5918601666672</v>
      </c>
    </row>
    <row r="187" spans="2:13" x14ac:dyDescent="0.2">
      <c r="B187" s="3" t="s">
        <v>557</v>
      </c>
      <c r="C187" s="3" t="s">
        <v>567</v>
      </c>
      <c r="D187" s="3" t="s">
        <v>374</v>
      </c>
      <c r="E187" s="3"/>
      <c r="F187" s="367">
        <v>6334.83</v>
      </c>
      <c r="G187" s="367">
        <f t="shared" si="43"/>
        <v>1508.3230229999999</v>
      </c>
      <c r="H187" s="367">
        <f t="shared" ref="H187:H194" si="46">F187/12</f>
        <v>527.90250000000003</v>
      </c>
      <c r="I187" s="367">
        <f t="shared" si="44"/>
        <v>125.69358525000001</v>
      </c>
      <c r="J187" s="367">
        <f t="shared" ref="J187:J194" si="47">F187/12</f>
        <v>527.90250000000003</v>
      </c>
      <c r="K187" s="367">
        <f t="shared" si="45"/>
        <v>125.69358525000001</v>
      </c>
      <c r="L187" s="367">
        <f t="shared" ref="L187:L194" si="48">F187/13.5</f>
        <v>469.24666666666667</v>
      </c>
      <c r="M187" s="370">
        <f t="shared" ref="M187:M194" si="49">SUM(G187:L187)+F187</f>
        <v>9619.5918601666672</v>
      </c>
    </row>
    <row r="188" spans="2:13" x14ac:dyDescent="0.2">
      <c r="B188" s="3" t="s">
        <v>558</v>
      </c>
      <c r="C188" s="3" t="s">
        <v>375</v>
      </c>
      <c r="D188" s="3" t="s">
        <v>375</v>
      </c>
      <c r="E188" s="3"/>
      <c r="F188" s="367">
        <v>55554.31</v>
      </c>
      <c r="G188" s="367">
        <f t="shared" si="43"/>
        <v>13227.481211</v>
      </c>
      <c r="H188" s="367">
        <f t="shared" si="46"/>
        <v>4629.5258333333331</v>
      </c>
      <c r="I188" s="367">
        <f t="shared" si="44"/>
        <v>1102.2901009166667</v>
      </c>
      <c r="J188" s="367">
        <f t="shared" si="47"/>
        <v>4629.5258333333331</v>
      </c>
      <c r="K188" s="367">
        <f t="shared" si="45"/>
        <v>1102.2901009166667</v>
      </c>
      <c r="L188" s="367">
        <f t="shared" si="48"/>
        <v>4115.1340740740743</v>
      </c>
      <c r="M188" s="370">
        <f t="shared" si="49"/>
        <v>84360.557153574075</v>
      </c>
    </row>
    <row r="189" spans="2:13" x14ac:dyDescent="0.2">
      <c r="B189" s="3" t="s">
        <v>559</v>
      </c>
      <c r="C189" s="3" t="s">
        <v>376</v>
      </c>
      <c r="D189" s="3" t="s">
        <v>376</v>
      </c>
      <c r="E189" s="3"/>
      <c r="F189" s="367">
        <v>12388.59</v>
      </c>
      <c r="G189" s="367">
        <f t="shared" si="43"/>
        <v>2949.7232790000003</v>
      </c>
      <c r="H189" s="367">
        <f t="shared" si="46"/>
        <v>1032.3824999999999</v>
      </c>
      <c r="I189" s="367">
        <f t="shared" si="44"/>
        <v>245.81027324999999</v>
      </c>
      <c r="J189" s="367">
        <f t="shared" si="47"/>
        <v>1032.3824999999999</v>
      </c>
      <c r="K189" s="367">
        <f t="shared" si="45"/>
        <v>245.81027324999999</v>
      </c>
      <c r="L189" s="367">
        <f t="shared" si="48"/>
        <v>917.67333333333329</v>
      </c>
      <c r="M189" s="370">
        <f t="shared" si="49"/>
        <v>18812.372158833336</v>
      </c>
    </row>
    <row r="190" spans="2:13" x14ac:dyDescent="0.2">
      <c r="B190" s="3" t="s">
        <v>560</v>
      </c>
      <c r="C190" s="3" t="s">
        <v>377</v>
      </c>
      <c r="D190" s="3" t="s">
        <v>377</v>
      </c>
      <c r="E190" s="3"/>
      <c r="F190" s="367">
        <v>17781.22</v>
      </c>
      <c r="G190" s="367">
        <f t="shared" si="43"/>
        <v>4233.708482</v>
      </c>
      <c r="H190" s="367">
        <f t="shared" si="46"/>
        <v>1481.7683333333334</v>
      </c>
      <c r="I190" s="367">
        <f t="shared" si="44"/>
        <v>352.8090401666667</v>
      </c>
      <c r="J190" s="367">
        <f t="shared" si="47"/>
        <v>1481.7683333333334</v>
      </c>
      <c r="K190" s="367">
        <f t="shared" si="45"/>
        <v>352.8090401666667</v>
      </c>
      <c r="L190" s="367">
        <f t="shared" si="48"/>
        <v>1317.1274074074074</v>
      </c>
      <c r="M190" s="370">
        <f t="shared" si="49"/>
        <v>27001.21063640741</v>
      </c>
    </row>
    <row r="191" spans="2:13" x14ac:dyDescent="0.2">
      <c r="B191" s="3" t="s">
        <v>561</v>
      </c>
      <c r="C191" s="3" t="s">
        <v>570</v>
      </c>
      <c r="D191" s="3" t="s">
        <v>378</v>
      </c>
      <c r="E191" s="3"/>
      <c r="F191" s="367">
        <v>22180.16</v>
      </c>
      <c r="G191" s="367">
        <f t="shared" si="43"/>
        <v>5281.0960960000002</v>
      </c>
      <c r="H191" s="367">
        <f t="shared" si="46"/>
        <v>1848.3466666666666</v>
      </c>
      <c r="I191" s="367">
        <f t="shared" si="44"/>
        <v>440.09134133333333</v>
      </c>
      <c r="J191" s="367">
        <f t="shared" si="47"/>
        <v>1848.3466666666666</v>
      </c>
      <c r="K191" s="367">
        <f t="shared" si="45"/>
        <v>440.09134133333333</v>
      </c>
      <c r="L191" s="367">
        <f t="shared" si="48"/>
        <v>1642.9748148148149</v>
      </c>
      <c r="M191" s="370">
        <f t="shared" si="49"/>
        <v>33681.106926814813</v>
      </c>
    </row>
    <row r="192" spans="2:13" x14ac:dyDescent="0.2">
      <c r="B192" s="3" t="s">
        <v>562</v>
      </c>
      <c r="C192" s="3" t="s">
        <v>571</v>
      </c>
      <c r="D192" s="3" t="s">
        <v>572</v>
      </c>
      <c r="E192" s="3"/>
      <c r="F192" s="367">
        <v>22111.67</v>
      </c>
      <c r="G192" s="367">
        <f t="shared" si="43"/>
        <v>5264.7886269999999</v>
      </c>
      <c r="H192" s="367">
        <f t="shared" si="46"/>
        <v>1842.6391666666666</v>
      </c>
      <c r="I192" s="367">
        <f t="shared" si="44"/>
        <v>438.73238558333333</v>
      </c>
      <c r="J192" s="367">
        <f t="shared" si="47"/>
        <v>1842.6391666666666</v>
      </c>
      <c r="K192" s="367">
        <f t="shared" si="45"/>
        <v>438.73238558333333</v>
      </c>
      <c r="L192" s="367">
        <f t="shared" si="48"/>
        <v>1637.9014814814814</v>
      </c>
      <c r="M192" s="370">
        <f t="shared" si="49"/>
        <v>33577.103212981478</v>
      </c>
    </row>
    <row r="193" spans="2:13" x14ac:dyDescent="0.2">
      <c r="B193" s="3" t="s">
        <v>563</v>
      </c>
      <c r="C193" s="3" t="s">
        <v>571</v>
      </c>
      <c r="D193" s="3" t="s">
        <v>573</v>
      </c>
      <c r="E193" s="3"/>
      <c r="F193" s="367">
        <v>16608.34</v>
      </c>
      <c r="G193" s="367">
        <f t="shared" si="43"/>
        <v>3954.4457540000003</v>
      </c>
      <c r="H193" s="367">
        <f t="shared" si="46"/>
        <v>1384.0283333333334</v>
      </c>
      <c r="I193" s="367">
        <f t="shared" si="44"/>
        <v>329.53714616666667</v>
      </c>
      <c r="J193" s="367">
        <f t="shared" si="47"/>
        <v>1384.0283333333334</v>
      </c>
      <c r="K193" s="367">
        <f t="shared" si="45"/>
        <v>329.53714616666667</v>
      </c>
      <c r="L193" s="367">
        <f t="shared" si="48"/>
        <v>1230.2474074074073</v>
      </c>
      <c r="M193" s="370">
        <f t="shared" si="49"/>
        <v>25220.164120407408</v>
      </c>
    </row>
    <row r="194" spans="2:13" s="373" customFormat="1" ht="15" thickBot="1" x14ac:dyDescent="0.25">
      <c r="B194" s="3" t="s">
        <v>564</v>
      </c>
      <c r="C194" s="3" t="s">
        <v>379</v>
      </c>
      <c r="D194" s="3" t="s">
        <v>379</v>
      </c>
      <c r="E194" s="3"/>
      <c r="F194" s="367">
        <v>105583.33</v>
      </c>
      <c r="G194" s="367">
        <f t="shared" si="43"/>
        <v>25139.390873</v>
      </c>
      <c r="H194" s="367">
        <f t="shared" si="46"/>
        <v>8798.6108333333341</v>
      </c>
      <c r="I194" s="367">
        <f t="shared" si="44"/>
        <v>2094.9492394166668</v>
      </c>
      <c r="J194" s="367">
        <f t="shared" si="47"/>
        <v>8798.6108333333341</v>
      </c>
      <c r="K194" s="367">
        <f t="shared" si="45"/>
        <v>2094.9492394166668</v>
      </c>
      <c r="L194" s="367">
        <f t="shared" si="48"/>
        <v>7820.9874074074078</v>
      </c>
      <c r="M194" s="370">
        <f t="shared" si="49"/>
        <v>160330.82842590741</v>
      </c>
    </row>
    <row r="195" spans="2:13" ht="15" thickBot="1" x14ac:dyDescent="0.25">
      <c r="B195" s="374" t="s">
        <v>3</v>
      </c>
      <c r="C195" s="375"/>
      <c r="D195" s="375"/>
      <c r="E195" s="375"/>
      <c r="F195" s="376">
        <f>SUBTOTAL(109,Tabella2[RAL])</f>
        <v>3258955.9800000112</v>
      </c>
      <c r="G195" s="376">
        <f>SUBTOTAL(109,Tabella2[Contributi])</f>
        <v>775957.41883799736</v>
      </c>
      <c r="H195" s="376">
        <f>SUBTOTAL(109,Tabella2[13ma])</f>
        <v>271579.66499999998</v>
      </c>
      <c r="I195" s="376">
        <f>SUBTOTAL(109,Tabella2[Contributi 13ma])</f>
        <v>64663.118236499991</v>
      </c>
      <c r="J195" s="376">
        <f>SUBTOTAL(109,Tabella2[14ma])</f>
        <v>271579.66499999998</v>
      </c>
      <c r="K195" s="376">
        <f>SUBTOTAL(109,Tabella2[Contributi 14m])</f>
        <v>64663.118236499991</v>
      </c>
      <c r="L195" s="376">
        <f>SUBTOTAL(109,Tabella2[TFR])</f>
        <v>241404.14666666702</v>
      </c>
      <c r="M195" s="377">
        <f>SUBTOTAL(109,Tabella2[Costo totale])</f>
        <v>4948803.1119776675</v>
      </c>
    </row>
  </sheetData>
  <mergeCells count="1">
    <mergeCell ref="B8:L8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C30-7518-7946-B576-CD2DF3AE45E2}">
  <dimension ref="B2:O45"/>
  <sheetViews>
    <sheetView showGridLines="0" topLeftCell="A2" zoomScale="160" zoomScaleNormal="160" workbookViewId="0">
      <selection activeCell="M17" sqref="M17"/>
    </sheetView>
  </sheetViews>
  <sheetFormatPr baseColWidth="10" defaultRowHeight="16" x14ac:dyDescent="0.2"/>
  <cols>
    <col min="1" max="1" width="10.83203125" style="4"/>
    <col min="2" max="2" width="27.33203125" style="4" bestFit="1" customWidth="1"/>
    <col min="3" max="3" width="11.1640625" style="88" customWidth="1"/>
    <col min="4" max="10" width="11.1640625" style="4" customWidth="1"/>
    <col min="11" max="12" width="12.1640625" style="4" customWidth="1"/>
    <col min="13" max="14" width="11" style="4" bestFit="1" customWidth="1"/>
    <col min="15" max="15" width="11.5" style="4" bestFit="1" customWidth="1"/>
    <col min="16" max="16384" width="10.83203125" style="4"/>
  </cols>
  <sheetData>
    <row r="2" spans="2:12" x14ac:dyDescent="0.2">
      <c r="B2" s="84" t="s">
        <v>583</v>
      </c>
    </row>
    <row r="3" spans="2:12" ht="17" thickBot="1" x14ac:dyDescent="0.25">
      <c r="B3" s="84"/>
    </row>
    <row r="4" spans="2:12" x14ac:dyDescent="0.2">
      <c r="B4" s="15"/>
      <c r="C4" s="813" t="s">
        <v>73</v>
      </c>
      <c r="D4" s="814"/>
      <c r="E4" s="814"/>
      <c r="F4" s="814"/>
      <c r="G4" s="814"/>
      <c r="H4" s="814"/>
      <c r="I4" s="814"/>
      <c r="J4" s="814"/>
      <c r="K4" s="814"/>
      <c r="L4" s="815"/>
    </row>
    <row r="5" spans="2:12" x14ac:dyDescent="0.2">
      <c r="B5" s="99"/>
      <c r="C5" s="364" t="s">
        <v>574</v>
      </c>
      <c r="D5" s="365" t="s">
        <v>186</v>
      </c>
      <c r="E5" s="365" t="s">
        <v>575</v>
      </c>
      <c r="F5" s="365" t="s">
        <v>44</v>
      </c>
      <c r="G5" s="365" t="s">
        <v>187</v>
      </c>
      <c r="H5" s="365" t="s">
        <v>45</v>
      </c>
      <c r="I5" s="365" t="s">
        <v>576</v>
      </c>
      <c r="J5" s="366" t="s">
        <v>48</v>
      </c>
      <c r="K5" s="379" t="s">
        <v>189</v>
      </c>
      <c r="L5" s="380" t="s">
        <v>582</v>
      </c>
    </row>
    <row r="6" spans="2:12" x14ac:dyDescent="0.2">
      <c r="B6" s="381" t="s">
        <v>379</v>
      </c>
      <c r="C6" s="82">
        <f>COUNTIF(Tabella2[Funzioni],'Tab. 10'!B6)</f>
        <v>1</v>
      </c>
      <c r="D6" s="85">
        <f>SUMIF(Tabella2[Funzioni],'Tab. 10'!$B6,Tabella2[RAL])</f>
        <v>105583.33</v>
      </c>
      <c r="E6" s="85">
        <f>SUMIF(Tabella2[Funzioni],'Tab. 10'!$B6,Tabella2[Contributi])</f>
        <v>25139.390873</v>
      </c>
      <c r="F6" s="85">
        <f>SUMIF(Tabella2[Funzioni],'Tab. 10'!$B6,Tabella2[13ma])</f>
        <v>8798.6108333333341</v>
      </c>
      <c r="G6" s="85">
        <f>SUMIF(Tabella2[Funzioni],'Tab. 10'!$B6,Tabella2[Contributi 13ma])</f>
        <v>2094.9492394166668</v>
      </c>
      <c r="H6" s="85">
        <f>SUMIF(Tabella2[Funzioni],'Tab. 10'!$B6,Tabella2[14ma])</f>
        <v>8798.6108333333341</v>
      </c>
      <c r="I6" s="85">
        <f>SUMIF(Tabella2[Funzioni],'Tab. 10'!$B6,Tabella2[Contributi 14m])</f>
        <v>2094.9492394166668</v>
      </c>
      <c r="J6" s="85">
        <f>SUMIF(Tabella2[Funzioni],'Tab. 10'!$B6,Tabella2[TFR])</f>
        <v>7820.9874074074078</v>
      </c>
      <c r="K6" s="382">
        <f>SUM(D6:J6)</f>
        <v>160330.82842590738</v>
      </c>
      <c r="L6" s="383">
        <f>K6/C6</f>
        <v>160330.82842590738</v>
      </c>
    </row>
    <row r="7" spans="2:12" x14ac:dyDescent="0.2">
      <c r="B7" s="384"/>
      <c r="C7" s="21"/>
      <c r="D7" s="93"/>
      <c r="E7" s="93"/>
      <c r="F7" s="93"/>
      <c r="G7" s="93"/>
      <c r="H7" s="93"/>
      <c r="I7" s="93"/>
      <c r="J7" s="93"/>
      <c r="K7" s="385"/>
      <c r="L7" s="386"/>
    </row>
    <row r="8" spans="2:12" x14ac:dyDescent="0.2">
      <c r="B8" s="384" t="s">
        <v>190</v>
      </c>
      <c r="C8" s="21">
        <f>COUNTIF(Tabella2[Funzioni],'Tab. 10'!B8)</f>
        <v>1</v>
      </c>
      <c r="D8" s="91">
        <f>SUMIF(Tabella2[Funzioni],'Tab. 10'!$B8,Tabella2[RAL])</f>
        <v>52666.67</v>
      </c>
      <c r="E8" s="91">
        <f>SUMIF(Tabella2[Funzioni],'Tab. 10'!$B8,Tabella2[Contributi])</f>
        <v>12539.934127</v>
      </c>
      <c r="F8" s="91">
        <f>SUMIF(Tabella2[Funzioni],'Tab. 10'!$B8,Tabella2[13ma])</f>
        <v>4388.8891666666668</v>
      </c>
      <c r="G8" s="91">
        <f>SUMIF(Tabella2[Funzioni],'Tab. 10'!$B8,Tabella2[Contributi 13ma])</f>
        <v>1044.9945105833333</v>
      </c>
      <c r="H8" s="91">
        <f>SUMIF(Tabella2[Funzioni],'Tab. 10'!$B8,Tabella2[14ma])</f>
        <v>4388.8891666666668</v>
      </c>
      <c r="I8" s="91">
        <f>SUMIF(Tabella2[Funzioni],'Tab. 10'!$B8,Tabella2[Contributi 14m])</f>
        <v>1044.9945105833333</v>
      </c>
      <c r="J8" s="91">
        <f>SUMIF(Tabella2[Funzioni],'Tab. 10'!$B8,Tabella2[TFR])</f>
        <v>3901.2348148148149</v>
      </c>
      <c r="K8" s="385">
        <f>SUM(D8:J8)</f>
        <v>79975.6062963148</v>
      </c>
      <c r="L8" s="386">
        <f>K8/C8</f>
        <v>79975.6062963148</v>
      </c>
    </row>
    <row r="9" spans="2:12" x14ac:dyDescent="0.2">
      <c r="B9" s="384" t="s">
        <v>304</v>
      </c>
      <c r="C9" s="21">
        <f>COUNTIF(Tabella2[Funzioni],'Tab. 10'!B9)</f>
        <v>1</v>
      </c>
      <c r="D9" s="91">
        <f>SUMIF(Tabella2[Funzioni],'Tab. 10'!$B9,Tabella2[RAL])</f>
        <v>23537.57</v>
      </c>
      <c r="E9" s="91">
        <f>SUMIF(Tabella2[Funzioni],'Tab. 10'!$B9,Tabella2[Contributi])</f>
        <v>5604.2954170000003</v>
      </c>
      <c r="F9" s="91">
        <f>SUMIF(Tabella2[Funzioni],'Tab. 10'!$B9,Tabella2[13ma])</f>
        <v>1961.4641666666666</v>
      </c>
      <c r="G9" s="91">
        <f>SUMIF(Tabella2[Funzioni],'Tab. 10'!$B9,Tabella2[Contributi 13ma])</f>
        <v>467.02461808333334</v>
      </c>
      <c r="H9" s="91">
        <f>SUMIF(Tabella2[Funzioni],'Tab. 10'!$B9,Tabella2[14ma])</f>
        <v>1961.4641666666666</v>
      </c>
      <c r="I9" s="91">
        <f>SUMIF(Tabella2[Funzioni],'Tab. 10'!$B9,Tabella2[Contributi 14m])</f>
        <v>467.02461808333334</v>
      </c>
      <c r="J9" s="91">
        <f>SUMIF(Tabella2[Funzioni],'Tab. 10'!$B9,Tabella2[TFR])</f>
        <v>1743.5237037037036</v>
      </c>
      <c r="K9" s="385">
        <f>SUM(D9:J9)</f>
        <v>35742.3666902037</v>
      </c>
      <c r="L9" s="386">
        <f>K9/C9</f>
        <v>35742.3666902037</v>
      </c>
    </row>
    <row r="10" spans="2:12" x14ac:dyDescent="0.2">
      <c r="B10" s="384" t="s">
        <v>305</v>
      </c>
      <c r="C10" s="21">
        <f>COUNTIF(Tabella2[Funzioni],'Tab. 10'!B10)</f>
        <v>1</v>
      </c>
      <c r="D10" s="91">
        <f>SUMIF(Tabella2[Funzioni],'Tab. 10'!$B10,Tabella2[RAL])</f>
        <v>40536.639999999999</v>
      </c>
      <c r="E10" s="91">
        <f>SUMIF(Tabella2[Funzioni],'Tab. 10'!$B10,Tabella2[Contributi])</f>
        <v>9651.7739839999995</v>
      </c>
      <c r="F10" s="91">
        <f>SUMIF(Tabella2[Funzioni],'Tab. 10'!$B10,Tabella2[13ma])</f>
        <v>3378.0533333333333</v>
      </c>
      <c r="G10" s="91">
        <f>SUMIF(Tabella2[Funzioni],'Tab. 10'!$B10,Tabella2[Contributi 13ma])</f>
        <v>804.31449866666662</v>
      </c>
      <c r="H10" s="91">
        <f>SUMIF(Tabella2[Funzioni],'Tab. 10'!$B10,Tabella2[14ma])</f>
        <v>3378.0533333333333</v>
      </c>
      <c r="I10" s="91">
        <f>SUMIF(Tabella2[Funzioni],'Tab. 10'!$B10,Tabella2[Contributi 14m])</f>
        <v>804.31449866666662</v>
      </c>
      <c r="J10" s="91">
        <f>SUMIF(Tabella2[Funzioni],'Tab. 10'!$B10,Tabella2[TFR])</f>
        <v>3002.7140740740742</v>
      </c>
      <c r="K10" s="385">
        <f>SUM(D10:J10)</f>
        <v>61555.863722074071</v>
      </c>
      <c r="L10" s="386">
        <f>K10/C10</f>
        <v>61555.863722074071</v>
      </c>
    </row>
    <row r="11" spans="2:12" x14ac:dyDescent="0.2">
      <c r="B11" s="381" t="s">
        <v>566</v>
      </c>
      <c r="C11" s="82">
        <f t="shared" ref="C11:K11" si="0">SUM(C8:C10)</f>
        <v>3</v>
      </c>
      <c r="D11" s="85">
        <f t="shared" si="0"/>
        <v>116740.87999999999</v>
      </c>
      <c r="E11" s="85">
        <f t="shared" si="0"/>
        <v>27796.003528000001</v>
      </c>
      <c r="F11" s="85">
        <f t="shared" si="0"/>
        <v>9728.4066666666658</v>
      </c>
      <c r="G11" s="85">
        <f t="shared" si="0"/>
        <v>2316.3336273333334</v>
      </c>
      <c r="H11" s="85">
        <f t="shared" si="0"/>
        <v>9728.4066666666658</v>
      </c>
      <c r="I11" s="85">
        <f t="shared" si="0"/>
        <v>2316.3336273333334</v>
      </c>
      <c r="J11" s="85">
        <f t="shared" si="0"/>
        <v>8647.4725925925923</v>
      </c>
      <c r="K11" s="382">
        <f t="shared" si="0"/>
        <v>177273.83670859257</v>
      </c>
      <c r="L11" s="383">
        <f>K11/C11</f>
        <v>59091.278902864193</v>
      </c>
    </row>
    <row r="12" spans="2:12" x14ac:dyDescent="0.2">
      <c r="B12" s="384"/>
      <c r="C12" s="21"/>
      <c r="D12" s="30"/>
      <c r="E12" s="30"/>
      <c r="F12" s="30"/>
      <c r="G12" s="30"/>
      <c r="H12" s="30"/>
      <c r="I12" s="30"/>
      <c r="J12" s="30"/>
      <c r="K12" s="387"/>
      <c r="L12" s="388"/>
    </row>
    <row r="13" spans="2:12" x14ac:dyDescent="0.2">
      <c r="B13" s="384" t="s">
        <v>307</v>
      </c>
      <c r="C13" s="21">
        <f>COUNTIF(Tabella2[Funzioni],'Tab. 10'!B13)</f>
        <v>109</v>
      </c>
      <c r="D13" s="91">
        <f>SUMIF(Tabella2[Funzioni],'Tab. 10'!$B13,Tabella2[RAL])</f>
        <v>1697310.6100000034</v>
      </c>
      <c r="E13" s="91">
        <f>SUMIF(Tabella2[Funzioni],'Tab. 10'!$B13,Tabella2[Contributi])</f>
        <v>404129.65624099929</v>
      </c>
      <c r="F13" s="91">
        <f>SUMIF(Tabella2[Funzioni],'Tab. 10'!$B13,Tabella2[13ma])</f>
        <v>141442.55083333314</v>
      </c>
      <c r="G13" s="91">
        <f>SUMIF(Tabella2[Funzioni],'Tab. 10'!$B13,Tabella2[Contributi 13ma])</f>
        <v>33677.471353416702</v>
      </c>
      <c r="H13" s="91">
        <f>SUMIF(Tabella2[Funzioni],'Tab. 10'!$B13,Tabella2[14ma])</f>
        <v>141442.55083333314</v>
      </c>
      <c r="I13" s="91">
        <f>SUMIF(Tabella2[Funzioni],'Tab. 10'!$B13,Tabella2[Contributi 14m])</f>
        <v>33677.471353416702</v>
      </c>
      <c r="J13" s="91">
        <f>SUMIF(Tabella2[Funzioni],'Tab. 10'!$B13,Tabella2[TFR])</f>
        <v>125726.71185185225</v>
      </c>
      <c r="K13" s="385">
        <f>SUM(D13:J13)</f>
        <v>2577407.022466355</v>
      </c>
      <c r="L13" s="386">
        <f>K13/C13</f>
        <v>23645.935985929864</v>
      </c>
    </row>
    <row r="14" spans="2:12" x14ac:dyDescent="0.2">
      <c r="B14" s="381" t="s">
        <v>990</v>
      </c>
      <c r="C14" s="82">
        <f>SUM(C13)</f>
        <v>109</v>
      </c>
      <c r="D14" s="85">
        <f t="shared" ref="D14:K14" si="1">SUM(D13)</f>
        <v>1697310.6100000034</v>
      </c>
      <c r="E14" s="85">
        <f t="shared" si="1"/>
        <v>404129.65624099929</v>
      </c>
      <c r="F14" s="85">
        <f t="shared" si="1"/>
        <v>141442.55083333314</v>
      </c>
      <c r="G14" s="85">
        <f t="shared" si="1"/>
        <v>33677.471353416702</v>
      </c>
      <c r="H14" s="85">
        <f t="shared" si="1"/>
        <v>141442.55083333314</v>
      </c>
      <c r="I14" s="85">
        <f t="shared" si="1"/>
        <v>33677.471353416702</v>
      </c>
      <c r="J14" s="85">
        <f t="shared" si="1"/>
        <v>125726.71185185225</v>
      </c>
      <c r="K14" s="382">
        <f t="shared" si="1"/>
        <v>2577407.022466355</v>
      </c>
      <c r="L14" s="383">
        <f t="shared" ref="L14" si="2">K14/C14</f>
        <v>23645.935985929864</v>
      </c>
    </row>
    <row r="15" spans="2:12" x14ac:dyDescent="0.2">
      <c r="B15" s="384"/>
      <c r="C15" s="21"/>
      <c r="D15" s="30"/>
      <c r="E15" s="30"/>
      <c r="F15" s="30"/>
      <c r="G15" s="30"/>
      <c r="H15" s="30"/>
      <c r="I15" s="30"/>
      <c r="J15" s="30"/>
      <c r="K15" s="387"/>
      <c r="L15" s="388"/>
    </row>
    <row r="16" spans="2:12" x14ac:dyDescent="0.2">
      <c r="B16" s="384" t="s">
        <v>193</v>
      </c>
      <c r="C16" s="21">
        <f>COUNTIF(Tabella2[Funzioni],'Tab. 10'!B16)</f>
        <v>1</v>
      </c>
      <c r="D16" s="91">
        <f>SUMIF(Tabella2[Funzioni],'Tab. 10'!$B16,Tabella2[RAL])</f>
        <v>59504.31</v>
      </c>
      <c r="E16" s="91">
        <f>SUMIF(Tabella2[Funzioni],'Tab. 10'!$B16,Tabella2[Contributi])</f>
        <v>14167.976210999999</v>
      </c>
      <c r="F16" s="91">
        <f>SUMIF(Tabella2[Funzioni],'Tab. 10'!$B16,Tabella2[13ma])</f>
        <v>4958.6925000000001</v>
      </c>
      <c r="G16" s="91">
        <f>SUMIF(Tabella2[Funzioni],'Tab. 10'!$B16,Tabella2[Contributi 13ma])</f>
        <v>1180.6646842500002</v>
      </c>
      <c r="H16" s="91">
        <f>SUMIF(Tabella2[Funzioni],'Tab. 10'!$B16,Tabella2[14ma])</f>
        <v>4958.6925000000001</v>
      </c>
      <c r="I16" s="91">
        <f>SUMIF(Tabella2[Funzioni],'Tab. 10'!$B16,Tabella2[Contributi 14m])</f>
        <v>1180.6646842500002</v>
      </c>
      <c r="J16" s="91">
        <f>SUMIF(Tabella2[Funzioni],'Tab. 10'!$B16,Tabella2[TFR])</f>
        <v>4407.7266666666665</v>
      </c>
      <c r="K16" s="385">
        <f t="shared" ref="K16:K22" si="3">SUM(D16:J16)</f>
        <v>90358.727246166687</v>
      </c>
      <c r="L16" s="386">
        <f t="shared" ref="L16:L23" si="4">K16/C16</f>
        <v>90358.727246166687</v>
      </c>
    </row>
    <row r="17" spans="2:12" x14ac:dyDescent="0.2">
      <c r="B17" s="384" t="s">
        <v>194</v>
      </c>
      <c r="C17" s="21">
        <f>COUNTIF(Tabella2[Funzioni],'Tab. 10'!B17)</f>
        <v>1</v>
      </c>
      <c r="D17" s="91">
        <f>SUMIF(Tabella2[Funzioni],'Tab. 10'!$B17,Tabella2[RAL])</f>
        <v>27109.83</v>
      </c>
      <c r="E17" s="91">
        <f>SUMIF(Tabella2[Funzioni],'Tab. 10'!$B17,Tabella2[Contributi])</f>
        <v>6454.850523000001</v>
      </c>
      <c r="F17" s="91">
        <f>SUMIF(Tabella2[Funzioni],'Tab. 10'!$B17,Tabella2[13ma])</f>
        <v>2259.1525000000001</v>
      </c>
      <c r="G17" s="91">
        <f>SUMIF(Tabella2[Funzioni],'Tab. 10'!$B17,Tabella2[Contributi 13ma])</f>
        <v>537.90421025000001</v>
      </c>
      <c r="H17" s="91">
        <f>SUMIF(Tabella2[Funzioni],'Tab. 10'!$B17,Tabella2[14ma])</f>
        <v>2259.1525000000001</v>
      </c>
      <c r="I17" s="91">
        <f>SUMIF(Tabella2[Funzioni],'Tab. 10'!$B17,Tabella2[Contributi 14m])</f>
        <v>537.90421025000001</v>
      </c>
      <c r="J17" s="91">
        <f>SUMIF(Tabella2[Funzioni],'Tab. 10'!$B17,Tabella2[TFR])</f>
        <v>2008.1355555555556</v>
      </c>
      <c r="K17" s="385">
        <f t="shared" ref="K17" si="5">SUM(D17:J17)</f>
        <v>41166.929499055565</v>
      </c>
      <c r="L17" s="386">
        <f t="shared" ref="L17" si="6">K17/C17</f>
        <v>41166.929499055565</v>
      </c>
    </row>
    <row r="18" spans="2:12" x14ac:dyDescent="0.2">
      <c r="B18" s="384" t="s">
        <v>308</v>
      </c>
      <c r="C18" s="21">
        <f>COUNTIF(Tabella2[Funzioni],'Tab. 10'!B18)</f>
        <v>16</v>
      </c>
      <c r="D18" s="91">
        <f>SUMIF(Tabella2[Funzioni],'Tab. 10'!$B18,Tabella2[RAL])</f>
        <v>245463.00999999995</v>
      </c>
      <c r="E18" s="91">
        <f>SUMIF(Tabella2[Funzioni],'Tab. 10'!$B18,Tabella2[Contributi])</f>
        <v>58444.742680999989</v>
      </c>
      <c r="F18" s="91">
        <f>SUMIF(Tabella2[Funzioni],'Tab. 10'!$B18,Tabella2[13ma])</f>
        <v>20455.250833333343</v>
      </c>
      <c r="G18" s="91">
        <f>SUMIF(Tabella2[Funzioni],'Tab. 10'!$B18,Tabella2[Contributi 13ma])</f>
        <v>4870.3952234166663</v>
      </c>
      <c r="H18" s="91">
        <f>SUMIF(Tabella2[Funzioni],'Tab. 10'!$B18,Tabella2[14ma])</f>
        <v>20455.250833333343</v>
      </c>
      <c r="I18" s="91">
        <f>SUMIF(Tabella2[Funzioni],'Tab. 10'!$B18,Tabella2[Contributi 14m])</f>
        <v>4870.3952234166663</v>
      </c>
      <c r="J18" s="91">
        <f>SUMIF(Tabella2[Funzioni],'Tab. 10'!$B18,Tabella2[TFR])</f>
        <v>18182.445185185185</v>
      </c>
      <c r="K18" s="385">
        <f t="shared" si="3"/>
        <v>372741.48997968517</v>
      </c>
      <c r="L18" s="386">
        <f t="shared" si="4"/>
        <v>23296.343123730323</v>
      </c>
    </row>
    <row r="19" spans="2:12" x14ac:dyDescent="0.2">
      <c r="B19" s="384" t="s">
        <v>569</v>
      </c>
      <c r="C19" s="21">
        <f>COUNTIF(Tabella2[Funzioni],'Tab. 10'!B19)</f>
        <v>1</v>
      </c>
      <c r="D19" s="91">
        <f>SUMIF(Tabella2[Funzioni],'Tab. 10'!$B19,Tabella2[RAL])</f>
        <v>17458.009999999998</v>
      </c>
      <c r="E19" s="91">
        <f>SUMIF(Tabella2[Funzioni],'Tab. 10'!$B19,Tabella2[Contributi])</f>
        <v>4156.7521809999998</v>
      </c>
      <c r="F19" s="91">
        <f>SUMIF(Tabella2[Funzioni],'Tab. 10'!$B19,Tabella2[13ma])</f>
        <v>1454.8341666666665</v>
      </c>
      <c r="G19" s="91">
        <f>SUMIF(Tabella2[Funzioni],'Tab. 10'!$B19,Tabella2[Contributi 13ma])</f>
        <v>346.39601508333334</v>
      </c>
      <c r="H19" s="91">
        <f>SUMIF(Tabella2[Funzioni],'Tab. 10'!$B19,Tabella2[14ma])</f>
        <v>1454.8341666666665</v>
      </c>
      <c r="I19" s="91">
        <f>SUMIF(Tabella2[Funzioni],'Tab. 10'!$B19,Tabella2[Contributi 14m])</f>
        <v>346.39601508333334</v>
      </c>
      <c r="J19" s="91">
        <f>SUMIF(Tabella2[Funzioni],'Tab. 10'!$B19,Tabella2[TFR])</f>
        <v>1293.1859259259259</v>
      </c>
      <c r="K19" s="385">
        <f t="shared" si="3"/>
        <v>26510.408470425926</v>
      </c>
      <c r="L19" s="386">
        <f t="shared" si="4"/>
        <v>26510.408470425926</v>
      </c>
    </row>
    <row r="20" spans="2:12" x14ac:dyDescent="0.2">
      <c r="B20" s="384" t="s">
        <v>331</v>
      </c>
      <c r="C20" s="21">
        <f>COUNTIF(Tabella2[Funzioni],'Tab. 10'!B20)</f>
        <v>2</v>
      </c>
      <c r="D20" s="91">
        <f>SUMIF(Tabella2[Funzioni],'Tab. 10'!$B20,Tabella2[RAL])</f>
        <v>26335.3</v>
      </c>
      <c r="E20" s="91">
        <f>SUMIF(Tabella2[Funzioni],'Tab. 10'!$B20,Tabella2[Contributi])</f>
        <v>6270.4349300000003</v>
      </c>
      <c r="F20" s="91">
        <f>SUMIF(Tabella2[Funzioni],'Tab. 10'!$B20,Tabella2[13ma])</f>
        <v>2194.6083333333331</v>
      </c>
      <c r="G20" s="91">
        <f>SUMIF(Tabella2[Funzioni],'Tab. 10'!$B20,Tabella2[Contributi 13ma])</f>
        <v>522.53624416666662</v>
      </c>
      <c r="H20" s="91">
        <f>SUMIF(Tabella2[Funzioni],'Tab. 10'!$B20,Tabella2[14ma])</f>
        <v>2194.6083333333331</v>
      </c>
      <c r="I20" s="91">
        <f>SUMIF(Tabella2[Funzioni],'Tab. 10'!$B20,Tabella2[Contributi 14m])</f>
        <v>522.53624416666662</v>
      </c>
      <c r="J20" s="91">
        <f>SUMIF(Tabella2[Funzioni],'Tab. 10'!$B20,Tabella2[TFR])</f>
        <v>1950.762962962963</v>
      </c>
      <c r="K20" s="385">
        <f t="shared" si="3"/>
        <v>39990.787047962956</v>
      </c>
      <c r="L20" s="386">
        <f t="shared" si="4"/>
        <v>19995.393523981478</v>
      </c>
    </row>
    <row r="21" spans="2:12" x14ac:dyDescent="0.2">
      <c r="B21" s="384" t="s">
        <v>325</v>
      </c>
      <c r="C21" s="21">
        <f>COUNTIF(Tabella2[Funzioni],'Tab. 10'!B21)</f>
        <v>1</v>
      </c>
      <c r="D21" s="91">
        <f>SUMIF(Tabella2[Funzioni],'Tab. 10'!$B21,Tabella2[RAL])</f>
        <v>24078.080000000002</v>
      </c>
      <c r="E21" s="91">
        <f>SUMIF(Tabella2[Funzioni],'Tab. 10'!$B21,Tabella2[Contributi])</f>
        <v>5732.9908480000004</v>
      </c>
      <c r="F21" s="91">
        <f>SUMIF(Tabella2[Funzioni],'Tab. 10'!$B21,Tabella2[13ma])</f>
        <v>2006.5066666666669</v>
      </c>
      <c r="G21" s="91">
        <f>SUMIF(Tabella2[Funzioni],'Tab. 10'!$B21,Tabella2[Contributi 13ma])</f>
        <v>477.74923733333338</v>
      </c>
      <c r="H21" s="91">
        <f>SUMIF(Tabella2[Funzioni],'Tab. 10'!$B21,Tabella2[14ma])</f>
        <v>2006.5066666666669</v>
      </c>
      <c r="I21" s="91">
        <f>SUMIF(Tabella2[Funzioni],'Tab. 10'!$B21,Tabella2[Contributi 14m])</f>
        <v>477.74923733333338</v>
      </c>
      <c r="J21" s="91">
        <f>SUMIF(Tabella2[Funzioni],'Tab. 10'!$B21,Tabella2[TFR])</f>
        <v>1783.5614814814817</v>
      </c>
      <c r="K21" s="385">
        <f t="shared" si="3"/>
        <v>36563.144137481482</v>
      </c>
      <c r="L21" s="386">
        <f t="shared" si="4"/>
        <v>36563.144137481482</v>
      </c>
    </row>
    <row r="22" spans="2:12" x14ac:dyDescent="0.2">
      <c r="B22" s="384" t="s">
        <v>326</v>
      </c>
      <c r="C22" s="21">
        <f>COUNTIF(Tabella2[Funzioni],'Tab. 10'!B22)</f>
        <v>2</v>
      </c>
      <c r="D22" s="91">
        <f>SUMIF(Tabella2[Funzioni],'Tab. 10'!$B22,Tabella2[RAL])</f>
        <v>52311.020000000004</v>
      </c>
      <c r="E22" s="91">
        <f>SUMIF(Tabella2[Funzioni],'Tab. 10'!$B22,Tabella2[Contributi])</f>
        <v>12455.253862000001</v>
      </c>
      <c r="F22" s="91">
        <f>SUMIF(Tabella2[Funzioni],'Tab. 10'!$B22,Tabella2[13ma])</f>
        <v>4359.251666666667</v>
      </c>
      <c r="G22" s="91">
        <f>SUMIF(Tabella2[Funzioni],'Tab. 10'!$B22,Tabella2[Contributi 13ma])</f>
        <v>1037.9378218333334</v>
      </c>
      <c r="H22" s="91">
        <f>SUMIF(Tabella2[Funzioni],'Tab. 10'!$B22,Tabella2[14ma])</f>
        <v>4359.251666666667</v>
      </c>
      <c r="I22" s="91">
        <f>SUMIF(Tabella2[Funzioni],'Tab. 10'!$B22,Tabella2[Contributi 14m])</f>
        <v>1037.9378218333334</v>
      </c>
      <c r="J22" s="91">
        <f>SUMIF(Tabella2[Funzioni],'Tab. 10'!$B22,Tabella2[TFR])</f>
        <v>3874.8903703703704</v>
      </c>
      <c r="K22" s="385">
        <f t="shared" si="3"/>
        <v>79435.543209370357</v>
      </c>
      <c r="L22" s="386">
        <f t="shared" si="4"/>
        <v>39717.771604685178</v>
      </c>
    </row>
    <row r="23" spans="2:12" x14ac:dyDescent="0.2">
      <c r="B23" s="381" t="s">
        <v>306</v>
      </c>
      <c r="C23" s="82">
        <f t="shared" ref="C23:K23" si="7">SUM(C16:C22)</f>
        <v>24</v>
      </c>
      <c r="D23" s="85">
        <f t="shared" si="7"/>
        <v>452259.56</v>
      </c>
      <c r="E23" s="85">
        <f t="shared" si="7"/>
        <v>107683.001236</v>
      </c>
      <c r="F23" s="85">
        <f t="shared" si="7"/>
        <v>37688.296666666676</v>
      </c>
      <c r="G23" s="85">
        <f t="shared" si="7"/>
        <v>8973.5834363333342</v>
      </c>
      <c r="H23" s="85">
        <f t="shared" si="7"/>
        <v>37688.296666666676</v>
      </c>
      <c r="I23" s="85">
        <f t="shared" si="7"/>
        <v>8973.5834363333342</v>
      </c>
      <c r="J23" s="85">
        <f t="shared" si="7"/>
        <v>33500.708148148144</v>
      </c>
      <c r="K23" s="382">
        <f t="shared" si="7"/>
        <v>686767.02959014813</v>
      </c>
      <c r="L23" s="383">
        <f t="shared" si="4"/>
        <v>28615.292899589505</v>
      </c>
    </row>
    <row r="24" spans="2:12" x14ac:dyDescent="0.2">
      <c r="B24" s="384"/>
      <c r="C24" s="21"/>
      <c r="D24" s="30"/>
      <c r="E24" s="30"/>
      <c r="F24" s="30"/>
      <c r="G24" s="30"/>
      <c r="H24" s="30"/>
      <c r="I24" s="30"/>
      <c r="J24" s="30"/>
      <c r="K24" s="387"/>
      <c r="L24" s="388"/>
    </row>
    <row r="25" spans="2:12" x14ac:dyDescent="0.2">
      <c r="B25" s="384" t="s">
        <v>333</v>
      </c>
      <c r="C25" s="21">
        <f>COUNTIF(Tabella2[Funzioni],'Tab. 10'!B25)</f>
        <v>1</v>
      </c>
      <c r="D25" s="91">
        <f>SUMIF(Tabella2[Funzioni],'Tab. 10'!$B25,Tabella2[RAL])</f>
        <v>70077.33</v>
      </c>
      <c r="E25" s="91">
        <f>SUMIF(Tabella2[Funzioni],'Tab. 10'!$B25,Tabella2[Contributi])</f>
        <v>16685.412273000002</v>
      </c>
      <c r="F25" s="91">
        <f>SUMIF(Tabella2[Funzioni],'Tab. 10'!$B25,Tabella2[13ma])</f>
        <v>5839.7775000000001</v>
      </c>
      <c r="G25" s="91">
        <f>SUMIF(Tabella2[Funzioni],'Tab. 10'!$B25,Tabella2[Contributi 13ma])</f>
        <v>1390.45102275</v>
      </c>
      <c r="H25" s="91">
        <f>SUMIF(Tabella2[Funzioni],'Tab. 10'!$B25,Tabella2[14ma])</f>
        <v>5839.7775000000001</v>
      </c>
      <c r="I25" s="91">
        <f>SUMIF(Tabella2[Funzioni],'Tab. 10'!$B25,Tabella2[Contributi 14m])</f>
        <v>1390.45102275</v>
      </c>
      <c r="J25" s="91">
        <f>SUMIF(Tabella2[Funzioni],'Tab. 10'!$B25,Tabella2[TFR])</f>
        <v>5190.9133333333339</v>
      </c>
      <c r="K25" s="385">
        <f>SUM(D25:J25)</f>
        <v>106414.11265183333</v>
      </c>
      <c r="L25" s="386">
        <f>K25/C25</f>
        <v>106414.11265183333</v>
      </c>
    </row>
    <row r="26" spans="2:12" x14ac:dyDescent="0.2">
      <c r="B26" s="384" t="s">
        <v>141</v>
      </c>
      <c r="C26" s="21">
        <f>COUNTIF(Tabella2[Funzioni],'Tab. 10'!B26)</f>
        <v>8</v>
      </c>
      <c r="D26" s="91">
        <f>SUMIF(Tabella2[Funzioni],'Tab. 10'!$B26,Tabella2[RAL])</f>
        <v>144280.19</v>
      </c>
      <c r="E26" s="91">
        <f>SUMIF(Tabella2[Funzioni],'Tab. 10'!$B26,Tabella2[Contributi])</f>
        <v>34353.113238999998</v>
      </c>
      <c r="F26" s="91">
        <f>SUMIF(Tabella2[Funzioni],'Tab. 10'!$B26,Tabella2[13ma])</f>
        <v>12023.349166666667</v>
      </c>
      <c r="G26" s="91">
        <f>SUMIF(Tabella2[Funzioni],'Tab. 10'!$B26,Tabella2[Contributi 13ma])</f>
        <v>2862.7594365833334</v>
      </c>
      <c r="H26" s="91">
        <f>SUMIF(Tabella2[Funzioni],'Tab. 10'!$B26,Tabella2[14ma])</f>
        <v>12023.349166666667</v>
      </c>
      <c r="I26" s="91">
        <f>SUMIF(Tabella2[Funzioni],'Tab. 10'!$B26,Tabella2[Contributi 14m])</f>
        <v>2862.7594365833334</v>
      </c>
      <c r="J26" s="91">
        <f>SUMIF(Tabella2[Funzioni],'Tab. 10'!$B26,Tabella2[TFR])</f>
        <v>10687.42148148148</v>
      </c>
      <c r="K26" s="385">
        <f>SUM(D26:J26)</f>
        <v>219092.94192698147</v>
      </c>
      <c r="L26" s="386">
        <f>K26/C26</f>
        <v>27386.617740872683</v>
      </c>
    </row>
    <row r="27" spans="2:12" x14ac:dyDescent="0.2">
      <c r="B27" s="384" t="s">
        <v>567</v>
      </c>
      <c r="C27" s="21">
        <f>COUNTIF(Tabella2[Funzioni],'Tab. 10'!B27)</f>
        <v>3</v>
      </c>
      <c r="D27" s="91">
        <f>SUMIF(Tabella2[Funzioni],'Tab. 10'!$B27,Tabella2[RAL])</f>
        <v>28643.190000000002</v>
      </c>
      <c r="E27" s="91">
        <f>SUMIF(Tabella2[Funzioni],'Tab. 10'!$B27,Tabella2[Contributi])</f>
        <v>6819.9435389999999</v>
      </c>
      <c r="F27" s="91">
        <f>SUMIF(Tabella2[Funzioni],'Tab. 10'!$B27,Tabella2[13ma])</f>
        <v>2386.9325000000003</v>
      </c>
      <c r="G27" s="91">
        <f>SUMIF(Tabella2[Funzioni],'Tab. 10'!$B27,Tabella2[Contributi 13ma])</f>
        <v>568.32862825000007</v>
      </c>
      <c r="H27" s="91">
        <f>SUMIF(Tabella2[Funzioni],'Tab. 10'!$B27,Tabella2[14ma])</f>
        <v>2386.9325000000003</v>
      </c>
      <c r="I27" s="91">
        <f>SUMIF(Tabella2[Funzioni],'Tab. 10'!$B27,Tabella2[Contributi 14m])</f>
        <v>568.32862825000007</v>
      </c>
      <c r="J27" s="91">
        <f>SUMIF(Tabella2[Funzioni],'Tab. 10'!$B27,Tabella2[TFR])</f>
        <v>2121.7177777777779</v>
      </c>
      <c r="K27" s="385">
        <f>SUM(D27:J27)</f>
        <v>43495.373573277779</v>
      </c>
      <c r="L27" s="386">
        <f>K27/C27</f>
        <v>14498.45785775926</v>
      </c>
    </row>
    <row r="28" spans="2:12" x14ac:dyDescent="0.2">
      <c r="B28" s="384" t="s">
        <v>568</v>
      </c>
      <c r="C28" s="21">
        <f>COUNTIF(Tabella2[Funzioni],'Tab. 10'!B28)</f>
        <v>30</v>
      </c>
      <c r="D28" s="91">
        <f>SUMIF(Tabella2[Funzioni],'Tab. 10'!$B28,Tabella2[RAL])</f>
        <v>497436.59999999963</v>
      </c>
      <c r="E28" s="91">
        <f>SUMIF(Tabella2[Funzioni],'Tab. 10'!$B28,Tabella2[Contributi])</f>
        <v>118439.65446000001</v>
      </c>
      <c r="F28" s="91">
        <f>SUMIF(Tabella2[Funzioni],'Tab. 10'!$B28,Tabella2[13ma])</f>
        <v>41453.050000000003</v>
      </c>
      <c r="G28" s="91">
        <f>SUMIF(Tabella2[Funzioni],'Tab. 10'!$B28,Tabella2[Contributi 13ma])</f>
        <v>9869.9712050000016</v>
      </c>
      <c r="H28" s="91">
        <f>SUMIF(Tabella2[Funzioni],'Tab. 10'!$B28,Tabella2[14ma])</f>
        <v>41453.050000000003</v>
      </c>
      <c r="I28" s="91">
        <f>SUMIF(Tabella2[Funzioni],'Tab. 10'!$B28,Tabella2[Contributi 14m])</f>
        <v>9869.9712050000016</v>
      </c>
      <c r="J28" s="91">
        <f>SUMIF(Tabella2[Funzioni],'Tab. 10'!$B28,Tabella2[TFR])</f>
        <v>36847.155555555575</v>
      </c>
      <c r="K28" s="385">
        <f>SUM(D28:J28)</f>
        <v>755369.45242555521</v>
      </c>
      <c r="L28" s="386">
        <f>K28/C28</f>
        <v>25178.981747518508</v>
      </c>
    </row>
    <row r="29" spans="2:12" x14ac:dyDescent="0.2">
      <c r="B29" s="381" t="s">
        <v>332</v>
      </c>
      <c r="C29" s="82">
        <f t="shared" ref="C29:K29" si="8">SUM(C25:C28)</f>
        <v>42</v>
      </c>
      <c r="D29" s="85">
        <f t="shared" si="8"/>
        <v>740437.30999999959</v>
      </c>
      <c r="E29" s="85">
        <f t="shared" si="8"/>
        <v>176298.12351100001</v>
      </c>
      <c r="F29" s="85">
        <f t="shared" si="8"/>
        <v>61703.109166666669</v>
      </c>
      <c r="G29" s="85">
        <f t="shared" si="8"/>
        <v>14691.510292583334</v>
      </c>
      <c r="H29" s="85">
        <f t="shared" si="8"/>
        <v>61703.109166666669</v>
      </c>
      <c r="I29" s="85">
        <f t="shared" si="8"/>
        <v>14691.510292583334</v>
      </c>
      <c r="J29" s="85">
        <f t="shared" si="8"/>
        <v>54847.208148148165</v>
      </c>
      <c r="K29" s="382">
        <f t="shared" si="8"/>
        <v>1124371.8805776478</v>
      </c>
      <c r="L29" s="383">
        <f>K29/C29</f>
        <v>26770.759061372566</v>
      </c>
    </row>
    <row r="30" spans="2:12" x14ac:dyDescent="0.2">
      <c r="B30" s="384"/>
      <c r="C30" s="21"/>
      <c r="D30" s="30"/>
      <c r="E30" s="30"/>
      <c r="F30" s="30"/>
      <c r="G30" s="30"/>
      <c r="H30" s="30"/>
      <c r="I30" s="30"/>
      <c r="J30" s="30"/>
      <c r="K30" s="387"/>
      <c r="L30" s="388"/>
    </row>
    <row r="31" spans="2:12" x14ac:dyDescent="0.2">
      <c r="B31" s="384" t="s">
        <v>375</v>
      </c>
      <c r="C31" s="21">
        <f>COUNTIF(Tabella2[Funzioni],'Tab. 10'!B31)</f>
        <v>1</v>
      </c>
      <c r="D31" s="91">
        <f>SUMIF(Tabella2[Funzioni],'Tab. 10'!$B31,Tabella2[RAL])</f>
        <v>55554.31</v>
      </c>
      <c r="E31" s="91">
        <f>SUMIF(Tabella2[Funzioni],'Tab. 10'!$B31,Tabella2[Contributi])</f>
        <v>13227.481211</v>
      </c>
      <c r="F31" s="91">
        <f>SUMIF(Tabella2[Funzioni],'Tab. 10'!$B31,Tabella2[13ma])</f>
        <v>4629.5258333333331</v>
      </c>
      <c r="G31" s="91">
        <f>SUMIF(Tabella2[Funzioni],'Tab. 10'!$B31,Tabella2[Contributi 13ma])</f>
        <v>1102.2901009166667</v>
      </c>
      <c r="H31" s="91">
        <f>SUMIF(Tabella2[Funzioni],'Tab. 10'!$B31,Tabella2[14ma])</f>
        <v>4629.5258333333331</v>
      </c>
      <c r="I31" s="91">
        <f>SUMIF(Tabella2[Funzioni],'Tab. 10'!$B31,Tabella2[Contributi 14m])</f>
        <v>1102.2901009166667</v>
      </c>
      <c r="J31" s="91">
        <f>SUMIF(Tabella2[Funzioni],'Tab. 10'!$B31,Tabella2[TFR])</f>
        <v>4115.1340740740743</v>
      </c>
      <c r="K31" s="385">
        <f>SUM(D31:J31)</f>
        <v>84360.557153574075</v>
      </c>
      <c r="L31" s="386">
        <f t="shared" ref="L31:L36" si="9">K31/C31</f>
        <v>84360.557153574075</v>
      </c>
    </row>
    <row r="32" spans="2:12" x14ac:dyDescent="0.2">
      <c r="B32" s="384" t="s">
        <v>570</v>
      </c>
      <c r="C32" s="21">
        <f>COUNTIF(Tabella2[Funzioni],'Tab. 10'!B32)</f>
        <v>1</v>
      </c>
      <c r="D32" s="91">
        <f>SUMIF(Tabella2[Funzioni],'Tab. 10'!$B32,Tabella2[RAL])</f>
        <v>22180.16</v>
      </c>
      <c r="E32" s="91">
        <f>SUMIF(Tabella2[Funzioni],'Tab. 10'!$B32,Tabella2[Contributi])</f>
        <v>5281.0960960000002</v>
      </c>
      <c r="F32" s="91">
        <f>SUMIF(Tabella2[Funzioni],'Tab. 10'!$B32,Tabella2[13ma])</f>
        <v>1848.3466666666666</v>
      </c>
      <c r="G32" s="91">
        <f>SUMIF(Tabella2[Funzioni],'Tab. 10'!$B32,Tabella2[Contributi 13ma])</f>
        <v>440.09134133333333</v>
      </c>
      <c r="H32" s="91">
        <f>SUMIF(Tabella2[Funzioni],'Tab. 10'!$B32,Tabella2[14ma])</f>
        <v>1848.3466666666666</v>
      </c>
      <c r="I32" s="91">
        <f>SUMIF(Tabella2[Funzioni],'Tab. 10'!$B32,Tabella2[Contributi 14m])</f>
        <v>440.09134133333333</v>
      </c>
      <c r="J32" s="91">
        <f>SUMIF(Tabella2[Funzioni],'Tab. 10'!$B32,Tabella2[TFR])</f>
        <v>1642.9748148148149</v>
      </c>
      <c r="K32" s="385">
        <f>SUM(D32:J32)</f>
        <v>33681.10692681482</v>
      </c>
      <c r="L32" s="386">
        <f t="shared" si="9"/>
        <v>33681.10692681482</v>
      </c>
    </row>
    <row r="33" spans="2:15" x14ac:dyDescent="0.2">
      <c r="B33" s="384" t="s">
        <v>377</v>
      </c>
      <c r="C33" s="21">
        <f>COUNTIF(Tabella2[Funzioni],'Tab. 10'!B33)</f>
        <v>1</v>
      </c>
      <c r="D33" s="91">
        <f>SUMIF(Tabella2[Funzioni],'Tab. 10'!$B33,Tabella2[RAL])</f>
        <v>17781.22</v>
      </c>
      <c r="E33" s="91">
        <f>SUMIF(Tabella2[Funzioni],'Tab. 10'!$B33,Tabella2[Contributi])</f>
        <v>4233.708482</v>
      </c>
      <c r="F33" s="91">
        <f>SUMIF(Tabella2[Funzioni],'Tab. 10'!$B33,Tabella2[13ma])</f>
        <v>1481.7683333333334</v>
      </c>
      <c r="G33" s="91">
        <f>SUMIF(Tabella2[Funzioni],'Tab. 10'!$B33,Tabella2[Contributi 13ma])</f>
        <v>352.8090401666667</v>
      </c>
      <c r="H33" s="91">
        <f>SUMIF(Tabella2[Funzioni],'Tab. 10'!$B33,Tabella2[14ma])</f>
        <v>1481.7683333333334</v>
      </c>
      <c r="I33" s="91">
        <f>SUMIF(Tabella2[Funzioni],'Tab. 10'!$B33,Tabella2[Contributi 14m])</f>
        <v>352.8090401666667</v>
      </c>
      <c r="J33" s="91">
        <f>SUMIF(Tabella2[Funzioni],'Tab. 10'!$B33,Tabella2[TFR])</f>
        <v>1317.1274074074074</v>
      </c>
      <c r="K33" s="385">
        <f>SUM(D33:J33)</f>
        <v>27001.21063640741</v>
      </c>
      <c r="L33" s="386">
        <f t="shared" si="9"/>
        <v>27001.21063640741</v>
      </c>
    </row>
    <row r="34" spans="2:15" x14ac:dyDescent="0.2">
      <c r="B34" s="384" t="s">
        <v>376</v>
      </c>
      <c r="C34" s="21">
        <f>COUNTIF(Tabella2[Funzioni],'Tab. 10'!B34)</f>
        <v>1</v>
      </c>
      <c r="D34" s="91">
        <f>SUMIF(Tabella2[Funzioni],'Tab. 10'!$B34,Tabella2[RAL])</f>
        <v>12388.59</v>
      </c>
      <c r="E34" s="91">
        <f>SUMIF(Tabella2[Funzioni],'Tab. 10'!$B34,Tabella2[Contributi])</f>
        <v>2949.7232790000003</v>
      </c>
      <c r="F34" s="91">
        <f>SUMIF(Tabella2[Funzioni],'Tab. 10'!$B34,Tabella2[13ma])</f>
        <v>1032.3824999999999</v>
      </c>
      <c r="G34" s="91">
        <f>SUMIF(Tabella2[Funzioni],'Tab. 10'!$B34,Tabella2[Contributi 13ma])</f>
        <v>245.81027324999999</v>
      </c>
      <c r="H34" s="91">
        <f>SUMIF(Tabella2[Funzioni],'Tab. 10'!$B34,Tabella2[14ma])</f>
        <v>1032.3824999999999</v>
      </c>
      <c r="I34" s="91">
        <f>SUMIF(Tabella2[Funzioni],'Tab. 10'!$B34,Tabella2[Contributi 14m])</f>
        <v>245.81027324999999</v>
      </c>
      <c r="J34" s="91">
        <f>SUMIF(Tabella2[Funzioni],'Tab. 10'!$B34,Tabella2[TFR])</f>
        <v>917.67333333333329</v>
      </c>
      <c r="K34" s="385">
        <f>SUM(D34:J34)</f>
        <v>18812.372158833332</v>
      </c>
      <c r="L34" s="386">
        <f t="shared" si="9"/>
        <v>18812.372158833332</v>
      </c>
    </row>
    <row r="35" spans="2:15" x14ac:dyDescent="0.2">
      <c r="B35" s="384" t="s">
        <v>571</v>
      </c>
      <c r="C35" s="21">
        <f>COUNTIF(Tabella2[Funzioni],'Tab. 10'!B35)</f>
        <v>2</v>
      </c>
      <c r="D35" s="91">
        <f>SUMIF(Tabella2[Funzioni],'Tab. 10'!$B35,Tabella2[RAL])</f>
        <v>38720.009999999995</v>
      </c>
      <c r="E35" s="91">
        <f>SUMIF(Tabella2[Funzioni],'Tab. 10'!$B35,Tabella2[Contributi])</f>
        <v>9219.2343810000002</v>
      </c>
      <c r="F35" s="91">
        <f>SUMIF(Tabella2[Funzioni],'Tab. 10'!$B35,Tabella2[13ma])</f>
        <v>3226.6675</v>
      </c>
      <c r="G35" s="91">
        <f>SUMIF(Tabella2[Funzioni],'Tab. 10'!$B35,Tabella2[Contributi 13ma])</f>
        <v>768.26953174999994</v>
      </c>
      <c r="H35" s="91">
        <f>SUMIF(Tabella2[Funzioni],'Tab. 10'!$B35,Tabella2[14ma])</f>
        <v>3226.6675</v>
      </c>
      <c r="I35" s="91">
        <f>SUMIF(Tabella2[Funzioni],'Tab. 10'!$B35,Tabella2[Contributi 14m])</f>
        <v>768.26953174999994</v>
      </c>
      <c r="J35" s="91">
        <f>SUMIF(Tabella2[Funzioni],'Tab. 10'!$B35,Tabella2[TFR])</f>
        <v>2868.1488888888889</v>
      </c>
      <c r="K35" s="385">
        <f>SUM(D35:J35)</f>
        <v>58797.267333388882</v>
      </c>
      <c r="L35" s="386">
        <f t="shared" si="9"/>
        <v>29398.633666694441</v>
      </c>
    </row>
    <row r="36" spans="2:15" x14ac:dyDescent="0.2">
      <c r="B36" s="381" t="s">
        <v>580</v>
      </c>
      <c r="C36" s="82">
        <f t="shared" ref="C36:K36" si="10">SUM(C31:C35)</f>
        <v>6</v>
      </c>
      <c r="D36" s="85">
        <f t="shared" si="10"/>
        <v>146624.28999999998</v>
      </c>
      <c r="E36" s="85">
        <f t="shared" si="10"/>
        <v>34911.243449000001</v>
      </c>
      <c r="F36" s="85">
        <f t="shared" si="10"/>
        <v>12218.690833333332</v>
      </c>
      <c r="G36" s="85">
        <f t="shared" si="10"/>
        <v>2909.2702874166671</v>
      </c>
      <c r="H36" s="85">
        <f t="shared" si="10"/>
        <v>12218.690833333332</v>
      </c>
      <c r="I36" s="85">
        <f t="shared" si="10"/>
        <v>2909.2702874166671</v>
      </c>
      <c r="J36" s="85">
        <f t="shared" si="10"/>
        <v>10861.058518518519</v>
      </c>
      <c r="K36" s="382">
        <f t="shared" si="10"/>
        <v>222652.51420901853</v>
      </c>
      <c r="L36" s="383">
        <f t="shared" si="9"/>
        <v>37108.752368169757</v>
      </c>
    </row>
    <row r="37" spans="2:15" x14ac:dyDescent="0.2">
      <c r="B37" s="384"/>
      <c r="C37" s="21"/>
      <c r="D37" s="30"/>
      <c r="E37" s="30"/>
      <c r="F37" s="30"/>
      <c r="G37" s="30"/>
      <c r="H37" s="30"/>
      <c r="I37" s="30"/>
      <c r="J37" s="83"/>
      <c r="K37" s="83"/>
      <c r="L37" s="389"/>
    </row>
    <row r="38" spans="2:15" ht="17" thickBot="1" x14ac:dyDescent="0.25">
      <c r="B38" s="390" t="s">
        <v>581</v>
      </c>
      <c r="C38" s="391">
        <f>C6+C11+C23+C29+C36+C14</f>
        <v>185</v>
      </c>
      <c r="D38" s="392">
        <f t="shared" ref="D38:K38" si="11">D6+D11+D23+D29+D36+D14</f>
        <v>3258955.9800000032</v>
      </c>
      <c r="E38" s="392">
        <f t="shared" si="11"/>
        <v>775957.41883799923</v>
      </c>
      <c r="F38" s="392">
        <f t="shared" si="11"/>
        <v>271579.6649999998</v>
      </c>
      <c r="G38" s="392">
        <f t="shared" si="11"/>
        <v>64663.118236500042</v>
      </c>
      <c r="H38" s="392">
        <f t="shared" si="11"/>
        <v>271579.6649999998</v>
      </c>
      <c r="I38" s="392">
        <f t="shared" si="11"/>
        <v>64663.118236500042</v>
      </c>
      <c r="J38" s="392">
        <f t="shared" si="11"/>
        <v>241404.14666666707</v>
      </c>
      <c r="K38" s="393">
        <f t="shared" si="11"/>
        <v>4948803.1119776694</v>
      </c>
      <c r="L38" s="394">
        <f>K38/C38</f>
        <v>26750.287091771184</v>
      </c>
      <c r="N38" s="4" t="s">
        <v>42</v>
      </c>
      <c r="O38" s="94">
        <f>K38-Tabella2[[#Totals],[Costo totale]]</f>
        <v>0</v>
      </c>
    </row>
    <row r="42" spans="2:15" ht="17" thickBot="1" x14ac:dyDescent="0.25"/>
    <row r="43" spans="2:15" x14ac:dyDescent="0.2">
      <c r="B43" s="395" t="s">
        <v>47</v>
      </c>
      <c r="C43" s="768" t="s">
        <v>99</v>
      </c>
      <c r="D43" s="769"/>
      <c r="E43" s="769"/>
      <c r="F43" s="769"/>
      <c r="G43" s="769"/>
      <c r="H43" s="769"/>
      <c r="I43" s="769"/>
      <c r="J43" s="769"/>
      <c r="K43" s="769"/>
      <c r="L43" s="769"/>
      <c r="M43" s="770"/>
    </row>
    <row r="44" spans="2:15" x14ac:dyDescent="0.2">
      <c r="B44" s="99"/>
      <c r="C44" s="364" t="s">
        <v>574</v>
      </c>
      <c r="D44" s="365" t="s">
        <v>584</v>
      </c>
      <c r="E44" s="365" t="s">
        <v>186</v>
      </c>
      <c r="F44" s="365" t="s">
        <v>575</v>
      </c>
      <c r="G44" s="365" t="s">
        <v>44</v>
      </c>
      <c r="H44" s="365" t="s">
        <v>187</v>
      </c>
      <c r="I44" s="365" t="s">
        <v>45</v>
      </c>
      <c r="J44" s="365" t="s">
        <v>576</v>
      </c>
      <c r="K44" s="366" t="s">
        <v>48</v>
      </c>
      <c r="L44" s="379" t="s">
        <v>189</v>
      </c>
      <c r="M44" s="380" t="s">
        <v>582</v>
      </c>
    </row>
    <row r="45" spans="2:15" x14ac:dyDescent="0.2">
      <c r="B45" s="381" t="s">
        <v>570</v>
      </c>
      <c r="C45" s="82">
        <f>COUNTIF(Tabella2[Funzioni],'Tab. 10'!B45)</f>
        <v>1</v>
      </c>
      <c r="D45" s="82" t="s">
        <v>116</v>
      </c>
      <c r="E45" s="396">
        <v>20000</v>
      </c>
      <c r="F45" s="397">
        <f>E45*'All. 4'!$E$4</f>
        <v>4762</v>
      </c>
      <c r="G45" s="397">
        <f>E45/12</f>
        <v>1666.6666666666667</v>
      </c>
      <c r="H45" s="397">
        <f>G45*'All. 4'!$E$4</f>
        <v>396.83333333333337</v>
      </c>
      <c r="I45" s="397">
        <f>E45/12</f>
        <v>1666.6666666666667</v>
      </c>
      <c r="J45" s="397">
        <f>I45*'All. 4'!$E$4</f>
        <v>396.83333333333337</v>
      </c>
      <c r="K45" s="397">
        <f>E45/13.5</f>
        <v>1481.4814814814815</v>
      </c>
      <c r="L45" s="398">
        <f>SUM(E45:K45)</f>
        <v>30370.481481481482</v>
      </c>
      <c r="M45" s="399">
        <f>L45/C45</f>
        <v>30370.481481481482</v>
      </c>
    </row>
  </sheetData>
  <mergeCells count="2">
    <mergeCell ref="C4:L4"/>
    <mergeCell ref="C43:M43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737F-73BB-C44B-8002-B5EE716F6FFE}">
  <dimension ref="B2:Q87"/>
  <sheetViews>
    <sheetView showGridLines="0" zoomScale="150" zoomScaleNormal="150" workbookViewId="0">
      <selection activeCell="O29" sqref="O29"/>
    </sheetView>
  </sheetViews>
  <sheetFormatPr baseColWidth="10" defaultRowHeight="13" outlineLevelRow="1" x14ac:dyDescent="0.15"/>
  <cols>
    <col min="2" max="2" width="20" customWidth="1"/>
    <col min="3" max="14" width="12.1640625" bestFit="1" customWidth="1"/>
    <col min="15" max="15" width="12.6640625" customWidth="1"/>
    <col min="16" max="16" width="2" customWidth="1"/>
    <col min="17" max="17" width="12.5" customWidth="1"/>
  </cols>
  <sheetData>
    <row r="2" spans="2:17" x14ac:dyDescent="0.15">
      <c r="B2" s="378" t="s">
        <v>591</v>
      </c>
    </row>
    <row r="3" spans="2:17" ht="14" thickBot="1" x14ac:dyDescent="0.2"/>
    <row r="4" spans="2:17" s="4" customFormat="1" ht="16" x14ac:dyDescent="0.2">
      <c r="B4" s="269"/>
      <c r="C4" s="798" t="s">
        <v>99</v>
      </c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7"/>
    </row>
    <row r="5" spans="2:17" s="4" customFormat="1" ht="16" x14ac:dyDescent="0.2">
      <c r="B5" s="160"/>
      <c r="C5" s="277" t="s">
        <v>114</v>
      </c>
      <c r="D5" s="277" t="s">
        <v>115</v>
      </c>
      <c r="E5" s="277" t="s">
        <v>116</v>
      </c>
      <c r="F5" s="277" t="s">
        <v>117</v>
      </c>
      <c r="G5" s="277" t="s">
        <v>118</v>
      </c>
      <c r="H5" s="277" t="s">
        <v>119</v>
      </c>
      <c r="I5" s="277" t="s">
        <v>120</v>
      </c>
      <c r="J5" s="277" t="s">
        <v>121</v>
      </c>
      <c r="K5" s="277" t="s">
        <v>122</v>
      </c>
      <c r="L5" s="277" t="s">
        <v>123</v>
      </c>
      <c r="M5" s="277" t="s">
        <v>124</v>
      </c>
      <c r="N5" s="277" t="s">
        <v>125</v>
      </c>
      <c r="O5" s="282" t="s">
        <v>82</v>
      </c>
      <c r="Q5" s="282" t="s">
        <v>596</v>
      </c>
    </row>
    <row r="6" spans="2:17" s="4" customFormat="1" ht="16" x14ac:dyDescent="0.2">
      <c r="B6" s="216" t="s">
        <v>585</v>
      </c>
      <c r="C6" s="273">
        <v>20</v>
      </c>
      <c r="D6" s="273">
        <v>20</v>
      </c>
      <c r="E6" s="273">
        <v>23</v>
      </c>
      <c r="F6" s="273">
        <v>21</v>
      </c>
      <c r="G6" s="273">
        <v>21</v>
      </c>
      <c r="H6" s="273">
        <v>22</v>
      </c>
      <c r="I6" s="273">
        <v>22</v>
      </c>
      <c r="J6" s="273">
        <v>22</v>
      </c>
      <c r="K6" s="273">
        <v>22</v>
      </c>
      <c r="L6" s="273">
        <v>21</v>
      </c>
      <c r="M6" s="273">
        <v>21</v>
      </c>
      <c r="N6" s="273">
        <v>24</v>
      </c>
      <c r="O6" s="278">
        <f>SUM(C6:N6)</f>
        <v>259</v>
      </c>
      <c r="Q6" s="278"/>
    </row>
    <row r="7" spans="2:17" s="4" customFormat="1" ht="17" thickBot="1" x14ac:dyDescent="0.25">
      <c r="B7" s="415" t="s">
        <v>594</v>
      </c>
      <c r="C7" s="273">
        <v>2</v>
      </c>
      <c r="D7" s="273">
        <v>0</v>
      </c>
      <c r="E7" s="273">
        <v>0</v>
      </c>
      <c r="F7" s="273">
        <v>0</v>
      </c>
      <c r="G7" s="273">
        <v>0</v>
      </c>
      <c r="H7" s="273">
        <v>0</v>
      </c>
      <c r="I7" s="273">
        <v>0</v>
      </c>
      <c r="J7" s="273">
        <v>10</v>
      </c>
      <c r="K7" s="273">
        <v>0</v>
      </c>
      <c r="L7" s="273">
        <v>0</v>
      </c>
      <c r="M7" s="273">
        <v>0</v>
      </c>
      <c r="N7" s="273">
        <v>12</v>
      </c>
      <c r="O7" s="278">
        <f>SUM(C7:N7)</f>
        <v>24</v>
      </c>
      <c r="Q7" s="278"/>
    </row>
    <row r="8" spans="2:17" s="4" customFormat="1" ht="17" thickBot="1" x14ac:dyDescent="0.25">
      <c r="B8" s="416" t="s">
        <v>595</v>
      </c>
      <c r="C8" s="417">
        <f>C6-C7</f>
        <v>18</v>
      </c>
      <c r="D8" s="417">
        <f t="shared" ref="D8:O8" si="0">D6-D7</f>
        <v>20</v>
      </c>
      <c r="E8" s="417">
        <f t="shared" si="0"/>
        <v>23</v>
      </c>
      <c r="F8" s="417">
        <f t="shared" si="0"/>
        <v>21</v>
      </c>
      <c r="G8" s="417">
        <f t="shared" si="0"/>
        <v>21</v>
      </c>
      <c r="H8" s="417">
        <f t="shared" si="0"/>
        <v>22</v>
      </c>
      <c r="I8" s="417">
        <f t="shared" si="0"/>
        <v>22</v>
      </c>
      <c r="J8" s="417">
        <f t="shared" si="0"/>
        <v>12</v>
      </c>
      <c r="K8" s="417">
        <f t="shared" si="0"/>
        <v>22</v>
      </c>
      <c r="L8" s="417">
        <f t="shared" si="0"/>
        <v>21</v>
      </c>
      <c r="M8" s="417">
        <f t="shared" si="0"/>
        <v>21</v>
      </c>
      <c r="N8" s="417">
        <f t="shared" si="0"/>
        <v>12</v>
      </c>
      <c r="O8" s="418">
        <f t="shared" si="0"/>
        <v>235</v>
      </c>
      <c r="Q8" s="418"/>
    </row>
    <row r="9" spans="2:17" s="4" customFormat="1" ht="16" x14ac:dyDescent="0.2">
      <c r="B9" s="384"/>
      <c r="C9" s="2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410"/>
      <c r="Q9" s="410"/>
    </row>
    <row r="10" spans="2:17" s="4" customFormat="1" ht="16" x14ac:dyDescent="0.2">
      <c r="B10" s="400" t="s">
        <v>379</v>
      </c>
      <c r="C10" s="2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410"/>
      <c r="Q10" s="410"/>
    </row>
    <row r="11" spans="2:17" s="4" customFormat="1" ht="16" x14ac:dyDescent="0.2">
      <c r="B11" s="384" t="s">
        <v>586</v>
      </c>
      <c r="C11" s="419">
        <f>+$O11/$O$6*C$6</f>
        <v>8153.1528957528963</v>
      </c>
      <c r="D11" s="419">
        <f t="shared" ref="D11:N11" si="1">+$O11/$O$6*D$6</f>
        <v>8153.1528957528963</v>
      </c>
      <c r="E11" s="419">
        <f t="shared" si="1"/>
        <v>9376.1258301158305</v>
      </c>
      <c r="F11" s="419">
        <f t="shared" si="1"/>
        <v>8560.8105405405404</v>
      </c>
      <c r="G11" s="419">
        <f t="shared" si="1"/>
        <v>8560.8105405405404</v>
      </c>
      <c r="H11" s="419">
        <f t="shared" si="1"/>
        <v>8968.4681853281854</v>
      </c>
      <c r="I11" s="419">
        <f t="shared" si="1"/>
        <v>8968.4681853281854</v>
      </c>
      <c r="J11" s="419">
        <f t="shared" si="1"/>
        <v>8968.4681853281854</v>
      </c>
      <c r="K11" s="419">
        <f t="shared" si="1"/>
        <v>8968.4681853281854</v>
      </c>
      <c r="L11" s="419">
        <f t="shared" si="1"/>
        <v>8560.8105405405404</v>
      </c>
      <c r="M11" s="419">
        <f t="shared" si="1"/>
        <v>8560.8105405405404</v>
      </c>
      <c r="N11" s="419">
        <f t="shared" si="1"/>
        <v>9783.7834749034755</v>
      </c>
      <c r="O11" s="411">
        <f>SUMIF('Tab. 10'!$B$6:$B$38,B10,'Tab. 10'!$D$6:$D$38)</f>
        <v>105583.33</v>
      </c>
      <c r="Q11" s="411">
        <f>O11/$O$6*$O$7</f>
        <v>9783.7834749034755</v>
      </c>
    </row>
    <row r="12" spans="2:17" s="4" customFormat="1" ht="16" x14ac:dyDescent="0.2">
      <c r="B12" s="384" t="s">
        <v>44</v>
      </c>
      <c r="C12" s="419">
        <f t="shared" ref="C12:N17" si="2">+$O12/$O$6*C$6</f>
        <v>679.4294079794081</v>
      </c>
      <c r="D12" s="419">
        <f t="shared" si="2"/>
        <v>679.4294079794081</v>
      </c>
      <c r="E12" s="419">
        <f t="shared" si="2"/>
        <v>781.34381917631924</v>
      </c>
      <c r="F12" s="419">
        <f t="shared" si="2"/>
        <v>713.40087837837848</v>
      </c>
      <c r="G12" s="419">
        <f t="shared" si="2"/>
        <v>713.40087837837848</v>
      </c>
      <c r="H12" s="419">
        <f t="shared" si="2"/>
        <v>747.37234877734886</v>
      </c>
      <c r="I12" s="419">
        <f t="shared" si="2"/>
        <v>747.37234877734886</v>
      </c>
      <c r="J12" s="419">
        <f t="shared" si="2"/>
        <v>747.37234877734886</v>
      </c>
      <c r="K12" s="419">
        <f t="shared" si="2"/>
        <v>747.37234877734886</v>
      </c>
      <c r="L12" s="419">
        <f t="shared" si="2"/>
        <v>713.40087837837848</v>
      </c>
      <c r="M12" s="419">
        <f t="shared" si="2"/>
        <v>713.40087837837848</v>
      </c>
      <c r="N12" s="419">
        <f t="shared" si="2"/>
        <v>815.31528957528963</v>
      </c>
      <c r="O12" s="411">
        <f>SUMIF('Tab. 10'!$B$6:$B$38,B10,'Tab. 10'!$F$6:$F$38)</f>
        <v>8798.6108333333341</v>
      </c>
      <c r="Q12" s="411">
        <f t="shared" ref="Q12:Q17" si="3">O12/$O$6*$O$7</f>
        <v>815.31528957528963</v>
      </c>
    </row>
    <row r="13" spans="2:17" s="4" customFormat="1" ht="16" x14ac:dyDescent="0.2">
      <c r="B13" s="384" t="s">
        <v>45</v>
      </c>
      <c r="C13" s="419">
        <f t="shared" si="2"/>
        <v>679.4294079794081</v>
      </c>
      <c r="D13" s="419">
        <f t="shared" si="2"/>
        <v>679.4294079794081</v>
      </c>
      <c r="E13" s="419">
        <f t="shared" si="2"/>
        <v>781.34381917631924</v>
      </c>
      <c r="F13" s="419">
        <f t="shared" si="2"/>
        <v>713.40087837837848</v>
      </c>
      <c r="G13" s="419">
        <f t="shared" si="2"/>
        <v>713.40087837837848</v>
      </c>
      <c r="H13" s="419">
        <f t="shared" si="2"/>
        <v>747.37234877734886</v>
      </c>
      <c r="I13" s="419">
        <f t="shared" si="2"/>
        <v>747.37234877734886</v>
      </c>
      <c r="J13" s="419">
        <f t="shared" si="2"/>
        <v>747.37234877734886</v>
      </c>
      <c r="K13" s="419">
        <f t="shared" si="2"/>
        <v>747.37234877734886</v>
      </c>
      <c r="L13" s="419">
        <f t="shared" si="2"/>
        <v>713.40087837837848</v>
      </c>
      <c r="M13" s="419">
        <f t="shared" si="2"/>
        <v>713.40087837837848</v>
      </c>
      <c r="N13" s="419">
        <f t="shared" si="2"/>
        <v>815.31528957528963</v>
      </c>
      <c r="O13" s="411">
        <f>SUMIF('Tab. 10'!$B$6:$B$38,B10,'Tab. 10'!$H$6:$H$38)</f>
        <v>8798.6108333333341</v>
      </c>
      <c r="Q13" s="411">
        <f t="shared" si="3"/>
        <v>815.31528957528963</v>
      </c>
    </row>
    <row r="14" spans="2:17" s="4" customFormat="1" ht="16" x14ac:dyDescent="0.2">
      <c r="B14" s="384" t="s">
        <v>588</v>
      </c>
      <c r="C14" s="419">
        <f t="shared" si="2"/>
        <v>1941.2657044787645</v>
      </c>
      <c r="D14" s="419">
        <f t="shared" si="2"/>
        <v>1941.2657044787645</v>
      </c>
      <c r="E14" s="419">
        <f t="shared" si="2"/>
        <v>2232.455560150579</v>
      </c>
      <c r="F14" s="419">
        <f t="shared" si="2"/>
        <v>2038.3289897027028</v>
      </c>
      <c r="G14" s="419">
        <f t="shared" si="2"/>
        <v>2038.3289897027028</v>
      </c>
      <c r="H14" s="419">
        <f t="shared" si="2"/>
        <v>2135.3922749266408</v>
      </c>
      <c r="I14" s="419">
        <f t="shared" si="2"/>
        <v>2135.3922749266408</v>
      </c>
      <c r="J14" s="419">
        <f t="shared" si="2"/>
        <v>2135.3922749266408</v>
      </c>
      <c r="K14" s="419">
        <f t="shared" si="2"/>
        <v>2135.3922749266408</v>
      </c>
      <c r="L14" s="419">
        <f t="shared" si="2"/>
        <v>2038.3289897027028</v>
      </c>
      <c r="M14" s="419">
        <f t="shared" si="2"/>
        <v>2038.3289897027028</v>
      </c>
      <c r="N14" s="419">
        <f t="shared" si="2"/>
        <v>2329.5188453745172</v>
      </c>
      <c r="O14" s="411">
        <f>SUMIF('Tab. 10'!$B$6:$B$38,B10,'Tab. 10'!$E$6:$E$38)</f>
        <v>25139.390873</v>
      </c>
      <c r="Q14" s="411">
        <f t="shared" si="3"/>
        <v>2329.5188453745172</v>
      </c>
    </row>
    <row r="15" spans="2:17" s="4" customFormat="1" ht="16" x14ac:dyDescent="0.2">
      <c r="B15" s="384" t="s">
        <v>589</v>
      </c>
      <c r="C15" s="419">
        <f t="shared" si="2"/>
        <v>161.77214203989706</v>
      </c>
      <c r="D15" s="419">
        <f t="shared" si="2"/>
        <v>161.77214203989706</v>
      </c>
      <c r="E15" s="419">
        <f t="shared" si="2"/>
        <v>186.03796334588162</v>
      </c>
      <c r="F15" s="419">
        <f t="shared" si="2"/>
        <v>169.86074914189192</v>
      </c>
      <c r="G15" s="419">
        <f t="shared" si="2"/>
        <v>169.86074914189192</v>
      </c>
      <c r="H15" s="419">
        <f t="shared" si="2"/>
        <v>177.94935624388677</v>
      </c>
      <c r="I15" s="419">
        <f t="shared" si="2"/>
        <v>177.94935624388677</v>
      </c>
      <c r="J15" s="419">
        <f t="shared" si="2"/>
        <v>177.94935624388677</v>
      </c>
      <c r="K15" s="419">
        <f t="shared" si="2"/>
        <v>177.94935624388677</v>
      </c>
      <c r="L15" s="419">
        <f t="shared" si="2"/>
        <v>169.86074914189192</v>
      </c>
      <c r="M15" s="419">
        <f t="shared" si="2"/>
        <v>169.86074914189192</v>
      </c>
      <c r="N15" s="419">
        <f t="shared" si="2"/>
        <v>194.12657044787647</v>
      </c>
      <c r="O15" s="411">
        <f>SUMIF('Tab. 10'!$B$6:$B$38,B10,'Tab. 10'!$G$6:$G$38)</f>
        <v>2094.9492394166668</v>
      </c>
      <c r="Q15" s="411">
        <f t="shared" si="3"/>
        <v>194.12657044787647</v>
      </c>
    </row>
    <row r="16" spans="2:17" s="4" customFormat="1" ht="16" x14ac:dyDescent="0.2">
      <c r="B16" s="384" t="s">
        <v>590</v>
      </c>
      <c r="C16" s="419">
        <f t="shared" si="2"/>
        <v>161.77214203989706</v>
      </c>
      <c r="D16" s="419">
        <f t="shared" si="2"/>
        <v>161.77214203989706</v>
      </c>
      <c r="E16" s="419">
        <f t="shared" si="2"/>
        <v>186.03796334588162</v>
      </c>
      <c r="F16" s="419">
        <f t="shared" si="2"/>
        <v>169.86074914189192</v>
      </c>
      <c r="G16" s="419">
        <f t="shared" si="2"/>
        <v>169.86074914189192</v>
      </c>
      <c r="H16" s="419">
        <f t="shared" si="2"/>
        <v>177.94935624388677</v>
      </c>
      <c r="I16" s="419">
        <f t="shared" si="2"/>
        <v>177.94935624388677</v>
      </c>
      <c r="J16" s="419">
        <f t="shared" si="2"/>
        <v>177.94935624388677</v>
      </c>
      <c r="K16" s="419">
        <f t="shared" si="2"/>
        <v>177.94935624388677</v>
      </c>
      <c r="L16" s="419">
        <f t="shared" si="2"/>
        <v>169.86074914189192</v>
      </c>
      <c r="M16" s="419">
        <f t="shared" si="2"/>
        <v>169.86074914189192</v>
      </c>
      <c r="N16" s="419">
        <f t="shared" si="2"/>
        <v>194.12657044787647</v>
      </c>
      <c r="O16" s="411">
        <f>SUMIF('Tab. 10'!$B$6:$B$38,B10,'Tab. 10'!$I$6:$I$38)</f>
        <v>2094.9492394166668</v>
      </c>
      <c r="Q16" s="411">
        <f t="shared" si="3"/>
        <v>194.12657044787647</v>
      </c>
    </row>
    <row r="17" spans="2:17" s="4" customFormat="1" ht="17" thickBot="1" x14ac:dyDescent="0.25">
      <c r="B17" s="384" t="s">
        <v>48</v>
      </c>
      <c r="C17" s="419">
        <f t="shared" si="2"/>
        <v>603.93725153725154</v>
      </c>
      <c r="D17" s="419">
        <f t="shared" si="2"/>
        <v>603.93725153725154</v>
      </c>
      <c r="E17" s="419">
        <f t="shared" si="2"/>
        <v>694.52783926783934</v>
      </c>
      <c r="F17" s="419">
        <f t="shared" si="2"/>
        <v>634.13411411411414</v>
      </c>
      <c r="G17" s="419">
        <f t="shared" si="2"/>
        <v>634.13411411411414</v>
      </c>
      <c r="H17" s="419">
        <f t="shared" si="2"/>
        <v>664.33097669097674</v>
      </c>
      <c r="I17" s="419">
        <f t="shared" si="2"/>
        <v>664.33097669097674</v>
      </c>
      <c r="J17" s="419">
        <f t="shared" si="2"/>
        <v>664.33097669097674</v>
      </c>
      <c r="K17" s="419">
        <f t="shared" si="2"/>
        <v>664.33097669097674</v>
      </c>
      <c r="L17" s="419">
        <f t="shared" si="2"/>
        <v>634.13411411411414</v>
      </c>
      <c r="M17" s="419">
        <f t="shared" si="2"/>
        <v>634.13411411411414</v>
      </c>
      <c r="N17" s="419">
        <f t="shared" si="2"/>
        <v>724.72470184470194</v>
      </c>
      <c r="O17" s="411">
        <f>SUMIF('Tab. 10'!$B$6:$B$38,B10,'Tab. 10'!$J$6:$J$38)</f>
        <v>7820.9874074074078</v>
      </c>
      <c r="Q17" s="411">
        <f t="shared" si="3"/>
        <v>724.72470184470194</v>
      </c>
    </row>
    <row r="18" spans="2:17" s="4" customFormat="1" ht="17" thickBot="1" x14ac:dyDescent="0.25">
      <c r="B18" s="401" t="s">
        <v>3</v>
      </c>
      <c r="C18" s="348">
        <f t="shared" ref="C18:O18" si="4">SUM(C11:C17)</f>
        <v>12380.758951807522</v>
      </c>
      <c r="D18" s="348">
        <f t="shared" si="4"/>
        <v>12380.758951807522</v>
      </c>
      <c r="E18" s="348">
        <f t="shared" si="4"/>
        <v>14237.87279457865</v>
      </c>
      <c r="F18" s="348">
        <f t="shared" si="4"/>
        <v>12999.796899397899</v>
      </c>
      <c r="G18" s="348">
        <f t="shared" si="4"/>
        <v>12999.796899397899</v>
      </c>
      <c r="H18" s="348">
        <f t="shared" si="4"/>
        <v>13618.834846988277</v>
      </c>
      <c r="I18" s="348">
        <f t="shared" si="4"/>
        <v>13618.834846988277</v>
      </c>
      <c r="J18" s="348">
        <f t="shared" si="4"/>
        <v>13618.834846988277</v>
      </c>
      <c r="K18" s="348">
        <f t="shared" si="4"/>
        <v>13618.834846988277</v>
      </c>
      <c r="L18" s="348">
        <f t="shared" si="4"/>
        <v>12999.796899397899</v>
      </c>
      <c r="M18" s="348">
        <f t="shared" si="4"/>
        <v>12999.796899397899</v>
      </c>
      <c r="N18" s="348">
        <f t="shared" si="4"/>
        <v>14856.910742169028</v>
      </c>
      <c r="O18" s="412">
        <f t="shared" si="4"/>
        <v>160330.82842590741</v>
      </c>
      <c r="Q18" s="412">
        <f>SUM(Q11:Q17)</f>
        <v>14856.910742169028</v>
      </c>
    </row>
    <row r="19" spans="2:17" s="4" customFormat="1" ht="16" x14ac:dyDescent="0.2">
      <c r="B19" s="400" t="s">
        <v>566</v>
      </c>
      <c r="C19" s="419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411"/>
      <c r="Q19" s="411"/>
    </row>
    <row r="20" spans="2:17" s="4" customFormat="1" ht="16" x14ac:dyDescent="0.2">
      <c r="B20" s="384" t="s">
        <v>586</v>
      </c>
      <c r="C20" s="419">
        <f>+$O20/$O$6*C$6</f>
        <v>9014.7397683397667</v>
      </c>
      <c r="D20" s="419">
        <f t="shared" ref="D20:N20" si="5">+$O20/$O$6*D$6</f>
        <v>9014.7397683397667</v>
      </c>
      <c r="E20" s="419">
        <f t="shared" si="5"/>
        <v>10366.950733590733</v>
      </c>
      <c r="F20" s="419">
        <f t="shared" si="5"/>
        <v>9465.476756756756</v>
      </c>
      <c r="G20" s="419">
        <f t="shared" si="5"/>
        <v>9465.476756756756</v>
      </c>
      <c r="H20" s="419">
        <f t="shared" si="5"/>
        <v>9916.2137451737435</v>
      </c>
      <c r="I20" s="419">
        <f t="shared" si="5"/>
        <v>9916.2137451737435</v>
      </c>
      <c r="J20" s="419">
        <f t="shared" si="5"/>
        <v>9916.2137451737435</v>
      </c>
      <c r="K20" s="419">
        <f t="shared" si="5"/>
        <v>9916.2137451737435</v>
      </c>
      <c r="L20" s="419">
        <f t="shared" si="5"/>
        <v>9465.476756756756</v>
      </c>
      <c r="M20" s="419">
        <f t="shared" si="5"/>
        <v>9465.476756756756</v>
      </c>
      <c r="N20" s="419">
        <f t="shared" si="5"/>
        <v>10817.68772200772</v>
      </c>
      <c r="O20" s="411">
        <f>SUMIF('Tab. 10'!$B$6:$B$38,B19,'Tab. 10'!$D$6:$D$38)</f>
        <v>116740.87999999999</v>
      </c>
      <c r="Q20" s="411">
        <f t="shared" ref="Q20:Q26" si="6">O20/$O$6*$O$7</f>
        <v>10817.68772200772</v>
      </c>
    </row>
    <row r="21" spans="2:17" s="4" customFormat="1" ht="16" x14ac:dyDescent="0.2">
      <c r="B21" s="384" t="s">
        <v>44</v>
      </c>
      <c r="C21" s="419">
        <f t="shared" ref="C21:N26" si="7">+$O21/$O$6*C$6</f>
        <v>751.22831402831389</v>
      </c>
      <c r="D21" s="419">
        <f t="shared" si="7"/>
        <v>751.22831402831389</v>
      </c>
      <c r="E21" s="419">
        <f t="shared" si="7"/>
        <v>863.912561132561</v>
      </c>
      <c r="F21" s="419">
        <f t="shared" si="7"/>
        <v>788.78972972972963</v>
      </c>
      <c r="G21" s="419">
        <f t="shared" si="7"/>
        <v>788.78972972972963</v>
      </c>
      <c r="H21" s="419">
        <f t="shared" si="7"/>
        <v>826.35114543114537</v>
      </c>
      <c r="I21" s="419">
        <f t="shared" si="7"/>
        <v>826.35114543114537</v>
      </c>
      <c r="J21" s="419">
        <f t="shared" si="7"/>
        <v>826.35114543114537</v>
      </c>
      <c r="K21" s="419">
        <f t="shared" si="7"/>
        <v>826.35114543114537</v>
      </c>
      <c r="L21" s="419">
        <f t="shared" si="7"/>
        <v>788.78972972972963</v>
      </c>
      <c r="M21" s="419">
        <f t="shared" si="7"/>
        <v>788.78972972972963</v>
      </c>
      <c r="N21" s="419">
        <f t="shared" si="7"/>
        <v>901.47397683397674</v>
      </c>
      <c r="O21" s="411">
        <f>SUMIF('Tab. 10'!$B$6:$B$38,B19,'Tab. 10'!$F$6:$F$38)</f>
        <v>9728.4066666666658</v>
      </c>
      <c r="Q21" s="411">
        <f t="shared" si="6"/>
        <v>901.47397683397674</v>
      </c>
    </row>
    <row r="22" spans="2:17" s="4" customFormat="1" ht="16" x14ac:dyDescent="0.2">
      <c r="B22" s="384" t="s">
        <v>45</v>
      </c>
      <c r="C22" s="419">
        <f t="shared" si="7"/>
        <v>751.22831402831389</v>
      </c>
      <c r="D22" s="419">
        <f t="shared" si="7"/>
        <v>751.22831402831389</v>
      </c>
      <c r="E22" s="419">
        <f t="shared" si="7"/>
        <v>863.912561132561</v>
      </c>
      <c r="F22" s="419">
        <f t="shared" si="7"/>
        <v>788.78972972972963</v>
      </c>
      <c r="G22" s="419">
        <f t="shared" si="7"/>
        <v>788.78972972972963</v>
      </c>
      <c r="H22" s="419">
        <f t="shared" si="7"/>
        <v>826.35114543114537</v>
      </c>
      <c r="I22" s="419">
        <f t="shared" si="7"/>
        <v>826.35114543114537</v>
      </c>
      <c r="J22" s="419">
        <f t="shared" si="7"/>
        <v>826.35114543114537</v>
      </c>
      <c r="K22" s="419">
        <f t="shared" si="7"/>
        <v>826.35114543114537</v>
      </c>
      <c r="L22" s="419">
        <f t="shared" si="7"/>
        <v>788.78972972972963</v>
      </c>
      <c r="M22" s="419">
        <f t="shared" si="7"/>
        <v>788.78972972972963</v>
      </c>
      <c r="N22" s="419">
        <f t="shared" si="7"/>
        <v>901.47397683397674</v>
      </c>
      <c r="O22" s="411">
        <f>SUMIF('Tab. 10'!$B$6:$B$38,B19,'Tab. 10'!$H$6:$H$38)</f>
        <v>9728.4066666666658</v>
      </c>
      <c r="Q22" s="411">
        <f t="shared" si="6"/>
        <v>901.47397683397674</v>
      </c>
    </row>
    <row r="23" spans="2:17" s="4" customFormat="1" ht="16" x14ac:dyDescent="0.2">
      <c r="B23" s="384" t="s">
        <v>588</v>
      </c>
      <c r="C23" s="419">
        <f t="shared" si="7"/>
        <v>2146.409538841699</v>
      </c>
      <c r="D23" s="419">
        <f t="shared" si="7"/>
        <v>2146.409538841699</v>
      </c>
      <c r="E23" s="419">
        <f t="shared" si="7"/>
        <v>2468.3709696679539</v>
      </c>
      <c r="F23" s="419">
        <f t="shared" si="7"/>
        <v>2253.730015783784</v>
      </c>
      <c r="G23" s="419">
        <f t="shared" si="7"/>
        <v>2253.730015783784</v>
      </c>
      <c r="H23" s="419">
        <f t="shared" si="7"/>
        <v>2361.0504927258689</v>
      </c>
      <c r="I23" s="419">
        <f t="shared" si="7"/>
        <v>2361.0504927258689</v>
      </c>
      <c r="J23" s="419">
        <f t="shared" si="7"/>
        <v>2361.0504927258689</v>
      </c>
      <c r="K23" s="419">
        <f t="shared" si="7"/>
        <v>2361.0504927258689</v>
      </c>
      <c r="L23" s="419">
        <f t="shared" si="7"/>
        <v>2253.730015783784</v>
      </c>
      <c r="M23" s="419">
        <f t="shared" si="7"/>
        <v>2253.730015783784</v>
      </c>
      <c r="N23" s="419">
        <f t="shared" si="7"/>
        <v>2575.6914466100388</v>
      </c>
      <c r="O23" s="411">
        <f>SUMIF('Tab. 10'!$B$6:$B$38,B19,'Tab. 10'!$E$6:$E$38)</f>
        <v>27796.003528000001</v>
      </c>
      <c r="Q23" s="411">
        <f t="shared" si="6"/>
        <v>2575.6914466100388</v>
      </c>
    </row>
    <row r="24" spans="2:17" s="4" customFormat="1" ht="16" x14ac:dyDescent="0.2">
      <c r="B24" s="384" t="s">
        <v>589</v>
      </c>
      <c r="C24" s="419">
        <f t="shared" si="7"/>
        <v>178.86746157014159</v>
      </c>
      <c r="D24" s="419">
        <f t="shared" si="7"/>
        <v>178.86746157014159</v>
      </c>
      <c r="E24" s="419">
        <f t="shared" si="7"/>
        <v>205.69758080566282</v>
      </c>
      <c r="F24" s="419">
        <f t="shared" si="7"/>
        <v>187.81083464864867</v>
      </c>
      <c r="G24" s="419">
        <f t="shared" si="7"/>
        <v>187.81083464864867</v>
      </c>
      <c r="H24" s="419">
        <f t="shared" si="7"/>
        <v>196.75420772715574</v>
      </c>
      <c r="I24" s="419">
        <f t="shared" si="7"/>
        <v>196.75420772715574</v>
      </c>
      <c r="J24" s="419">
        <f t="shared" si="7"/>
        <v>196.75420772715574</v>
      </c>
      <c r="K24" s="419">
        <f t="shared" si="7"/>
        <v>196.75420772715574</v>
      </c>
      <c r="L24" s="419">
        <f t="shared" si="7"/>
        <v>187.81083464864867</v>
      </c>
      <c r="M24" s="419">
        <f t="shared" si="7"/>
        <v>187.81083464864867</v>
      </c>
      <c r="N24" s="419">
        <f t="shared" si="7"/>
        <v>214.6409538841699</v>
      </c>
      <c r="O24" s="411">
        <f>SUMIF('Tab. 10'!$B$6:$B$38,B19,'Tab. 10'!$G$6:$G$38)</f>
        <v>2316.3336273333334</v>
      </c>
      <c r="Q24" s="411">
        <f t="shared" si="6"/>
        <v>214.6409538841699</v>
      </c>
    </row>
    <row r="25" spans="2:17" s="4" customFormat="1" ht="16" x14ac:dyDescent="0.2">
      <c r="B25" s="384" t="s">
        <v>590</v>
      </c>
      <c r="C25" s="419">
        <f t="shared" si="7"/>
        <v>178.86746157014159</v>
      </c>
      <c r="D25" s="419">
        <f t="shared" si="7"/>
        <v>178.86746157014159</v>
      </c>
      <c r="E25" s="419">
        <f t="shared" si="7"/>
        <v>205.69758080566282</v>
      </c>
      <c r="F25" s="419">
        <f t="shared" si="7"/>
        <v>187.81083464864867</v>
      </c>
      <c r="G25" s="419">
        <f t="shared" si="7"/>
        <v>187.81083464864867</v>
      </c>
      <c r="H25" s="419">
        <f t="shared" si="7"/>
        <v>196.75420772715574</v>
      </c>
      <c r="I25" s="419">
        <f t="shared" si="7"/>
        <v>196.75420772715574</v>
      </c>
      <c r="J25" s="419">
        <f t="shared" si="7"/>
        <v>196.75420772715574</v>
      </c>
      <c r="K25" s="419">
        <f t="shared" si="7"/>
        <v>196.75420772715574</v>
      </c>
      <c r="L25" s="419">
        <f t="shared" si="7"/>
        <v>187.81083464864867</v>
      </c>
      <c r="M25" s="419">
        <f t="shared" si="7"/>
        <v>187.81083464864867</v>
      </c>
      <c r="N25" s="419">
        <f t="shared" si="7"/>
        <v>214.6409538841699</v>
      </c>
      <c r="O25" s="411">
        <f>SUMIF('Tab. 10'!$B$6:$B$38,B19,'Tab. 10'!$I$6:$I$38)</f>
        <v>2316.3336273333334</v>
      </c>
      <c r="Q25" s="411">
        <f t="shared" si="6"/>
        <v>214.6409538841699</v>
      </c>
    </row>
    <row r="26" spans="2:17" s="4" customFormat="1" ht="17" thickBot="1" x14ac:dyDescent="0.25">
      <c r="B26" s="384" t="s">
        <v>48</v>
      </c>
      <c r="C26" s="419">
        <f t="shared" si="7"/>
        <v>667.75850135850135</v>
      </c>
      <c r="D26" s="419">
        <f t="shared" si="7"/>
        <v>667.75850135850135</v>
      </c>
      <c r="E26" s="419">
        <f t="shared" si="7"/>
        <v>767.92227656227658</v>
      </c>
      <c r="F26" s="419">
        <f t="shared" si="7"/>
        <v>701.14642642642639</v>
      </c>
      <c r="G26" s="419">
        <f t="shared" si="7"/>
        <v>701.14642642642639</v>
      </c>
      <c r="H26" s="419">
        <f t="shared" si="7"/>
        <v>734.53435149435154</v>
      </c>
      <c r="I26" s="419">
        <f t="shared" si="7"/>
        <v>734.53435149435154</v>
      </c>
      <c r="J26" s="419">
        <f t="shared" si="7"/>
        <v>734.53435149435154</v>
      </c>
      <c r="K26" s="419">
        <f t="shared" si="7"/>
        <v>734.53435149435154</v>
      </c>
      <c r="L26" s="419">
        <f t="shared" si="7"/>
        <v>701.14642642642639</v>
      </c>
      <c r="M26" s="419">
        <f t="shared" si="7"/>
        <v>701.14642642642639</v>
      </c>
      <c r="N26" s="419">
        <f t="shared" si="7"/>
        <v>801.31020163020162</v>
      </c>
      <c r="O26" s="411">
        <f>SUMIF('Tab. 10'!$B$6:$B$38,B19,'Tab. 10'!$J$6:$J$38)</f>
        <v>8647.4725925925923</v>
      </c>
      <c r="Q26" s="411">
        <f t="shared" si="6"/>
        <v>801.31020163020162</v>
      </c>
    </row>
    <row r="27" spans="2:17" s="4" customFormat="1" ht="17" thickBot="1" x14ac:dyDescent="0.25">
      <c r="B27" s="401" t="s">
        <v>3</v>
      </c>
      <c r="C27" s="348">
        <f t="shared" ref="C27:O27" si="8">SUM(C20:C26)</f>
        <v>13689.09935973688</v>
      </c>
      <c r="D27" s="348">
        <f t="shared" si="8"/>
        <v>13689.09935973688</v>
      </c>
      <c r="E27" s="348">
        <f t="shared" si="8"/>
        <v>15742.464263697413</v>
      </c>
      <c r="F27" s="348">
        <f t="shared" si="8"/>
        <v>14373.554327723721</v>
      </c>
      <c r="G27" s="348">
        <f t="shared" si="8"/>
        <v>14373.554327723721</v>
      </c>
      <c r="H27" s="348">
        <f t="shared" si="8"/>
        <v>15058.009295710566</v>
      </c>
      <c r="I27" s="348">
        <f t="shared" si="8"/>
        <v>15058.009295710566</v>
      </c>
      <c r="J27" s="348">
        <f t="shared" si="8"/>
        <v>15058.009295710566</v>
      </c>
      <c r="K27" s="348">
        <f t="shared" si="8"/>
        <v>15058.009295710566</v>
      </c>
      <c r="L27" s="348">
        <f t="shared" si="8"/>
        <v>14373.554327723721</v>
      </c>
      <c r="M27" s="348">
        <f t="shared" si="8"/>
        <v>14373.554327723721</v>
      </c>
      <c r="N27" s="348">
        <f t="shared" si="8"/>
        <v>16426.919231684253</v>
      </c>
      <c r="O27" s="412">
        <f t="shared" si="8"/>
        <v>177273.8367085926</v>
      </c>
      <c r="Q27" s="412">
        <f>SUM(Q20:Q26)</f>
        <v>16426.919231684253</v>
      </c>
    </row>
    <row r="28" spans="2:17" s="4" customFormat="1" ht="16" x14ac:dyDescent="0.2">
      <c r="B28" s="400" t="s">
        <v>990</v>
      </c>
      <c r="C28" s="419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411"/>
      <c r="Q28" s="411"/>
    </row>
    <row r="29" spans="2:17" s="4" customFormat="1" ht="16" x14ac:dyDescent="0.2">
      <c r="B29" s="384" t="s">
        <v>586</v>
      </c>
      <c r="C29" s="419">
        <f>+$O29/$O$6*C$6</f>
        <v>131066.45637065664</v>
      </c>
      <c r="D29" s="419">
        <f t="shared" ref="D29:N29" si="9">+$O29/$O$6*D$6</f>
        <v>131066.45637065664</v>
      </c>
      <c r="E29" s="419">
        <f t="shared" si="9"/>
        <v>150726.42482625513</v>
      </c>
      <c r="F29" s="419">
        <f t="shared" si="9"/>
        <v>137619.77918918946</v>
      </c>
      <c r="G29" s="419">
        <f t="shared" si="9"/>
        <v>137619.77918918946</v>
      </c>
      <c r="H29" s="419">
        <f t="shared" si="9"/>
        <v>144173.10200772231</v>
      </c>
      <c r="I29" s="419">
        <f t="shared" si="9"/>
        <v>144173.10200772231</v>
      </c>
      <c r="J29" s="419">
        <f t="shared" si="9"/>
        <v>144173.10200772231</v>
      </c>
      <c r="K29" s="419">
        <f t="shared" si="9"/>
        <v>144173.10200772231</v>
      </c>
      <c r="L29" s="419">
        <f t="shared" si="9"/>
        <v>137619.77918918946</v>
      </c>
      <c r="M29" s="419">
        <f t="shared" si="9"/>
        <v>137619.77918918946</v>
      </c>
      <c r="N29" s="419">
        <f t="shared" si="9"/>
        <v>157279.74764478795</v>
      </c>
      <c r="O29" s="411">
        <f>SUMIF('Tab. 10'!$B$6:$B$38,B28,'Tab. 10'!$D$6:$D$38)</f>
        <v>1697310.6100000034</v>
      </c>
      <c r="Q29" s="411">
        <f t="shared" ref="Q29:Q35" si="10">O29/$O$6*$O$7</f>
        <v>157279.74764478795</v>
      </c>
    </row>
    <row r="30" spans="2:17" s="4" customFormat="1" ht="16" x14ac:dyDescent="0.2">
      <c r="B30" s="384" t="s">
        <v>44</v>
      </c>
      <c r="C30" s="419">
        <f t="shared" ref="C30:N35" si="11">+$O30/$O$6*C$6</f>
        <v>10922.204697554682</v>
      </c>
      <c r="D30" s="419">
        <f t="shared" si="11"/>
        <v>10922.204697554682</v>
      </c>
      <c r="E30" s="419">
        <f t="shared" si="11"/>
        <v>12560.535402187885</v>
      </c>
      <c r="F30" s="419">
        <f t="shared" si="11"/>
        <v>11468.314932432417</v>
      </c>
      <c r="G30" s="419">
        <f t="shared" si="11"/>
        <v>11468.314932432417</v>
      </c>
      <c r="H30" s="419">
        <f t="shared" si="11"/>
        <v>12014.42516731015</v>
      </c>
      <c r="I30" s="419">
        <f t="shared" si="11"/>
        <v>12014.42516731015</v>
      </c>
      <c r="J30" s="419">
        <f t="shared" si="11"/>
        <v>12014.42516731015</v>
      </c>
      <c r="K30" s="419">
        <f t="shared" si="11"/>
        <v>12014.42516731015</v>
      </c>
      <c r="L30" s="419">
        <f t="shared" si="11"/>
        <v>11468.314932432417</v>
      </c>
      <c r="M30" s="419">
        <f t="shared" si="11"/>
        <v>11468.314932432417</v>
      </c>
      <c r="N30" s="419">
        <f t="shared" si="11"/>
        <v>13106.64563706562</v>
      </c>
      <c r="O30" s="411">
        <f>SUMIF('Tab. 10'!$B$6:$B$38,B28,'Tab. 10'!$F$6:$F$38)</f>
        <v>141442.55083333314</v>
      </c>
      <c r="Q30" s="411">
        <f t="shared" si="10"/>
        <v>13106.64563706562</v>
      </c>
    </row>
    <row r="31" spans="2:17" s="4" customFormat="1" ht="16" x14ac:dyDescent="0.2">
      <c r="B31" s="384" t="s">
        <v>45</v>
      </c>
      <c r="C31" s="419">
        <f t="shared" si="11"/>
        <v>10922.204697554682</v>
      </c>
      <c r="D31" s="419">
        <f t="shared" si="11"/>
        <v>10922.204697554682</v>
      </c>
      <c r="E31" s="419">
        <f t="shared" si="11"/>
        <v>12560.535402187885</v>
      </c>
      <c r="F31" s="419">
        <f t="shared" si="11"/>
        <v>11468.314932432417</v>
      </c>
      <c r="G31" s="419">
        <f t="shared" si="11"/>
        <v>11468.314932432417</v>
      </c>
      <c r="H31" s="419">
        <f t="shared" si="11"/>
        <v>12014.42516731015</v>
      </c>
      <c r="I31" s="419">
        <f t="shared" si="11"/>
        <v>12014.42516731015</v>
      </c>
      <c r="J31" s="419">
        <f t="shared" si="11"/>
        <v>12014.42516731015</v>
      </c>
      <c r="K31" s="419">
        <f t="shared" si="11"/>
        <v>12014.42516731015</v>
      </c>
      <c r="L31" s="419">
        <f t="shared" si="11"/>
        <v>11468.314932432417</v>
      </c>
      <c r="M31" s="419">
        <f t="shared" si="11"/>
        <v>11468.314932432417</v>
      </c>
      <c r="N31" s="419">
        <f t="shared" si="11"/>
        <v>13106.64563706562</v>
      </c>
      <c r="O31" s="411">
        <f>SUMIF('Tab. 10'!$B$6:$B$38,B28,'Tab. 10'!$H$6:$H$38)</f>
        <v>141442.55083333314</v>
      </c>
      <c r="Q31" s="411">
        <f t="shared" si="10"/>
        <v>13106.64563706562</v>
      </c>
    </row>
    <row r="32" spans="2:17" s="4" customFormat="1" ht="16" x14ac:dyDescent="0.2">
      <c r="B32" s="384" t="s">
        <v>588</v>
      </c>
      <c r="C32" s="419">
        <f t="shared" si="11"/>
        <v>31206.923261853226</v>
      </c>
      <c r="D32" s="419">
        <f t="shared" si="11"/>
        <v>31206.923261853226</v>
      </c>
      <c r="E32" s="419">
        <f t="shared" si="11"/>
        <v>35887.96175113121</v>
      </c>
      <c r="F32" s="419">
        <f t="shared" si="11"/>
        <v>32767.269424945887</v>
      </c>
      <c r="G32" s="419">
        <f t="shared" si="11"/>
        <v>32767.269424945887</v>
      </c>
      <c r="H32" s="419">
        <f t="shared" si="11"/>
        <v>34327.615588038549</v>
      </c>
      <c r="I32" s="419">
        <f t="shared" si="11"/>
        <v>34327.615588038549</v>
      </c>
      <c r="J32" s="419">
        <f t="shared" si="11"/>
        <v>34327.615588038549</v>
      </c>
      <c r="K32" s="419">
        <f t="shared" si="11"/>
        <v>34327.615588038549</v>
      </c>
      <c r="L32" s="419">
        <f t="shared" si="11"/>
        <v>32767.269424945887</v>
      </c>
      <c r="M32" s="419">
        <f t="shared" si="11"/>
        <v>32767.269424945887</v>
      </c>
      <c r="N32" s="419">
        <f t="shared" si="11"/>
        <v>37448.307914223871</v>
      </c>
      <c r="O32" s="411">
        <f>SUMIF('Tab. 10'!$B$6:$B$38,B28,'Tab. 10'!$E$6:$E$38)</f>
        <v>404129.65624099929</v>
      </c>
      <c r="Q32" s="411">
        <f t="shared" si="10"/>
        <v>37448.307914223871</v>
      </c>
    </row>
    <row r="33" spans="2:17" s="4" customFormat="1" ht="16" x14ac:dyDescent="0.2">
      <c r="B33" s="384" t="s">
        <v>589</v>
      </c>
      <c r="C33" s="419">
        <f t="shared" si="11"/>
        <v>2600.5769384877758</v>
      </c>
      <c r="D33" s="419">
        <f t="shared" si="11"/>
        <v>2600.5769384877758</v>
      </c>
      <c r="E33" s="419">
        <f t="shared" si="11"/>
        <v>2990.6634792609425</v>
      </c>
      <c r="F33" s="419">
        <f t="shared" si="11"/>
        <v>2730.605785412165</v>
      </c>
      <c r="G33" s="419">
        <f t="shared" si="11"/>
        <v>2730.605785412165</v>
      </c>
      <c r="H33" s="419">
        <f t="shared" si="11"/>
        <v>2860.6346323365538</v>
      </c>
      <c r="I33" s="419">
        <f t="shared" si="11"/>
        <v>2860.6346323365538</v>
      </c>
      <c r="J33" s="419">
        <f t="shared" si="11"/>
        <v>2860.6346323365538</v>
      </c>
      <c r="K33" s="419">
        <f t="shared" si="11"/>
        <v>2860.6346323365538</v>
      </c>
      <c r="L33" s="419">
        <f t="shared" si="11"/>
        <v>2730.605785412165</v>
      </c>
      <c r="M33" s="419">
        <f t="shared" si="11"/>
        <v>2730.605785412165</v>
      </c>
      <c r="N33" s="419">
        <f t="shared" si="11"/>
        <v>3120.6923261853312</v>
      </c>
      <c r="O33" s="411">
        <f>SUMIF('Tab. 10'!$B$6:$B$38,B28,'Tab. 10'!$G$6:$G$38)</f>
        <v>33677.471353416702</v>
      </c>
      <c r="Q33" s="411">
        <f t="shared" si="10"/>
        <v>3120.6923261853312</v>
      </c>
    </row>
    <row r="34" spans="2:17" s="4" customFormat="1" ht="16" x14ac:dyDescent="0.2">
      <c r="B34" s="384" t="s">
        <v>590</v>
      </c>
      <c r="C34" s="419">
        <f t="shared" si="11"/>
        <v>2600.5769384877758</v>
      </c>
      <c r="D34" s="419">
        <f t="shared" si="11"/>
        <v>2600.5769384877758</v>
      </c>
      <c r="E34" s="419">
        <f t="shared" si="11"/>
        <v>2990.6634792609425</v>
      </c>
      <c r="F34" s="419">
        <f t="shared" si="11"/>
        <v>2730.605785412165</v>
      </c>
      <c r="G34" s="419">
        <f t="shared" si="11"/>
        <v>2730.605785412165</v>
      </c>
      <c r="H34" s="419">
        <f t="shared" si="11"/>
        <v>2860.6346323365538</v>
      </c>
      <c r="I34" s="419">
        <f t="shared" si="11"/>
        <v>2860.6346323365538</v>
      </c>
      <c r="J34" s="419">
        <f t="shared" si="11"/>
        <v>2860.6346323365538</v>
      </c>
      <c r="K34" s="419">
        <f t="shared" si="11"/>
        <v>2860.6346323365538</v>
      </c>
      <c r="L34" s="419">
        <f t="shared" si="11"/>
        <v>2730.605785412165</v>
      </c>
      <c r="M34" s="419">
        <f t="shared" si="11"/>
        <v>2730.605785412165</v>
      </c>
      <c r="N34" s="419">
        <f t="shared" si="11"/>
        <v>3120.6923261853312</v>
      </c>
      <c r="O34" s="411">
        <f>SUMIF('Tab. 10'!$B$6:$B$38,B28,'Tab. 10'!$I$6:$I$38)</f>
        <v>33677.471353416702</v>
      </c>
      <c r="Q34" s="411">
        <f t="shared" si="10"/>
        <v>3120.6923261853312</v>
      </c>
    </row>
    <row r="35" spans="2:17" s="4" customFormat="1" ht="17" thickBot="1" x14ac:dyDescent="0.25">
      <c r="B35" s="384" t="s">
        <v>48</v>
      </c>
      <c r="C35" s="419">
        <f t="shared" si="11"/>
        <v>9708.6263978264287</v>
      </c>
      <c r="D35" s="419">
        <f t="shared" si="11"/>
        <v>9708.6263978264287</v>
      </c>
      <c r="E35" s="419">
        <f t="shared" si="11"/>
        <v>11164.920357500392</v>
      </c>
      <c r="F35" s="419">
        <f t="shared" si="11"/>
        <v>10194.057717717751</v>
      </c>
      <c r="G35" s="419">
        <f t="shared" si="11"/>
        <v>10194.057717717751</v>
      </c>
      <c r="H35" s="419">
        <f t="shared" si="11"/>
        <v>10679.489037609072</v>
      </c>
      <c r="I35" s="419">
        <f t="shared" si="11"/>
        <v>10679.489037609072</v>
      </c>
      <c r="J35" s="419">
        <f t="shared" si="11"/>
        <v>10679.489037609072</v>
      </c>
      <c r="K35" s="419">
        <f t="shared" si="11"/>
        <v>10679.489037609072</v>
      </c>
      <c r="L35" s="419">
        <f t="shared" si="11"/>
        <v>10194.057717717751</v>
      </c>
      <c r="M35" s="419">
        <f t="shared" si="11"/>
        <v>10194.057717717751</v>
      </c>
      <c r="N35" s="419">
        <f t="shared" si="11"/>
        <v>11650.351677391714</v>
      </c>
      <c r="O35" s="411">
        <f>SUMIF('Tab. 10'!$B$6:$B$38,B28,'Tab. 10'!$J$6:$J$38)</f>
        <v>125726.71185185225</v>
      </c>
      <c r="Q35" s="411">
        <f t="shared" si="10"/>
        <v>11650.351677391714</v>
      </c>
    </row>
    <row r="36" spans="2:17" s="4" customFormat="1" ht="17" thickBot="1" x14ac:dyDescent="0.25">
      <c r="B36" s="401" t="s">
        <v>3</v>
      </c>
      <c r="C36" s="348">
        <f t="shared" ref="C36:O36" si="12">SUM(C29:C35)</f>
        <v>199027.56930242115</v>
      </c>
      <c r="D36" s="348">
        <f t="shared" si="12"/>
        <v>199027.56930242115</v>
      </c>
      <c r="E36" s="348">
        <f t="shared" si="12"/>
        <v>228881.70469778439</v>
      </c>
      <c r="F36" s="348">
        <f t="shared" si="12"/>
        <v>208978.94776754224</v>
      </c>
      <c r="G36" s="348">
        <f t="shared" si="12"/>
        <v>208978.94776754224</v>
      </c>
      <c r="H36" s="348">
        <f t="shared" si="12"/>
        <v>218930.32623266333</v>
      </c>
      <c r="I36" s="348">
        <f t="shared" si="12"/>
        <v>218930.32623266333</v>
      </c>
      <c r="J36" s="348">
        <f t="shared" si="12"/>
        <v>218930.32623266333</v>
      </c>
      <c r="K36" s="348">
        <f t="shared" si="12"/>
        <v>218930.32623266333</v>
      </c>
      <c r="L36" s="348">
        <f t="shared" si="12"/>
        <v>208978.94776754224</v>
      </c>
      <c r="M36" s="348">
        <f t="shared" si="12"/>
        <v>208978.94776754224</v>
      </c>
      <c r="N36" s="348">
        <f t="shared" si="12"/>
        <v>238833.08316290539</v>
      </c>
      <c r="O36" s="412">
        <f t="shared" si="12"/>
        <v>2577407.022466355</v>
      </c>
      <c r="Q36" s="412">
        <f>SUM(Q29:Q35)</f>
        <v>238833.08316290539</v>
      </c>
    </row>
    <row r="37" spans="2:17" s="4" customFormat="1" ht="16" x14ac:dyDescent="0.2">
      <c r="B37" s="400" t="s">
        <v>306</v>
      </c>
      <c r="C37" s="419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411"/>
      <c r="Q37" s="411"/>
    </row>
    <row r="38" spans="2:17" s="4" customFormat="1" ht="16" x14ac:dyDescent="0.2">
      <c r="B38" s="384" t="s">
        <v>586</v>
      </c>
      <c r="C38" s="419">
        <f>+$O38/$O$6*C$6</f>
        <v>34923.518146718146</v>
      </c>
      <c r="D38" s="419">
        <f t="shared" ref="D38:N38" si="13">+$O38/$O$6*D$6</f>
        <v>34923.518146718146</v>
      </c>
      <c r="E38" s="419">
        <f t="shared" si="13"/>
        <v>40162.045868725872</v>
      </c>
      <c r="F38" s="419">
        <f t="shared" si="13"/>
        <v>36669.694054054053</v>
      </c>
      <c r="G38" s="419">
        <f t="shared" si="13"/>
        <v>36669.694054054053</v>
      </c>
      <c r="H38" s="419">
        <f t="shared" si="13"/>
        <v>38415.869961389959</v>
      </c>
      <c r="I38" s="419">
        <f t="shared" si="13"/>
        <v>38415.869961389959</v>
      </c>
      <c r="J38" s="419">
        <f t="shared" si="13"/>
        <v>38415.869961389959</v>
      </c>
      <c r="K38" s="419">
        <f t="shared" si="13"/>
        <v>38415.869961389959</v>
      </c>
      <c r="L38" s="419">
        <f t="shared" si="13"/>
        <v>36669.694054054053</v>
      </c>
      <c r="M38" s="419">
        <f t="shared" si="13"/>
        <v>36669.694054054053</v>
      </c>
      <c r="N38" s="419">
        <f t="shared" si="13"/>
        <v>41908.221776061779</v>
      </c>
      <c r="O38" s="411">
        <f>SUMIF('Tab. 10'!$B$6:$B$38,B37,'Tab. 10'!$D$6:$D$38)</f>
        <v>452259.56</v>
      </c>
      <c r="Q38" s="411">
        <f t="shared" ref="Q38:Q44" si="14">O38/$O$6*$O$7</f>
        <v>41908.221776061779</v>
      </c>
    </row>
    <row r="39" spans="2:17" s="4" customFormat="1" ht="16" x14ac:dyDescent="0.2">
      <c r="B39" s="384" t="s">
        <v>44</v>
      </c>
      <c r="C39" s="419">
        <f t="shared" ref="C39:N44" si="15">+$O39/$O$6*C$6</f>
        <v>2910.2931788931796</v>
      </c>
      <c r="D39" s="419">
        <f t="shared" si="15"/>
        <v>2910.2931788931796</v>
      </c>
      <c r="E39" s="419">
        <f t="shared" si="15"/>
        <v>3346.8371557271566</v>
      </c>
      <c r="F39" s="419">
        <f t="shared" si="15"/>
        <v>3055.8078378378386</v>
      </c>
      <c r="G39" s="419">
        <f t="shared" si="15"/>
        <v>3055.8078378378386</v>
      </c>
      <c r="H39" s="419">
        <f t="shared" si="15"/>
        <v>3201.3224967824976</v>
      </c>
      <c r="I39" s="419">
        <f t="shared" si="15"/>
        <v>3201.3224967824976</v>
      </c>
      <c r="J39" s="419">
        <f t="shared" si="15"/>
        <v>3201.3224967824976</v>
      </c>
      <c r="K39" s="419">
        <f t="shared" si="15"/>
        <v>3201.3224967824976</v>
      </c>
      <c r="L39" s="419">
        <f t="shared" si="15"/>
        <v>3055.8078378378386</v>
      </c>
      <c r="M39" s="419">
        <f t="shared" si="15"/>
        <v>3055.8078378378386</v>
      </c>
      <c r="N39" s="419">
        <f t="shared" si="15"/>
        <v>3492.3518146718152</v>
      </c>
      <c r="O39" s="411">
        <f>SUMIF('Tab. 10'!$B$6:$B$38,B37,'Tab. 10'!$F$6:$F$38)</f>
        <v>37688.296666666676</v>
      </c>
      <c r="Q39" s="411">
        <f t="shared" si="14"/>
        <v>3492.3518146718152</v>
      </c>
    </row>
    <row r="40" spans="2:17" s="4" customFormat="1" ht="16" x14ac:dyDescent="0.2">
      <c r="B40" s="384" t="s">
        <v>45</v>
      </c>
      <c r="C40" s="419">
        <f t="shared" si="15"/>
        <v>2910.2931788931796</v>
      </c>
      <c r="D40" s="419">
        <f t="shared" si="15"/>
        <v>2910.2931788931796</v>
      </c>
      <c r="E40" s="419">
        <f t="shared" si="15"/>
        <v>3346.8371557271566</v>
      </c>
      <c r="F40" s="419">
        <f t="shared" si="15"/>
        <v>3055.8078378378386</v>
      </c>
      <c r="G40" s="419">
        <f t="shared" si="15"/>
        <v>3055.8078378378386</v>
      </c>
      <c r="H40" s="419">
        <f t="shared" si="15"/>
        <v>3201.3224967824976</v>
      </c>
      <c r="I40" s="419">
        <f t="shared" si="15"/>
        <v>3201.3224967824976</v>
      </c>
      <c r="J40" s="419">
        <f t="shared" si="15"/>
        <v>3201.3224967824976</v>
      </c>
      <c r="K40" s="419">
        <f t="shared" si="15"/>
        <v>3201.3224967824976</v>
      </c>
      <c r="L40" s="419">
        <f t="shared" si="15"/>
        <v>3055.8078378378386</v>
      </c>
      <c r="M40" s="419">
        <f t="shared" si="15"/>
        <v>3055.8078378378386</v>
      </c>
      <c r="N40" s="419">
        <f t="shared" si="15"/>
        <v>3492.3518146718152</v>
      </c>
      <c r="O40" s="411">
        <f>SUMIF('Tab. 10'!$B$6:$B$38,B37,'Tab. 10'!$H$6:$H$38)</f>
        <v>37688.296666666676</v>
      </c>
      <c r="Q40" s="411">
        <f t="shared" si="14"/>
        <v>3492.3518146718152</v>
      </c>
    </row>
    <row r="41" spans="2:17" s="4" customFormat="1" ht="16" x14ac:dyDescent="0.2">
      <c r="B41" s="384" t="s">
        <v>588</v>
      </c>
      <c r="C41" s="419">
        <f t="shared" si="15"/>
        <v>8315.2896707335894</v>
      </c>
      <c r="D41" s="419">
        <f t="shared" si="15"/>
        <v>8315.2896707335894</v>
      </c>
      <c r="E41" s="419">
        <f t="shared" si="15"/>
        <v>9562.5831213436286</v>
      </c>
      <c r="F41" s="419">
        <f t="shared" si="15"/>
        <v>8731.0541542702704</v>
      </c>
      <c r="G41" s="419">
        <f t="shared" si="15"/>
        <v>8731.0541542702704</v>
      </c>
      <c r="H41" s="419">
        <f t="shared" si="15"/>
        <v>9146.8186378069495</v>
      </c>
      <c r="I41" s="419">
        <f t="shared" si="15"/>
        <v>9146.8186378069495</v>
      </c>
      <c r="J41" s="419">
        <f t="shared" si="15"/>
        <v>9146.8186378069495</v>
      </c>
      <c r="K41" s="419">
        <f t="shared" si="15"/>
        <v>9146.8186378069495</v>
      </c>
      <c r="L41" s="419">
        <f t="shared" si="15"/>
        <v>8731.0541542702704</v>
      </c>
      <c r="M41" s="419">
        <f t="shared" si="15"/>
        <v>8731.0541542702704</v>
      </c>
      <c r="N41" s="419">
        <f t="shared" si="15"/>
        <v>9978.3476048803077</v>
      </c>
      <c r="O41" s="411">
        <f>SUMIF('Tab. 10'!$B$6:$B$38,B37,'Tab. 10'!$E$6:$E$38)</f>
        <v>107683.001236</v>
      </c>
      <c r="Q41" s="411">
        <f t="shared" si="14"/>
        <v>9978.3476048803077</v>
      </c>
    </row>
    <row r="42" spans="2:17" s="4" customFormat="1" ht="16" x14ac:dyDescent="0.2">
      <c r="B42" s="384" t="s">
        <v>589</v>
      </c>
      <c r="C42" s="419">
        <f t="shared" si="15"/>
        <v>692.94080589446594</v>
      </c>
      <c r="D42" s="419">
        <f t="shared" si="15"/>
        <v>692.94080589446594</v>
      </c>
      <c r="E42" s="419">
        <f t="shared" si="15"/>
        <v>796.88192677863583</v>
      </c>
      <c r="F42" s="419">
        <f t="shared" si="15"/>
        <v>727.58784618918924</v>
      </c>
      <c r="G42" s="419">
        <f t="shared" si="15"/>
        <v>727.58784618918924</v>
      </c>
      <c r="H42" s="419">
        <f t="shared" si="15"/>
        <v>762.23488648391253</v>
      </c>
      <c r="I42" s="419">
        <f t="shared" si="15"/>
        <v>762.23488648391253</v>
      </c>
      <c r="J42" s="419">
        <f t="shared" si="15"/>
        <v>762.23488648391253</v>
      </c>
      <c r="K42" s="419">
        <f t="shared" si="15"/>
        <v>762.23488648391253</v>
      </c>
      <c r="L42" s="419">
        <f t="shared" si="15"/>
        <v>727.58784618918924</v>
      </c>
      <c r="M42" s="419">
        <f t="shared" si="15"/>
        <v>727.58784618918924</v>
      </c>
      <c r="N42" s="419">
        <f t="shared" si="15"/>
        <v>831.52896707335913</v>
      </c>
      <c r="O42" s="411">
        <f>SUMIF('Tab. 10'!$B$6:$B$38,B37,'Tab. 10'!$G$6:$G$38)</f>
        <v>8973.5834363333342</v>
      </c>
      <c r="Q42" s="411">
        <f t="shared" si="14"/>
        <v>831.52896707335913</v>
      </c>
    </row>
    <row r="43" spans="2:17" s="4" customFormat="1" ht="16" x14ac:dyDescent="0.2">
      <c r="B43" s="384" t="s">
        <v>590</v>
      </c>
      <c r="C43" s="419">
        <f t="shared" si="15"/>
        <v>692.94080589446594</v>
      </c>
      <c r="D43" s="419">
        <f t="shared" si="15"/>
        <v>692.94080589446594</v>
      </c>
      <c r="E43" s="419">
        <f t="shared" si="15"/>
        <v>796.88192677863583</v>
      </c>
      <c r="F43" s="419">
        <f t="shared" si="15"/>
        <v>727.58784618918924</v>
      </c>
      <c r="G43" s="419">
        <f t="shared" si="15"/>
        <v>727.58784618918924</v>
      </c>
      <c r="H43" s="419">
        <f t="shared" si="15"/>
        <v>762.23488648391253</v>
      </c>
      <c r="I43" s="419">
        <f t="shared" si="15"/>
        <v>762.23488648391253</v>
      </c>
      <c r="J43" s="419">
        <f t="shared" si="15"/>
        <v>762.23488648391253</v>
      </c>
      <c r="K43" s="419">
        <f t="shared" si="15"/>
        <v>762.23488648391253</v>
      </c>
      <c r="L43" s="419">
        <f t="shared" si="15"/>
        <v>727.58784618918924</v>
      </c>
      <c r="M43" s="419">
        <f t="shared" si="15"/>
        <v>727.58784618918924</v>
      </c>
      <c r="N43" s="419">
        <f t="shared" si="15"/>
        <v>831.52896707335913</v>
      </c>
      <c r="O43" s="411">
        <f>SUMIF('Tab. 10'!$B$6:$B$38,B37,'Tab. 10'!$I$6:$I$38)</f>
        <v>8973.5834363333342</v>
      </c>
      <c r="Q43" s="411">
        <f t="shared" si="14"/>
        <v>831.52896707335913</v>
      </c>
    </row>
    <row r="44" spans="2:17" s="4" customFormat="1" ht="17" thickBot="1" x14ac:dyDescent="0.25">
      <c r="B44" s="384" t="s">
        <v>48</v>
      </c>
      <c r="C44" s="419">
        <f t="shared" si="15"/>
        <v>2586.9272701272703</v>
      </c>
      <c r="D44" s="419">
        <f t="shared" si="15"/>
        <v>2586.9272701272703</v>
      </c>
      <c r="E44" s="419">
        <f t="shared" si="15"/>
        <v>2974.9663606463605</v>
      </c>
      <c r="F44" s="419">
        <f t="shared" si="15"/>
        <v>2716.2736336336334</v>
      </c>
      <c r="G44" s="419">
        <f t="shared" si="15"/>
        <v>2716.2736336336334</v>
      </c>
      <c r="H44" s="419">
        <f t="shared" si="15"/>
        <v>2845.6199971399969</v>
      </c>
      <c r="I44" s="419">
        <f t="shared" si="15"/>
        <v>2845.6199971399969</v>
      </c>
      <c r="J44" s="419">
        <f t="shared" si="15"/>
        <v>2845.6199971399969</v>
      </c>
      <c r="K44" s="419">
        <f t="shared" si="15"/>
        <v>2845.6199971399969</v>
      </c>
      <c r="L44" s="419">
        <f t="shared" si="15"/>
        <v>2716.2736336336334</v>
      </c>
      <c r="M44" s="419">
        <f t="shared" si="15"/>
        <v>2716.2736336336334</v>
      </c>
      <c r="N44" s="419">
        <f t="shared" si="15"/>
        <v>3104.3127241527241</v>
      </c>
      <c r="O44" s="411">
        <f>SUMIF('Tab. 10'!$B$6:$B$38,B37,'Tab. 10'!$J$6:$J$38)</f>
        <v>33500.708148148144</v>
      </c>
      <c r="Q44" s="411">
        <f t="shared" si="14"/>
        <v>3104.3127241527241</v>
      </c>
    </row>
    <row r="45" spans="2:17" s="4" customFormat="1" ht="17" thickBot="1" x14ac:dyDescent="0.25">
      <c r="B45" s="401" t="s">
        <v>3</v>
      </c>
      <c r="C45" s="348">
        <f t="shared" ref="C45:O45" si="16">SUM(C38:C44)</f>
        <v>53032.203057154307</v>
      </c>
      <c r="D45" s="348">
        <f t="shared" si="16"/>
        <v>53032.203057154307</v>
      </c>
      <c r="E45" s="348">
        <f t="shared" si="16"/>
        <v>60987.033515727453</v>
      </c>
      <c r="F45" s="348">
        <f t="shared" si="16"/>
        <v>55683.81321001202</v>
      </c>
      <c r="G45" s="348">
        <f t="shared" si="16"/>
        <v>55683.81321001202</v>
      </c>
      <c r="H45" s="348">
        <f t="shared" si="16"/>
        <v>58335.42336286974</v>
      </c>
      <c r="I45" s="348">
        <f t="shared" si="16"/>
        <v>58335.42336286974</v>
      </c>
      <c r="J45" s="348">
        <f t="shared" si="16"/>
        <v>58335.42336286974</v>
      </c>
      <c r="K45" s="348">
        <f t="shared" si="16"/>
        <v>58335.42336286974</v>
      </c>
      <c r="L45" s="348">
        <f t="shared" si="16"/>
        <v>55683.81321001202</v>
      </c>
      <c r="M45" s="348">
        <f t="shared" si="16"/>
        <v>55683.81321001202</v>
      </c>
      <c r="N45" s="348">
        <f t="shared" si="16"/>
        <v>63638.643668585159</v>
      </c>
      <c r="O45" s="412">
        <f t="shared" si="16"/>
        <v>686767.02959014813</v>
      </c>
      <c r="Q45" s="412">
        <f>SUM(Q38:Q44)</f>
        <v>63638.643668585159</v>
      </c>
    </row>
    <row r="46" spans="2:17" s="4" customFormat="1" ht="16" x14ac:dyDescent="0.2">
      <c r="B46" s="400" t="s">
        <v>332</v>
      </c>
      <c r="C46" s="419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411"/>
      <c r="Q46" s="411"/>
    </row>
    <row r="47" spans="2:17" s="4" customFormat="1" ht="16" x14ac:dyDescent="0.2">
      <c r="B47" s="384" t="s">
        <v>586</v>
      </c>
      <c r="C47" s="419">
        <f>+$O47/$O$6*C$6</f>
        <v>57176.626254826224</v>
      </c>
      <c r="D47" s="419">
        <f t="shared" ref="D47:N47" si="17">+$O47/$O$6*D$6</f>
        <v>57176.626254826224</v>
      </c>
      <c r="E47" s="419">
        <f t="shared" si="17"/>
        <v>65753.120193050156</v>
      </c>
      <c r="F47" s="419">
        <f t="shared" si="17"/>
        <v>60035.457567567537</v>
      </c>
      <c r="G47" s="419">
        <f t="shared" si="17"/>
        <v>60035.457567567537</v>
      </c>
      <c r="H47" s="419">
        <f t="shared" si="17"/>
        <v>62894.288880308843</v>
      </c>
      <c r="I47" s="419">
        <f t="shared" si="17"/>
        <v>62894.288880308843</v>
      </c>
      <c r="J47" s="419">
        <f t="shared" si="17"/>
        <v>62894.288880308843</v>
      </c>
      <c r="K47" s="419">
        <f t="shared" si="17"/>
        <v>62894.288880308843</v>
      </c>
      <c r="L47" s="419">
        <f t="shared" si="17"/>
        <v>60035.457567567537</v>
      </c>
      <c r="M47" s="419">
        <f t="shared" si="17"/>
        <v>60035.457567567537</v>
      </c>
      <c r="N47" s="419">
        <f t="shared" si="17"/>
        <v>68611.951505791469</v>
      </c>
      <c r="O47" s="411">
        <f>SUMIF('Tab. 10'!$B$6:$B$38,B46,'Tab. 10'!$D$6:$D$38)</f>
        <v>740437.30999999959</v>
      </c>
      <c r="Q47" s="411">
        <f t="shared" ref="Q47:Q53" si="18">O47/$O$6*$O$7</f>
        <v>68611.951505791469</v>
      </c>
    </row>
    <row r="48" spans="2:17" s="4" customFormat="1" ht="16" x14ac:dyDescent="0.2">
      <c r="B48" s="384" t="s">
        <v>44</v>
      </c>
      <c r="C48" s="419">
        <f t="shared" ref="C48:N53" si="19">+$O48/$O$6*C$6</f>
        <v>4764.718854568855</v>
      </c>
      <c r="D48" s="419">
        <f t="shared" si="19"/>
        <v>4764.718854568855</v>
      </c>
      <c r="E48" s="419">
        <f t="shared" si="19"/>
        <v>5479.4266827541833</v>
      </c>
      <c r="F48" s="419">
        <f t="shared" si="19"/>
        <v>5002.9547972972978</v>
      </c>
      <c r="G48" s="419">
        <f t="shared" si="19"/>
        <v>5002.9547972972978</v>
      </c>
      <c r="H48" s="419">
        <f t="shared" si="19"/>
        <v>5241.1907400257405</v>
      </c>
      <c r="I48" s="419">
        <f t="shared" si="19"/>
        <v>5241.1907400257405</v>
      </c>
      <c r="J48" s="419">
        <f t="shared" si="19"/>
        <v>5241.1907400257405</v>
      </c>
      <c r="K48" s="419">
        <f t="shared" si="19"/>
        <v>5241.1907400257405</v>
      </c>
      <c r="L48" s="419">
        <f t="shared" si="19"/>
        <v>5002.9547972972978</v>
      </c>
      <c r="M48" s="419">
        <f t="shared" si="19"/>
        <v>5002.9547972972978</v>
      </c>
      <c r="N48" s="419">
        <f t="shared" si="19"/>
        <v>5717.662625482626</v>
      </c>
      <c r="O48" s="411">
        <f>SUMIF('Tab. 10'!$B$6:$B$38,B46,'Tab. 10'!$F$6:$F$38)</f>
        <v>61703.109166666669</v>
      </c>
      <c r="Q48" s="411">
        <f t="shared" si="18"/>
        <v>5717.662625482626</v>
      </c>
    </row>
    <row r="49" spans="2:17" s="4" customFormat="1" ht="16" x14ac:dyDescent="0.2">
      <c r="B49" s="384" t="s">
        <v>45</v>
      </c>
      <c r="C49" s="419">
        <f t="shared" si="19"/>
        <v>4764.718854568855</v>
      </c>
      <c r="D49" s="419">
        <f t="shared" si="19"/>
        <v>4764.718854568855</v>
      </c>
      <c r="E49" s="419">
        <f t="shared" si="19"/>
        <v>5479.4266827541833</v>
      </c>
      <c r="F49" s="419">
        <f t="shared" si="19"/>
        <v>5002.9547972972978</v>
      </c>
      <c r="G49" s="419">
        <f t="shared" si="19"/>
        <v>5002.9547972972978</v>
      </c>
      <c r="H49" s="419">
        <f t="shared" si="19"/>
        <v>5241.1907400257405</v>
      </c>
      <c r="I49" s="419">
        <f t="shared" si="19"/>
        <v>5241.1907400257405</v>
      </c>
      <c r="J49" s="419">
        <f t="shared" si="19"/>
        <v>5241.1907400257405</v>
      </c>
      <c r="K49" s="419">
        <f t="shared" si="19"/>
        <v>5241.1907400257405</v>
      </c>
      <c r="L49" s="419">
        <f t="shared" si="19"/>
        <v>5002.9547972972978</v>
      </c>
      <c r="M49" s="419">
        <f t="shared" si="19"/>
        <v>5002.9547972972978</v>
      </c>
      <c r="N49" s="419">
        <f t="shared" si="19"/>
        <v>5717.662625482626</v>
      </c>
      <c r="O49" s="411">
        <f>SUMIF('Tab. 10'!$B$6:$B$38,B46,'Tab. 10'!$H$6:$H$38)</f>
        <v>61703.109166666669</v>
      </c>
      <c r="Q49" s="411">
        <f t="shared" si="18"/>
        <v>5717.662625482626</v>
      </c>
    </row>
    <row r="50" spans="2:17" s="4" customFormat="1" ht="16" x14ac:dyDescent="0.2">
      <c r="B50" s="384" t="s">
        <v>588</v>
      </c>
      <c r="C50" s="419">
        <f t="shared" si="19"/>
        <v>13613.754711274132</v>
      </c>
      <c r="D50" s="419">
        <f t="shared" si="19"/>
        <v>13613.754711274132</v>
      </c>
      <c r="E50" s="419">
        <f t="shared" si="19"/>
        <v>15655.817917965252</v>
      </c>
      <c r="F50" s="419">
        <f t="shared" si="19"/>
        <v>14294.442446837838</v>
      </c>
      <c r="G50" s="419">
        <f t="shared" si="19"/>
        <v>14294.442446837838</v>
      </c>
      <c r="H50" s="419">
        <f t="shared" si="19"/>
        <v>14975.130182401546</v>
      </c>
      <c r="I50" s="419">
        <f t="shared" si="19"/>
        <v>14975.130182401546</v>
      </c>
      <c r="J50" s="419">
        <f t="shared" si="19"/>
        <v>14975.130182401546</v>
      </c>
      <c r="K50" s="419">
        <f t="shared" si="19"/>
        <v>14975.130182401546</v>
      </c>
      <c r="L50" s="419">
        <f t="shared" si="19"/>
        <v>14294.442446837838</v>
      </c>
      <c r="M50" s="419">
        <f t="shared" si="19"/>
        <v>14294.442446837838</v>
      </c>
      <c r="N50" s="419">
        <f t="shared" si="19"/>
        <v>16336.505653528959</v>
      </c>
      <c r="O50" s="411">
        <f>SUMIF('Tab. 10'!$B$6:$B$38,B46,'Tab. 10'!$E$6:$E$38)</f>
        <v>176298.12351100001</v>
      </c>
      <c r="Q50" s="411">
        <f t="shared" si="18"/>
        <v>16336.505653528959</v>
      </c>
    </row>
    <row r="51" spans="2:17" s="4" customFormat="1" ht="16" x14ac:dyDescent="0.2">
      <c r="B51" s="384" t="s">
        <v>589</v>
      </c>
      <c r="C51" s="419">
        <f t="shared" si="19"/>
        <v>1134.4795592728444</v>
      </c>
      <c r="D51" s="419">
        <f t="shared" si="19"/>
        <v>1134.4795592728444</v>
      </c>
      <c r="E51" s="419">
        <f t="shared" si="19"/>
        <v>1304.651493163771</v>
      </c>
      <c r="F51" s="419">
        <f t="shared" si="19"/>
        <v>1191.2035372364867</v>
      </c>
      <c r="G51" s="419">
        <f t="shared" si="19"/>
        <v>1191.2035372364867</v>
      </c>
      <c r="H51" s="419">
        <f t="shared" si="19"/>
        <v>1247.9275152001289</v>
      </c>
      <c r="I51" s="419">
        <f t="shared" si="19"/>
        <v>1247.9275152001289</v>
      </c>
      <c r="J51" s="419">
        <f t="shared" si="19"/>
        <v>1247.9275152001289</v>
      </c>
      <c r="K51" s="419">
        <f t="shared" si="19"/>
        <v>1247.9275152001289</v>
      </c>
      <c r="L51" s="419">
        <f t="shared" si="19"/>
        <v>1191.2035372364867</v>
      </c>
      <c r="M51" s="419">
        <f t="shared" si="19"/>
        <v>1191.2035372364867</v>
      </c>
      <c r="N51" s="419">
        <f t="shared" si="19"/>
        <v>1361.3754711274132</v>
      </c>
      <c r="O51" s="411">
        <f>SUMIF('Tab. 10'!$B$6:$B$38,B46,'Tab. 10'!$G$6:$G$38)</f>
        <v>14691.510292583334</v>
      </c>
      <c r="Q51" s="411">
        <f t="shared" si="18"/>
        <v>1361.3754711274132</v>
      </c>
    </row>
    <row r="52" spans="2:17" s="4" customFormat="1" ht="16" x14ac:dyDescent="0.2">
      <c r="B52" s="384" t="s">
        <v>590</v>
      </c>
      <c r="C52" s="419">
        <f t="shared" si="19"/>
        <v>1134.4795592728444</v>
      </c>
      <c r="D52" s="419">
        <f t="shared" si="19"/>
        <v>1134.4795592728444</v>
      </c>
      <c r="E52" s="419">
        <f t="shared" si="19"/>
        <v>1304.651493163771</v>
      </c>
      <c r="F52" s="419">
        <f t="shared" si="19"/>
        <v>1191.2035372364867</v>
      </c>
      <c r="G52" s="419">
        <f t="shared" si="19"/>
        <v>1191.2035372364867</v>
      </c>
      <c r="H52" s="419">
        <f t="shared" si="19"/>
        <v>1247.9275152001289</v>
      </c>
      <c r="I52" s="419">
        <f t="shared" si="19"/>
        <v>1247.9275152001289</v>
      </c>
      <c r="J52" s="419">
        <f t="shared" si="19"/>
        <v>1247.9275152001289</v>
      </c>
      <c r="K52" s="419">
        <f t="shared" si="19"/>
        <v>1247.9275152001289</v>
      </c>
      <c r="L52" s="419">
        <f t="shared" si="19"/>
        <v>1191.2035372364867</v>
      </c>
      <c r="M52" s="419">
        <f t="shared" si="19"/>
        <v>1191.2035372364867</v>
      </c>
      <c r="N52" s="419">
        <f t="shared" si="19"/>
        <v>1361.3754711274132</v>
      </c>
      <c r="O52" s="411">
        <f>SUMIF('Tab. 10'!$B$6:$B$38,B46,'Tab. 10'!$I$6:$I$38)</f>
        <v>14691.510292583334</v>
      </c>
      <c r="Q52" s="411">
        <f t="shared" si="18"/>
        <v>1361.3754711274132</v>
      </c>
    </row>
    <row r="53" spans="2:17" s="4" customFormat="1" ht="17" thickBot="1" x14ac:dyDescent="0.25">
      <c r="B53" s="384" t="s">
        <v>48</v>
      </c>
      <c r="C53" s="419">
        <f t="shared" si="19"/>
        <v>4235.3056485056495</v>
      </c>
      <c r="D53" s="419">
        <f t="shared" si="19"/>
        <v>4235.3056485056495</v>
      </c>
      <c r="E53" s="419">
        <f t="shared" si="19"/>
        <v>4870.6014957814978</v>
      </c>
      <c r="F53" s="419">
        <f t="shared" si="19"/>
        <v>4447.0709309309323</v>
      </c>
      <c r="G53" s="419">
        <f t="shared" si="19"/>
        <v>4447.0709309309323</v>
      </c>
      <c r="H53" s="419">
        <f t="shared" si="19"/>
        <v>4658.836213356215</v>
      </c>
      <c r="I53" s="419">
        <f t="shared" si="19"/>
        <v>4658.836213356215</v>
      </c>
      <c r="J53" s="419">
        <f t="shared" si="19"/>
        <v>4658.836213356215</v>
      </c>
      <c r="K53" s="419">
        <f t="shared" si="19"/>
        <v>4658.836213356215</v>
      </c>
      <c r="L53" s="419">
        <f t="shared" si="19"/>
        <v>4447.0709309309323</v>
      </c>
      <c r="M53" s="419">
        <f t="shared" si="19"/>
        <v>4447.0709309309323</v>
      </c>
      <c r="N53" s="419">
        <f t="shared" si="19"/>
        <v>5082.3667782067796</v>
      </c>
      <c r="O53" s="411">
        <f>SUMIF('Tab. 10'!$B$6:$B$38,B46,'Tab. 10'!$J$6:$J$38)</f>
        <v>54847.208148148165</v>
      </c>
      <c r="Q53" s="411">
        <f t="shared" si="18"/>
        <v>5082.3667782067796</v>
      </c>
    </row>
    <row r="54" spans="2:17" s="4" customFormat="1" ht="17" thickBot="1" x14ac:dyDescent="0.25">
      <c r="B54" s="401" t="s">
        <v>3</v>
      </c>
      <c r="C54" s="348">
        <f t="shared" ref="C54:O54" si="20">SUM(C47:C53)</f>
        <v>86824.083442289411</v>
      </c>
      <c r="D54" s="348">
        <f t="shared" si="20"/>
        <v>86824.083442289411</v>
      </c>
      <c r="E54" s="348">
        <f t="shared" si="20"/>
        <v>99847.695958632801</v>
      </c>
      <c r="F54" s="348">
        <f t="shared" si="20"/>
        <v>91165.287614403889</v>
      </c>
      <c r="G54" s="348">
        <f t="shared" si="20"/>
        <v>91165.287614403889</v>
      </c>
      <c r="H54" s="348">
        <f t="shared" si="20"/>
        <v>95506.491786518352</v>
      </c>
      <c r="I54" s="348">
        <f t="shared" si="20"/>
        <v>95506.491786518352</v>
      </c>
      <c r="J54" s="348">
        <f t="shared" si="20"/>
        <v>95506.491786518352</v>
      </c>
      <c r="K54" s="348">
        <f t="shared" si="20"/>
        <v>95506.491786518352</v>
      </c>
      <c r="L54" s="348">
        <f t="shared" si="20"/>
        <v>91165.287614403889</v>
      </c>
      <c r="M54" s="348">
        <f t="shared" si="20"/>
        <v>91165.287614403889</v>
      </c>
      <c r="N54" s="348">
        <f t="shared" si="20"/>
        <v>104188.90013074728</v>
      </c>
      <c r="O54" s="412">
        <f t="shared" si="20"/>
        <v>1124371.8805776478</v>
      </c>
      <c r="Q54" s="412">
        <f>SUM(Q47:Q53)</f>
        <v>104188.90013074728</v>
      </c>
    </row>
    <row r="55" spans="2:17" s="4" customFormat="1" ht="16" x14ac:dyDescent="0.2">
      <c r="B55" s="400" t="s">
        <v>580</v>
      </c>
      <c r="C55" s="419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411"/>
      <c r="Q55" s="411"/>
    </row>
    <row r="56" spans="2:17" s="403" customFormat="1" ht="16" hidden="1" outlineLevel="1" x14ac:dyDescent="0.2">
      <c r="B56" s="402" t="s">
        <v>586</v>
      </c>
      <c r="C56" s="420">
        <f>+$O56/$O$6*C$6</f>
        <v>11322.338996138995</v>
      </c>
      <c r="D56" s="420">
        <f t="shared" ref="D56:N56" si="21">+$O56/$O$6*D$6</f>
        <v>11322.338996138995</v>
      </c>
      <c r="E56" s="420">
        <f t="shared" si="21"/>
        <v>13020.689845559844</v>
      </c>
      <c r="F56" s="420">
        <f t="shared" si="21"/>
        <v>11888.455945945943</v>
      </c>
      <c r="G56" s="420">
        <f t="shared" si="21"/>
        <v>11888.455945945943</v>
      </c>
      <c r="H56" s="420">
        <f t="shared" si="21"/>
        <v>12454.572895752894</v>
      </c>
      <c r="I56" s="420">
        <f t="shared" si="21"/>
        <v>12454.572895752894</v>
      </c>
      <c r="J56" s="420">
        <f t="shared" si="21"/>
        <v>12454.572895752894</v>
      </c>
      <c r="K56" s="420">
        <f t="shared" si="21"/>
        <v>12454.572895752894</v>
      </c>
      <c r="L56" s="420">
        <f t="shared" si="21"/>
        <v>11888.455945945943</v>
      </c>
      <c r="M56" s="420">
        <f t="shared" si="21"/>
        <v>11888.455945945943</v>
      </c>
      <c r="N56" s="420">
        <f t="shared" si="21"/>
        <v>13586.806795366792</v>
      </c>
      <c r="O56" s="413">
        <f>SUMIF('Tab. 10'!$B$6:$B$38,B55,'Tab. 10'!$D$6:$D$38)</f>
        <v>146624.28999999998</v>
      </c>
      <c r="Q56" s="413">
        <f t="shared" ref="Q56:Q62" si="22">O56/$O$6*$O$7</f>
        <v>13586.806795366792</v>
      </c>
    </row>
    <row r="57" spans="2:17" s="403" customFormat="1" ht="16" hidden="1" outlineLevel="1" x14ac:dyDescent="0.2">
      <c r="B57" s="402" t="s">
        <v>44</v>
      </c>
      <c r="C57" s="420">
        <f t="shared" ref="C57:N62" si="23">+$O57/$O$6*C$6</f>
        <v>943.52824967824961</v>
      </c>
      <c r="D57" s="420">
        <f t="shared" si="23"/>
        <v>943.52824967824961</v>
      </c>
      <c r="E57" s="420">
        <f t="shared" si="23"/>
        <v>1085.0574871299871</v>
      </c>
      <c r="F57" s="420">
        <f t="shared" si="23"/>
        <v>990.70466216216209</v>
      </c>
      <c r="G57" s="420">
        <f t="shared" si="23"/>
        <v>990.70466216216209</v>
      </c>
      <c r="H57" s="420">
        <f t="shared" si="23"/>
        <v>1037.8810746460745</v>
      </c>
      <c r="I57" s="420">
        <f t="shared" si="23"/>
        <v>1037.8810746460745</v>
      </c>
      <c r="J57" s="420">
        <f t="shared" si="23"/>
        <v>1037.8810746460745</v>
      </c>
      <c r="K57" s="420">
        <f t="shared" si="23"/>
        <v>1037.8810746460745</v>
      </c>
      <c r="L57" s="420">
        <f t="shared" si="23"/>
        <v>990.70466216216209</v>
      </c>
      <c r="M57" s="420">
        <f t="shared" si="23"/>
        <v>990.70466216216209</v>
      </c>
      <c r="N57" s="420">
        <f t="shared" si="23"/>
        <v>1132.2338996138994</v>
      </c>
      <c r="O57" s="413">
        <f>SUMIF('Tab. 10'!$B$6:$B$38,B55,'Tab. 10'!$F$6:$F$38)</f>
        <v>12218.690833333332</v>
      </c>
      <c r="Q57" s="413">
        <f t="shared" si="22"/>
        <v>1132.2338996138994</v>
      </c>
    </row>
    <row r="58" spans="2:17" s="403" customFormat="1" ht="16" hidden="1" outlineLevel="1" x14ac:dyDescent="0.2">
      <c r="B58" s="402" t="s">
        <v>45</v>
      </c>
      <c r="C58" s="420">
        <f t="shared" si="23"/>
        <v>943.52824967824961</v>
      </c>
      <c r="D58" s="420">
        <f t="shared" si="23"/>
        <v>943.52824967824961</v>
      </c>
      <c r="E58" s="420">
        <f t="shared" si="23"/>
        <v>1085.0574871299871</v>
      </c>
      <c r="F58" s="420">
        <f t="shared" si="23"/>
        <v>990.70466216216209</v>
      </c>
      <c r="G58" s="420">
        <f t="shared" si="23"/>
        <v>990.70466216216209</v>
      </c>
      <c r="H58" s="420">
        <f t="shared" si="23"/>
        <v>1037.8810746460745</v>
      </c>
      <c r="I58" s="420">
        <f t="shared" si="23"/>
        <v>1037.8810746460745</v>
      </c>
      <c r="J58" s="420">
        <f t="shared" si="23"/>
        <v>1037.8810746460745</v>
      </c>
      <c r="K58" s="420">
        <f t="shared" si="23"/>
        <v>1037.8810746460745</v>
      </c>
      <c r="L58" s="420">
        <f t="shared" si="23"/>
        <v>990.70466216216209</v>
      </c>
      <c r="M58" s="420">
        <f t="shared" si="23"/>
        <v>990.70466216216209</v>
      </c>
      <c r="N58" s="420">
        <f t="shared" si="23"/>
        <v>1132.2338996138994</v>
      </c>
      <c r="O58" s="413">
        <f>SUMIF('Tab. 10'!$B$6:$B$38,B55,'Tab. 10'!$H$6:$H$38)</f>
        <v>12218.690833333332</v>
      </c>
      <c r="Q58" s="413">
        <f t="shared" si="22"/>
        <v>1132.2338996138994</v>
      </c>
    </row>
    <row r="59" spans="2:17" s="403" customFormat="1" ht="16" hidden="1" outlineLevel="1" x14ac:dyDescent="0.2">
      <c r="B59" s="402" t="s">
        <v>588</v>
      </c>
      <c r="C59" s="420">
        <f t="shared" si="23"/>
        <v>2695.8489149806951</v>
      </c>
      <c r="D59" s="420">
        <f t="shared" si="23"/>
        <v>2695.8489149806951</v>
      </c>
      <c r="E59" s="420">
        <f t="shared" si="23"/>
        <v>3100.2262522277993</v>
      </c>
      <c r="F59" s="420">
        <f t="shared" si="23"/>
        <v>2830.64136072973</v>
      </c>
      <c r="G59" s="420">
        <f t="shared" si="23"/>
        <v>2830.64136072973</v>
      </c>
      <c r="H59" s="420">
        <f t="shared" si="23"/>
        <v>2965.4338064787644</v>
      </c>
      <c r="I59" s="420">
        <f t="shared" si="23"/>
        <v>2965.4338064787644</v>
      </c>
      <c r="J59" s="420">
        <f t="shared" si="23"/>
        <v>2965.4338064787644</v>
      </c>
      <c r="K59" s="420">
        <f t="shared" si="23"/>
        <v>2965.4338064787644</v>
      </c>
      <c r="L59" s="420">
        <f t="shared" si="23"/>
        <v>2830.64136072973</v>
      </c>
      <c r="M59" s="420">
        <f t="shared" si="23"/>
        <v>2830.64136072973</v>
      </c>
      <c r="N59" s="420">
        <f t="shared" si="23"/>
        <v>3235.0186979768341</v>
      </c>
      <c r="O59" s="413">
        <f>SUMIF('Tab. 10'!$B$6:$B$38,B55,'Tab. 10'!$E$6:$E$38)</f>
        <v>34911.243449000001</v>
      </c>
      <c r="Q59" s="413">
        <f t="shared" si="22"/>
        <v>3235.0186979768341</v>
      </c>
    </row>
    <row r="60" spans="2:17" s="403" customFormat="1" ht="16" hidden="1" outlineLevel="1" x14ac:dyDescent="0.2">
      <c r="B60" s="402" t="s">
        <v>589</v>
      </c>
      <c r="C60" s="420">
        <f t="shared" si="23"/>
        <v>224.65407624839128</v>
      </c>
      <c r="D60" s="420">
        <f t="shared" si="23"/>
        <v>224.65407624839128</v>
      </c>
      <c r="E60" s="420">
        <f t="shared" si="23"/>
        <v>258.35218768564994</v>
      </c>
      <c r="F60" s="420">
        <f t="shared" si="23"/>
        <v>235.88678006081082</v>
      </c>
      <c r="G60" s="420">
        <f t="shared" si="23"/>
        <v>235.88678006081082</v>
      </c>
      <c r="H60" s="420">
        <f t="shared" si="23"/>
        <v>247.11948387323039</v>
      </c>
      <c r="I60" s="420">
        <f t="shared" si="23"/>
        <v>247.11948387323039</v>
      </c>
      <c r="J60" s="420">
        <f t="shared" si="23"/>
        <v>247.11948387323039</v>
      </c>
      <c r="K60" s="420">
        <f t="shared" si="23"/>
        <v>247.11948387323039</v>
      </c>
      <c r="L60" s="420">
        <f t="shared" si="23"/>
        <v>235.88678006081082</v>
      </c>
      <c r="M60" s="420">
        <f t="shared" si="23"/>
        <v>235.88678006081082</v>
      </c>
      <c r="N60" s="420">
        <f t="shared" si="23"/>
        <v>269.58489149806951</v>
      </c>
      <c r="O60" s="413">
        <f>SUMIF('Tab. 10'!$B$6:$B$38,B55,'Tab. 10'!$G$6:$G$38)</f>
        <v>2909.2702874166671</v>
      </c>
      <c r="Q60" s="413">
        <f t="shared" si="22"/>
        <v>269.58489149806951</v>
      </c>
    </row>
    <row r="61" spans="2:17" s="403" customFormat="1" ht="16" hidden="1" outlineLevel="1" x14ac:dyDescent="0.2">
      <c r="B61" s="402" t="s">
        <v>590</v>
      </c>
      <c r="C61" s="420">
        <f t="shared" si="23"/>
        <v>224.65407624839128</v>
      </c>
      <c r="D61" s="420">
        <f t="shared" si="23"/>
        <v>224.65407624839128</v>
      </c>
      <c r="E61" s="420">
        <f t="shared" si="23"/>
        <v>258.35218768564994</v>
      </c>
      <c r="F61" s="420">
        <f t="shared" si="23"/>
        <v>235.88678006081082</v>
      </c>
      <c r="G61" s="420">
        <f t="shared" si="23"/>
        <v>235.88678006081082</v>
      </c>
      <c r="H61" s="420">
        <f t="shared" si="23"/>
        <v>247.11948387323039</v>
      </c>
      <c r="I61" s="420">
        <f t="shared" si="23"/>
        <v>247.11948387323039</v>
      </c>
      <c r="J61" s="420">
        <f t="shared" si="23"/>
        <v>247.11948387323039</v>
      </c>
      <c r="K61" s="420">
        <f t="shared" si="23"/>
        <v>247.11948387323039</v>
      </c>
      <c r="L61" s="420">
        <f t="shared" si="23"/>
        <v>235.88678006081082</v>
      </c>
      <c r="M61" s="420">
        <f t="shared" si="23"/>
        <v>235.88678006081082</v>
      </c>
      <c r="N61" s="420">
        <f t="shared" si="23"/>
        <v>269.58489149806951</v>
      </c>
      <c r="O61" s="413">
        <f>SUMIF('Tab. 10'!$B$6:$B$38,B55,'Tab. 10'!$I$6:$I$38)</f>
        <v>2909.2702874166671</v>
      </c>
      <c r="Q61" s="413">
        <f t="shared" si="22"/>
        <v>269.58489149806951</v>
      </c>
    </row>
    <row r="62" spans="2:17" s="403" customFormat="1" ht="17" hidden="1" outlineLevel="1" thickBot="1" x14ac:dyDescent="0.25">
      <c r="B62" s="402" t="s">
        <v>48</v>
      </c>
      <c r="C62" s="420">
        <f t="shared" si="23"/>
        <v>838.69177749177754</v>
      </c>
      <c r="D62" s="420">
        <f t="shared" si="23"/>
        <v>838.69177749177754</v>
      </c>
      <c r="E62" s="420">
        <f t="shared" si="23"/>
        <v>964.49554411554413</v>
      </c>
      <c r="F62" s="420">
        <f t="shared" si="23"/>
        <v>880.62636636636637</v>
      </c>
      <c r="G62" s="420">
        <f t="shared" si="23"/>
        <v>880.62636636636637</v>
      </c>
      <c r="H62" s="420">
        <f t="shared" si="23"/>
        <v>922.56095524095531</v>
      </c>
      <c r="I62" s="420">
        <f t="shared" si="23"/>
        <v>922.56095524095531</v>
      </c>
      <c r="J62" s="420">
        <f t="shared" si="23"/>
        <v>922.56095524095531</v>
      </c>
      <c r="K62" s="420">
        <f t="shared" si="23"/>
        <v>922.56095524095531</v>
      </c>
      <c r="L62" s="420">
        <f t="shared" si="23"/>
        <v>880.62636636636637</v>
      </c>
      <c r="M62" s="420">
        <f t="shared" si="23"/>
        <v>880.62636636636637</v>
      </c>
      <c r="N62" s="420">
        <f t="shared" si="23"/>
        <v>1006.430132990133</v>
      </c>
      <c r="O62" s="413">
        <f>SUMIF('Tab. 10'!$B$6:$B$38,B55,'Tab. 10'!$J$6:$J$38)</f>
        <v>10861.058518518519</v>
      </c>
      <c r="Q62" s="413">
        <f t="shared" si="22"/>
        <v>1006.430132990133</v>
      </c>
    </row>
    <row r="63" spans="2:17" s="403" customFormat="1" ht="17" hidden="1" outlineLevel="1" thickBot="1" x14ac:dyDescent="0.25">
      <c r="B63" s="404" t="s">
        <v>592</v>
      </c>
      <c r="C63" s="405">
        <f t="shared" ref="C63:O63" si="24">SUM(C56:C62)</f>
        <v>17193.244340464749</v>
      </c>
      <c r="D63" s="405">
        <f t="shared" si="24"/>
        <v>17193.244340464749</v>
      </c>
      <c r="E63" s="405">
        <f t="shared" si="24"/>
        <v>19772.230991534459</v>
      </c>
      <c r="F63" s="405">
        <f t="shared" si="24"/>
        <v>18052.906557487982</v>
      </c>
      <c r="G63" s="405">
        <f t="shared" si="24"/>
        <v>18052.906557487982</v>
      </c>
      <c r="H63" s="405">
        <f t="shared" si="24"/>
        <v>18912.568774511223</v>
      </c>
      <c r="I63" s="405">
        <f t="shared" si="24"/>
        <v>18912.568774511223</v>
      </c>
      <c r="J63" s="405">
        <f t="shared" si="24"/>
        <v>18912.568774511223</v>
      </c>
      <c r="K63" s="405">
        <f t="shared" si="24"/>
        <v>18912.568774511223</v>
      </c>
      <c r="L63" s="405">
        <f t="shared" si="24"/>
        <v>18052.906557487982</v>
      </c>
      <c r="M63" s="405">
        <f t="shared" si="24"/>
        <v>18052.906557487982</v>
      </c>
      <c r="N63" s="405">
        <f t="shared" si="24"/>
        <v>20631.893208557696</v>
      </c>
      <c r="O63" s="414">
        <f t="shared" si="24"/>
        <v>222652.5142090185</v>
      </c>
      <c r="Q63" s="414">
        <f>SUM(Q56:Q62)</f>
        <v>20631.893208557696</v>
      </c>
    </row>
    <row r="64" spans="2:17" s="403" customFormat="1" ht="16" hidden="1" outlineLevel="1" x14ac:dyDescent="0.2">
      <c r="B64" s="402" t="s">
        <v>586</v>
      </c>
      <c r="C64" s="420">
        <v>0</v>
      </c>
      <c r="D64" s="420">
        <v>0</v>
      </c>
      <c r="E64" s="420">
        <f>'Tab. 10'!$E$45/$O$6*E$6</f>
        <v>1776.0617760617758</v>
      </c>
      <c r="F64" s="420">
        <f>'Tab. 10'!$E$45/$O$6*F$6</f>
        <v>1621.6216216216214</v>
      </c>
      <c r="G64" s="420">
        <f>'Tab. 10'!$E$45/$O$6*G$6</f>
        <v>1621.6216216216214</v>
      </c>
      <c r="H64" s="420">
        <f>'Tab. 10'!$E$45/$O$6*H$6</f>
        <v>1698.8416988416986</v>
      </c>
      <c r="I64" s="420">
        <f>'Tab. 10'!$E$45/$O$6*I$6</f>
        <v>1698.8416988416986</v>
      </c>
      <c r="J64" s="420">
        <f>'Tab. 10'!$E$45/$O$6*J$6</f>
        <v>1698.8416988416986</v>
      </c>
      <c r="K64" s="420">
        <f>'Tab. 10'!$E$45/$O$6*K$6</f>
        <v>1698.8416988416986</v>
      </c>
      <c r="L64" s="420">
        <f>'Tab. 10'!$E$45/$O$6*L$6</f>
        <v>1621.6216216216214</v>
      </c>
      <c r="M64" s="420">
        <f>'Tab. 10'!$E$45/$O$6*M$6</f>
        <v>1621.6216216216214</v>
      </c>
      <c r="N64" s="420">
        <f>'Tab. 10'!$E$45/$O$6*N$6</f>
        <v>1853.2818532818533</v>
      </c>
      <c r="O64" s="413">
        <f t="shared" ref="O64:O70" si="25">SUM(C64:N64)</f>
        <v>16911.196911196912</v>
      </c>
      <c r="Q64" s="413">
        <f>O64/$O$6*SUM($E$7:$N$7)</f>
        <v>1436.4723245032126</v>
      </c>
    </row>
    <row r="65" spans="2:17" s="403" customFormat="1" ht="16" hidden="1" outlineLevel="1" x14ac:dyDescent="0.2">
      <c r="B65" s="402" t="s">
        <v>44</v>
      </c>
      <c r="C65" s="420">
        <v>0</v>
      </c>
      <c r="D65" s="420">
        <v>0</v>
      </c>
      <c r="E65" s="420">
        <f>'Tab. 10'!$G$45/$O$6*E$6</f>
        <v>148.00514800514802</v>
      </c>
      <c r="F65" s="420">
        <f>'Tab. 10'!$G$45/$O$6*F$6</f>
        <v>135.13513513513513</v>
      </c>
      <c r="G65" s="420">
        <f>'Tab. 10'!$G$45/$O$6*G$6</f>
        <v>135.13513513513513</v>
      </c>
      <c r="H65" s="420">
        <f>'Tab. 10'!$G$45/$O$6*H$6</f>
        <v>141.57014157014157</v>
      </c>
      <c r="I65" s="420">
        <f>'Tab. 10'!$G$45/$O$6*I$6</f>
        <v>141.57014157014157</v>
      </c>
      <c r="J65" s="420">
        <f>'Tab. 10'!$G$45/$O$6*J$6</f>
        <v>141.57014157014157</v>
      </c>
      <c r="K65" s="420">
        <f>'Tab. 10'!$G$45/$O$6*K$6</f>
        <v>141.57014157014157</v>
      </c>
      <c r="L65" s="420">
        <f>'Tab. 10'!$G$45/$O$6*L$6</f>
        <v>135.13513513513513</v>
      </c>
      <c r="M65" s="420">
        <f>'Tab. 10'!$G$45/$O$6*M$6</f>
        <v>135.13513513513513</v>
      </c>
      <c r="N65" s="420">
        <f>'Tab. 10'!$G$45/$O$6*N$6</f>
        <v>154.44015444015443</v>
      </c>
      <c r="O65" s="413">
        <f t="shared" si="25"/>
        <v>1409.2664092664093</v>
      </c>
      <c r="Q65" s="413">
        <f t="shared" ref="Q65:Q70" si="26">O65/$O$6*SUM($E$7:$N$7)</f>
        <v>119.70602704193438</v>
      </c>
    </row>
    <row r="66" spans="2:17" s="403" customFormat="1" ht="16" hidden="1" outlineLevel="1" x14ac:dyDescent="0.2">
      <c r="B66" s="402" t="s">
        <v>45</v>
      </c>
      <c r="C66" s="420">
        <v>0</v>
      </c>
      <c r="D66" s="420">
        <v>0</v>
      </c>
      <c r="E66" s="420">
        <f>'Tab. 10'!$I$45/$O$6*E$6</f>
        <v>148.00514800514802</v>
      </c>
      <c r="F66" s="420">
        <f>'Tab. 10'!$I$45/$O$6*F$6</f>
        <v>135.13513513513513</v>
      </c>
      <c r="G66" s="420">
        <f>'Tab. 10'!$I$45/$O$6*G$6</f>
        <v>135.13513513513513</v>
      </c>
      <c r="H66" s="420">
        <f>'Tab. 10'!$I$45/$O$6*H$6</f>
        <v>141.57014157014157</v>
      </c>
      <c r="I66" s="420">
        <f>'Tab. 10'!$I$45/$O$6*I$6</f>
        <v>141.57014157014157</v>
      </c>
      <c r="J66" s="420">
        <f>'Tab. 10'!$I$45/$O$6*J$6</f>
        <v>141.57014157014157</v>
      </c>
      <c r="K66" s="420">
        <f>'Tab. 10'!$I$45/$O$6*K$6</f>
        <v>141.57014157014157</v>
      </c>
      <c r="L66" s="420">
        <f>'Tab. 10'!$I$45/$O$6*L$6</f>
        <v>135.13513513513513</v>
      </c>
      <c r="M66" s="420">
        <f>'Tab. 10'!$I$45/$O$6*M$6</f>
        <v>135.13513513513513</v>
      </c>
      <c r="N66" s="420">
        <f>'Tab. 10'!$I$45/$O$6*N$6</f>
        <v>154.44015444015443</v>
      </c>
      <c r="O66" s="413">
        <f t="shared" si="25"/>
        <v>1409.2664092664093</v>
      </c>
      <c r="Q66" s="413">
        <f t="shared" si="26"/>
        <v>119.70602704193438</v>
      </c>
    </row>
    <row r="67" spans="2:17" s="403" customFormat="1" ht="16" hidden="1" outlineLevel="1" x14ac:dyDescent="0.2">
      <c r="B67" s="402" t="s">
        <v>588</v>
      </c>
      <c r="C67" s="420">
        <v>0</v>
      </c>
      <c r="D67" s="420">
        <v>0</v>
      </c>
      <c r="E67" s="420">
        <f>'Tab. 10'!$F$45/$O$6*E$6</f>
        <v>422.88030888030886</v>
      </c>
      <c r="F67" s="420">
        <f>'Tab. 10'!$F$45/$O$6*F$6</f>
        <v>386.10810810810807</v>
      </c>
      <c r="G67" s="420">
        <f>'Tab. 10'!$F$45/$O$6*G$6</f>
        <v>386.10810810810807</v>
      </c>
      <c r="H67" s="420">
        <f>'Tab. 10'!$F$45/$O$6*H$6</f>
        <v>404.49420849420846</v>
      </c>
      <c r="I67" s="420">
        <f>'Tab. 10'!$F$45/$O$6*I$6</f>
        <v>404.49420849420846</v>
      </c>
      <c r="J67" s="420">
        <f>'Tab. 10'!$F$45/$O$6*J$6</f>
        <v>404.49420849420846</v>
      </c>
      <c r="K67" s="420">
        <f>'Tab. 10'!$F$45/$O$6*K$6</f>
        <v>404.49420849420846</v>
      </c>
      <c r="L67" s="420">
        <f>'Tab. 10'!$F$45/$O$6*L$6</f>
        <v>386.10810810810807</v>
      </c>
      <c r="M67" s="420">
        <f>'Tab. 10'!$F$45/$O$6*M$6</f>
        <v>386.10810810810807</v>
      </c>
      <c r="N67" s="420">
        <f>'Tab. 10'!$F$45/$O$6*N$6</f>
        <v>441.26640926640925</v>
      </c>
      <c r="O67" s="413">
        <f t="shared" si="25"/>
        <v>4026.5559845559847</v>
      </c>
      <c r="Q67" s="413">
        <f t="shared" si="26"/>
        <v>342.02406046421493</v>
      </c>
    </row>
    <row r="68" spans="2:17" s="403" customFormat="1" ht="16" hidden="1" outlineLevel="1" x14ac:dyDescent="0.2">
      <c r="B68" s="402" t="s">
        <v>589</v>
      </c>
      <c r="C68" s="420">
        <v>0</v>
      </c>
      <c r="D68" s="420">
        <v>0</v>
      </c>
      <c r="E68" s="420">
        <f>'Tab. 10'!$H$45/$O$6*E$6</f>
        <v>35.240025740025743</v>
      </c>
      <c r="F68" s="420">
        <f>'Tab. 10'!$H$45/$O$6*F$6</f>
        <v>32.175675675675677</v>
      </c>
      <c r="G68" s="420">
        <f>'Tab. 10'!$H$45/$O$6*G$6</f>
        <v>32.175675675675677</v>
      </c>
      <c r="H68" s="420">
        <f>'Tab. 10'!$H$45/$O$6*H$6</f>
        <v>33.70785070785071</v>
      </c>
      <c r="I68" s="420">
        <f>'Tab. 10'!$H$45/$O$6*I$6</f>
        <v>33.70785070785071</v>
      </c>
      <c r="J68" s="420">
        <f>'Tab. 10'!$H$45/$O$6*J$6</f>
        <v>33.70785070785071</v>
      </c>
      <c r="K68" s="420">
        <f>'Tab. 10'!$H$45/$O$6*K$6</f>
        <v>33.70785070785071</v>
      </c>
      <c r="L68" s="420">
        <f>'Tab. 10'!$H$45/$O$6*L$6</f>
        <v>32.175675675675677</v>
      </c>
      <c r="M68" s="420">
        <f>'Tab. 10'!$H$45/$O$6*M$6</f>
        <v>32.175675675675677</v>
      </c>
      <c r="N68" s="420">
        <f>'Tab. 10'!$H$45/$O$6*N$6</f>
        <v>36.772200772200776</v>
      </c>
      <c r="O68" s="413">
        <f t="shared" si="25"/>
        <v>335.54633204633205</v>
      </c>
      <c r="Q68" s="413">
        <f t="shared" si="26"/>
        <v>28.50200503868458</v>
      </c>
    </row>
    <row r="69" spans="2:17" s="403" customFormat="1" ht="16" hidden="1" outlineLevel="1" x14ac:dyDescent="0.2">
      <c r="B69" s="402" t="s">
        <v>590</v>
      </c>
      <c r="C69" s="420">
        <v>0</v>
      </c>
      <c r="D69" s="420">
        <v>0</v>
      </c>
      <c r="E69" s="420">
        <f>'Tab. 10'!$J$45/$O$6*E$6</f>
        <v>35.240025740025743</v>
      </c>
      <c r="F69" s="420">
        <f>'Tab. 10'!$J$45/$O$6*F$6</f>
        <v>32.175675675675677</v>
      </c>
      <c r="G69" s="420">
        <f>'Tab. 10'!$J$45/$O$6*G$6</f>
        <v>32.175675675675677</v>
      </c>
      <c r="H69" s="420">
        <f>'Tab. 10'!$J$45/$O$6*H$6</f>
        <v>33.70785070785071</v>
      </c>
      <c r="I69" s="420">
        <f>'Tab. 10'!$J$45/$O$6*I$6</f>
        <v>33.70785070785071</v>
      </c>
      <c r="J69" s="420">
        <f>'Tab. 10'!$J$45/$O$6*J$6</f>
        <v>33.70785070785071</v>
      </c>
      <c r="K69" s="420">
        <f>'Tab. 10'!$J$45/$O$6*K$6</f>
        <v>33.70785070785071</v>
      </c>
      <c r="L69" s="420">
        <f>'Tab. 10'!$J$45/$O$6*L$6</f>
        <v>32.175675675675677</v>
      </c>
      <c r="M69" s="420">
        <f>'Tab. 10'!$J$45/$O$6*M$6</f>
        <v>32.175675675675677</v>
      </c>
      <c r="N69" s="420">
        <f>'Tab. 10'!$J$45/$O$6*N$6</f>
        <v>36.772200772200776</v>
      </c>
      <c r="O69" s="413">
        <f t="shared" si="25"/>
        <v>335.54633204633205</v>
      </c>
      <c r="Q69" s="413">
        <f t="shared" si="26"/>
        <v>28.50200503868458</v>
      </c>
    </row>
    <row r="70" spans="2:17" s="403" customFormat="1" ht="17" hidden="1" outlineLevel="1" thickBot="1" x14ac:dyDescent="0.25">
      <c r="B70" s="402" t="s">
        <v>48</v>
      </c>
      <c r="C70" s="420">
        <v>0</v>
      </c>
      <c r="D70" s="420">
        <v>0</v>
      </c>
      <c r="E70" s="420">
        <f>'Tab. 10'!$K$45/$O$6*E$6</f>
        <v>131.56013156013157</v>
      </c>
      <c r="F70" s="420">
        <f>'Tab. 10'!$K$45/$O$6*F$6</f>
        <v>120.12012012012013</v>
      </c>
      <c r="G70" s="420">
        <f>'Tab. 10'!$K$45/$O$6*G$6</f>
        <v>120.12012012012013</v>
      </c>
      <c r="H70" s="420">
        <f>'Tab. 10'!$K$45/$O$6*H$6</f>
        <v>125.84012584012585</v>
      </c>
      <c r="I70" s="420">
        <f>'Tab. 10'!$K$45/$O$6*I$6</f>
        <v>125.84012584012585</v>
      </c>
      <c r="J70" s="420">
        <f>'Tab. 10'!$K$45/$O$6*J$6</f>
        <v>125.84012584012585</v>
      </c>
      <c r="K70" s="420">
        <f>'Tab. 10'!$K$45/$O$6*K$6</f>
        <v>125.84012584012585</v>
      </c>
      <c r="L70" s="420">
        <f>'Tab. 10'!$K$45/$O$6*L$6</f>
        <v>120.12012012012013</v>
      </c>
      <c r="M70" s="420">
        <f>'Tab. 10'!$K$45/$O$6*M$6</f>
        <v>120.12012012012013</v>
      </c>
      <c r="N70" s="420">
        <f>'Tab. 10'!$K$45/$O$6*N$6</f>
        <v>137.2801372801373</v>
      </c>
      <c r="O70" s="413">
        <f t="shared" si="25"/>
        <v>1252.681252681253</v>
      </c>
      <c r="Q70" s="413">
        <f t="shared" si="26"/>
        <v>106.40535737060836</v>
      </c>
    </row>
    <row r="71" spans="2:17" s="403" customFormat="1" ht="17" hidden="1" outlineLevel="1" thickBot="1" x14ac:dyDescent="0.25">
      <c r="B71" s="404" t="s">
        <v>593</v>
      </c>
      <c r="C71" s="405">
        <f t="shared" ref="C71:O71" si="27">SUM(C64:C70)</f>
        <v>0</v>
      </c>
      <c r="D71" s="405">
        <f t="shared" si="27"/>
        <v>0</v>
      </c>
      <c r="E71" s="405">
        <f t="shared" si="27"/>
        <v>2696.9925639925641</v>
      </c>
      <c r="F71" s="405">
        <f t="shared" si="27"/>
        <v>2462.4714714714719</v>
      </c>
      <c r="G71" s="405">
        <f t="shared" si="27"/>
        <v>2462.4714714714719</v>
      </c>
      <c r="H71" s="405">
        <f t="shared" si="27"/>
        <v>2579.732017732018</v>
      </c>
      <c r="I71" s="405">
        <f t="shared" si="27"/>
        <v>2579.732017732018</v>
      </c>
      <c r="J71" s="405">
        <f t="shared" si="27"/>
        <v>2579.732017732018</v>
      </c>
      <c r="K71" s="405">
        <f t="shared" si="27"/>
        <v>2579.732017732018</v>
      </c>
      <c r="L71" s="405">
        <f t="shared" si="27"/>
        <v>2462.4714714714719</v>
      </c>
      <c r="M71" s="405">
        <f t="shared" si="27"/>
        <v>2462.4714714714719</v>
      </c>
      <c r="N71" s="405">
        <f t="shared" si="27"/>
        <v>2814.2531102531107</v>
      </c>
      <c r="O71" s="414">
        <f t="shared" si="27"/>
        <v>25680.05963105963</v>
      </c>
      <c r="Q71" s="414">
        <f>SUM(Q64:Q70)</f>
        <v>2181.317806499274</v>
      </c>
    </row>
    <row r="72" spans="2:17" s="4" customFormat="1" ht="16" collapsed="1" x14ac:dyDescent="0.2">
      <c r="B72" s="384" t="s">
        <v>586</v>
      </c>
      <c r="C72" s="419">
        <f>+C56+C64</f>
        <v>11322.338996138995</v>
      </c>
      <c r="D72" s="419">
        <f t="shared" ref="D72:N72" si="28">+D56+D64</f>
        <v>11322.338996138995</v>
      </c>
      <c r="E72" s="419">
        <f t="shared" si="28"/>
        <v>14796.751621621619</v>
      </c>
      <c r="F72" s="419">
        <f t="shared" si="28"/>
        <v>13510.077567567565</v>
      </c>
      <c r="G72" s="419">
        <f t="shared" si="28"/>
        <v>13510.077567567565</v>
      </c>
      <c r="H72" s="419">
        <f t="shared" si="28"/>
        <v>14153.414594594593</v>
      </c>
      <c r="I72" s="419">
        <f t="shared" si="28"/>
        <v>14153.414594594593</v>
      </c>
      <c r="J72" s="419">
        <f t="shared" si="28"/>
        <v>14153.414594594593</v>
      </c>
      <c r="K72" s="419">
        <f t="shared" si="28"/>
        <v>14153.414594594593</v>
      </c>
      <c r="L72" s="419">
        <f t="shared" si="28"/>
        <v>13510.077567567565</v>
      </c>
      <c r="M72" s="419">
        <f t="shared" si="28"/>
        <v>13510.077567567565</v>
      </c>
      <c r="N72" s="419">
        <f t="shared" si="28"/>
        <v>15440.088648648645</v>
      </c>
      <c r="O72" s="411">
        <f>SUM(C72:N72)</f>
        <v>163535.48691119687</v>
      </c>
      <c r="Q72" s="411">
        <f t="shared" ref="Q72:Q78" si="29">O72/$O$6*$O$7</f>
        <v>15153.867513006662</v>
      </c>
    </row>
    <row r="73" spans="2:17" s="4" customFormat="1" ht="16" x14ac:dyDescent="0.2">
      <c r="B73" s="384" t="s">
        <v>44</v>
      </c>
      <c r="C73" s="419">
        <f t="shared" ref="C73:C78" si="30">+C57+C65</f>
        <v>943.52824967824961</v>
      </c>
      <c r="D73" s="419">
        <f t="shared" ref="D73:N73" si="31">+D57+D65</f>
        <v>943.52824967824961</v>
      </c>
      <c r="E73" s="419">
        <f t="shared" si="31"/>
        <v>1233.062635135135</v>
      </c>
      <c r="F73" s="419">
        <f t="shared" si="31"/>
        <v>1125.8397972972973</v>
      </c>
      <c r="G73" s="419">
        <f t="shared" si="31"/>
        <v>1125.8397972972973</v>
      </c>
      <c r="H73" s="419">
        <f t="shared" si="31"/>
        <v>1179.4512162162159</v>
      </c>
      <c r="I73" s="419">
        <f t="shared" si="31"/>
        <v>1179.4512162162159</v>
      </c>
      <c r="J73" s="419">
        <f t="shared" si="31"/>
        <v>1179.4512162162159</v>
      </c>
      <c r="K73" s="419">
        <f t="shared" si="31"/>
        <v>1179.4512162162159</v>
      </c>
      <c r="L73" s="419">
        <f t="shared" si="31"/>
        <v>1125.8397972972973</v>
      </c>
      <c r="M73" s="419">
        <f t="shared" si="31"/>
        <v>1125.8397972972973</v>
      </c>
      <c r="N73" s="419">
        <f t="shared" si="31"/>
        <v>1286.6740540540538</v>
      </c>
      <c r="O73" s="411">
        <f t="shared" ref="O73:O78" si="32">SUM(C73:N73)</f>
        <v>13627.957242599741</v>
      </c>
      <c r="Q73" s="411">
        <f t="shared" si="29"/>
        <v>1262.8222927505551</v>
      </c>
    </row>
    <row r="74" spans="2:17" s="4" customFormat="1" ht="16" x14ac:dyDescent="0.2">
      <c r="B74" s="384" t="s">
        <v>45</v>
      </c>
      <c r="C74" s="419">
        <f t="shared" si="30"/>
        <v>943.52824967824961</v>
      </c>
      <c r="D74" s="419">
        <f t="shared" ref="D74:N74" si="33">+D58+D66</f>
        <v>943.52824967824961</v>
      </c>
      <c r="E74" s="419">
        <f t="shared" si="33"/>
        <v>1233.062635135135</v>
      </c>
      <c r="F74" s="419">
        <f t="shared" si="33"/>
        <v>1125.8397972972973</v>
      </c>
      <c r="G74" s="419">
        <f t="shared" si="33"/>
        <v>1125.8397972972973</v>
      </c>
      <c r="H74" s="419">
        <f t="shared" si="33"/>
        <v>1179.4512162162159</v>
      </c>
      <c r="I74" s="419">
        <f t="shared" si="33"/>
        <v>1179.4512162162159</v>
      </c>
      <c r="J74" s="419">
        <f t="shared" si="33"/>
        <v>1179.4512162162159</v>
      </c>
      <c r="K74" s="419">
        <f t="shared" si="33"/>
        <v>1179.4512162162159</v>
      </c>
      <c r="L74" s="419">
        <f t="shared" si="33"/>
        <v>1125.8397972972973</v>
      </c>
      <c r="M74" s="419">
        <f t="shared" si="33"/>
        <v>1125.8397972972973</v>
      </c>
      <c r="N74" s="419">
        <f t="shared" si="33"/>
        <v>1286.6740540540538</v>
      </c>
      <c r="O74" s="411">
        <f t="shared" si="32"/>
        <v>13627.957242599741</v>
      </c>
      <c r="Q74" s="411">
        <f t="shared" si="29"/>
        <v>1262.8222927505551</v>
      </c>
    </row>
    <row r="75" spans="2:17" s="4" customFormat="1" ht="16" x14ac:dyDescent="0.2">
      <c r="B75" s="384" t="s">
        <v>588</v>
      </c>
      <c r="C75" s="419">
        <f t="shared" si="30"/>
        <v>2695.8489149806951</v>
      </c>
      <c r="D75" s="419">
        <f t="shared" ref="D75:N75" si="34">+D59+D67</f>
        <v>2695.8489149806951</v>
      </c>
      <c r="E75" s="419">
        <f t="shared" si="34"/>
        <v>3523.1065611081081</v>
      </c>
      <c r="F75" s="419">
        <f t="shared" si="34"/>
        <v>3216.7494688378379</v>
      </c>
      <c r="G75" s="419">
        <f t="shared" si="34"/>
        <v>3216.7494688378379</v>
      </c>
      <c r="H75" s="419">
        <f t="shared" si="34"/>
        <v>3369.928014972973</v>
      </c>
      <c r="I75" s="419">
        <f t="shared" si="34"/>
        <v>3369.928014972973</v>
      </c>
      <c r="J75" s="419">
        <f t="shared" si="34"/>
        <v>3369.928014972973</v>
      </c>
      <c r="K75" s="419">
        <f t="shared" si="34"/>
        <v>3369.928014972973</v>
      </c>
      <c r="L75" s="419">
        <f t="shared" si="34"/>
        <v>3216.7494688378379</v>
      </c>
      <c r="M75" s="419">
        <f t="shared" si="34"/>
        <v>3216.7494688378379</v>
      </c>
      <c r="N75" s="419">
        <f t="shared" si="34"/>
        <v>3676.2851072432431</v>
      </c>
      <c r="O75" s="411">
        <f t="shared" si="32"/>
        <v>38937.799433555992</v>
      </c>
      <c r="Q75" s="411">
        <f t="shared" si="29"/>
        <v>3608.135854846887</v>
      </c>
    </row>
    <row r="76" spans="2:17" s="4" customFormat="1" ht="16" x14ac:dyDescent="0.2">
      <c r="B76" s="384" t="s">
        <v>589</v>
      </c>
      <c r="C76" s="419">
        <f t="shared" si="30"/>
        <v>224.65407624839128</v>
      </c>
      <c r="D76" s="419">
        <f t="shared" ref="D76:N76" si="35">+D60+D68</f>
        <v>224.65407624839128</v>
      </c>
      <c r="E76" s="419">
        <f t="shared" si="35"/>
        <v>293.59221342567571</v>
      </c>
      <c r="F76" s="419">
        <f t="shared" si="35"/>
        <v>268.06245573648653</v>
      </c>
      <c r="G76" s="419">
        <f t="shared" si="35"/>
        <v>268.06245573648653</v>
      </c>
      <c r="H76" s="419">
        <f t="shared" si="35"/>
        <v>280.82733458108112</v>
      </c>
      <c r="I76" s="419">
        <f t="shared" si="35"/>
        <v>280.82733458108112</v>
      </c>
      <c r="J76" s="419">
        <f t="shared" si="35"/>
        <v>280.82733458108112</v>
      </c>
      <c r="K76" s="419">
        <f t="shared" si="35"/>
        <v>280.82733458108112</v>
      </c>
      <c r="L76" s="419">
        <f t="shared" si="35"/>
        <v>268.06245573648653</v>
      </c>
      <c r="M76" s="419">
        <f t="shared" si="35"/>
        <v>268.06245573648653</v>
      </c>
      <c r="N76" s="419">
        <f t="shared" si="35"/>
        <v>306.3570922702703</v>
      </c>
      <c r="O76" s="411">
        <f t="shared" si="32"/>
        <v>3244.8166194629994</v>
      </c>
      <c r="Q76" s="411">
        <f t="shared" si="29"/>
        <v>300.67798790390731</v>
      </c>
    </row>
    <row r="77" spans="2:17" s="4" customFormat="1" ht="16" x14ac:dyDescent="0.2">
      <c r="B77" s="384" t="s">
        <v>590</v>
      </c>
      <c r="C77" s="419">
        <f t="shared" si="30"/>
        <v>224.65407624839128</v>
      </c>
      <c r="D77" s="419">
        <f t="shared" ref="D77:N77" si="36">+D61+D69</f>
        <v>224.65407624839128</v>
      </c>
      <c r="E77" s="419">
        <f t="shared" si="36"/>
        <v>293.59221342567571</v>
      </c>
      <c r="F77" s="419">
        <f t="shared" si="36"/>
        <v>268.06245573648653</v>
      </c>
      <c r="G77" s="419">
        <f t="shared" si="36"/>
        <v>268.06245573648653</v>
      </c>
      <c r="H77" s="419">
        <f t="shared" si="36"/>
        <v>280.82733458108112</v>
      </c>
      <c r="I77" s="419">
        <f t="shared" si="36"/>
        <v>280.82733458108112</v>
      </c>
      <c r="J77" s="419">
        <f t="shared" si="36"/>
        <v>280.82733458108112</v>
      </c>
      <c r="K77" s="419">
        <f t="shared" si="36"/>
        <v>280.82733458108112</v>
      </c>
      <c r="L77" s="419">
        <f t="shared" si="36"/>
        <v>268.06245573648653</v>
      </c>
      <c r="M77" s="419">
        <f t="shared" si="36"/>
        <v>268.06245573648653</v>
      </c>
      <c r="N77" s="419">
        <f t="shared" si="36"/>
        <v>306.3570922702703</v>
      </c>
      <c r="O77" s="411">
        <f t="shared" si="32"/>
        <v>3244.8166194629994</v>
      </c>
      <c r="Q77" s="411">
        <f t="shared" si="29"/>
        <v>300.67798790390731</v>
      </c>
    </row>
    <row r="78" spans="2:17" s="4" customFormat="1" ht="17" thickBot="1" x14ac:dyDescent="0.25">
      <c r="B78" s="384" t="s">
        <v>48</v>
      </c>
      <c r="C78" s="419">
        <f t="shared" si="30"/>
        <v>838.69177749177754</v>
      </c>
      <c r="D78" s="419">
        <f t="shared" ref="D78:N78" si="37">+D62+D70</f>
        <v>838.69177749177754</v>
      </c>
      <c r="E78" s="419">
        <f t="shared" si="37"/>
        <v>1096.0556756756757</v>
      </c>
      <c r="F78" s="419">
        <f t="shared" si="37"/>
        <v>1000.7464864864864</v>
      </c>
      <c r="G78" s="419">
        <f t="shared" si="37"/>
        <v>1000.7464864864864</v>
      </c>
      <c r="H78" s="419">
        <f t="shared" si="37"/>
        <v>1048.4010810810812</v>
      </c>
      <c r="I78" s="419">
        <f t="shared" si="37"/>
        <v>1048.4010810810812</v>
      </c>
      <c r="J78" s="419">
        <f t="shared" si="37"/>
        <v>1048.4010810810812</v>
      </c>
      <c r="K78" s="419">
        <f t="shared" si="37"/>
        <v>1048.4010810810812</v>
      </c>
      <c r="L78" s="419">
        <f t="shared" si="37"/>
        <v>1000.7464864864864</v>
      </c>
      <c r="M78" s="419">
        <f t="shared" si="37"/>
        <v>1000.7464864864864</v>
      </c>
      <c r="N78" s="419">
        <f t="shared" si="37"/>
        <v>1143.7102702702703</v>
      </c>
      <c r="O78" s="411">
        <f t="shared" si="32"/>
        <v>12113.739771199773</v>
      </c>
      <c r="Q78" s="411">
        <f t="shared" si="29"/>
        <v>1122.5087046671606</v>
      </c>
    </row>
    <row r="79" spans="2:17" s="4" customFormat="1" ht="17" thickBot="1" x14ac:dyDescent="0.25">
      <c r="B79" s="401" t="s">
        <v>3</v>
      </c>
      <c r="C79" s="348">
        <f t="shared" ref="C79:O79" si="38">SUM(C72:C78)</f>
        <v>17193.244340464749</v>
      </c>
      <c r="D79" s="348">
        <f t="shared" si="38"/>
        <v>17193.244340464749</v>
      </c>
      <c r="E79" s="348">
        <f t="shared" si="38"/>
        <v>22469.223555527024</v>
      </c>
      <c r="F79" s="348">
        <f t="shared" si="38"/>
        <v>20515.378028959458</v>
      </c>
      <c r="G79" s="348">
        <f t="shared" si="38"/>
        <v>20515.378028959458</v>
      </c>
      <c r="H79" s="348">
        <f t="shared" si="38"/>
        <v>21492.300792243237</v>
      </c>
      <c r="I79" s="348">
        <f t="shared" si="38"/>
        <v>21492.300792243237</v>
      </c>
      <c r="J79" s="348">
        <f t="shared" si="38"/>
        <v>21492.300792243237</v>
      </c>
      <c r="K79" s="348">
        <f t="shared" si="38"/>
        <v>21492.300792243237</v>
      </c>
      <c r="L79" s="348">
        <f t="shared" si="38"/>
        <v>20515.378028959458</v>
      </c>
      <c r="M79" s="348">
        <f t="shared" si="38"/>
        <v>20515.378028959458</v>
      </c>
      <c r="N79" s="348">
        <f t="shared" si="38"/>
        <v>23446.146318810803</v>
      </c>
      <c r="O79" s="412">
        <f t="shared" si="38"/>
        <v>248332.57384007814</v>
      </c>
      <c r="Q79" s="412">
        <f>SUM(Q72:Q78)</f>
        <v>23011.512633829632</v>
      </c>
    </row>
    <row r="80" spans="2:17" s="4" customFormat="1" ht="16" x14ac:dyDescent="0.2">
      <c r="B80" s="406"/>
      <c r="C80" s="421"/>
      <c r="D80" s="422"/>
      <c r="E80" s="422"/>
      <c r="F80" s="422"/>
      <c r="G80" s="422"/>
      <c r="H80" s="422"/>
      <c r="I80" s="422"/>
      <c r="J80" s="422"/>
      <c r="K80" s="422"/>
      <c r="L80" s="422"/>
      <c r="M80" s="422"/>
      <c r="N80" s="422"/>
      <c r="O80" s="411"/>
      <c r="Q80" s="411"/>
    </row>
    <row r="81" spans="2:17" ht="16" x14ac:dyDescent="0.2">
      <c r="B81" s="407" t="s">
        <v>586</v>
      </c>
      <c r="C81" s="421">
        <f>+SUM(C11:C13)+SUM(C20:C22)+SUM(C38:C40)+SUM(C47:C49)+SUM(C72:C74)</f>
        <v>140688.77207207205</v>
      </c>
      <c r="D81" s="421">
        <f t="shared" ref="D81:N81" si="39">+SUM(D11:D13)+SUM(D20:D22)+SUM(D38:D40)+SUM(D47:D49)+SUM(D72:D74)</f>
        <v>140688.77207207205</v>
      </c>
      <c r="E81" s="421">
        <f t="shared" si="39"/>
        <v>163864.15995495493</v>
      </c>
      <c r="F81" s="421">
        <f t="shared" si="39"/>
        <v>149615.10256756755</v>
      </c>
      <c r="G81" s="421">
        <f t="shared" si="39"/>
        <v>149615.10256756755</v>
      </c>
      <c r="H81" s="421">
        <f t="shared" si="39"/>
        <v>156739.63126126124</v>
      </c>
      <c r="I81" s="421">
        <f t="shared" si="39"/>
        <v>156739.63126126124</v>
      </c>
      <c r="J81" s="421">
        <f t="shared" si="39"/>
        <v>156739.63126126124</v>
      </c>
      <c r="K81" s="421">
        <f t="shared" si="39"/>
        <v>156739.63126126124</v>
      </c>
      <c r="L81" s="421">
        <f t="shared" si="39"/>
        <v>149615.10256756755</v>
      </c>
      <c r="M81" s="421">
        <f t="shared" si="39"/>
        <v>149615.10256756755</v>
      </c>
      <c r="N81" s="421">
        <f t="shared" si="39"/>
        <v>170988.68864864859</v>
      </c>
      <c r="O81" s="411">
        <f>SUM(C81:N81)</f>
        <v>1841649.3280630624</v>
      </c>
      <c r="Q81" s="411">
        <f>SUM(E81:P81)</f>
        <v>3401921.1119819805</v>
      </c>
    </row>
    <row r="82" spans="2:17" ht="16" x14ac:dyDescent="0.2">
      <c r="B82" s="407" t="s">
        <v>587</v>
      </c>
      <c r="C82" s="421">
        <f>+SUM(C14:C16)+SUM(C23:C25)+SUM(C41:C43)+SUM(C50:C52)+SUM(C75:C77)</f>
        <v>33497.996630360365</v>
      </c>
      <c r="D82" s="421">
        <f t="shared" ref="D82:N82" si="40">+SUM(D14:D16)+SUM(D23:D25)+SUM(D41:D43)+SUM(D50:D52)+SUM(D75:D77)</f>
        <v>33497.996630360365</v>
      </c>
      <c r="E82" s="421">
        <f t="shared" si="40"/>
        <v>39016.056485274778</v>
      </c>
      <c r="F82" s="421">
        <f t="shared" si="40"/>
        <v>35623.355921337839</v>
      </c>
      <c r="G82" s="421">
        <f t="shared" si="40"/>
        <v>35623.355921337839</v>
      </c>
      <c r="H82" s="421">
        <f t="shared" si="40"/>
        <v>37319.706203306312</v>
      </c>
      <c r="I82" s="421">
        <f t="shared" si="40"/>
        <v>37319.706203306312</v>
      </c>
      <c r="J82" s="421">
        <f t="shared" si="40"/>
        <v>37319.706203306312</v>
      </c>
      <c r="K82" s="421">
        <f t="shared" si="40"/>
        <v>37319.706203306312</v>
      </c>
      <c r="L82" s="421">
        <f t="shared" si="40"/>
        <v>35623.355921337839</v>
      </c>
      <c r="M82" s="421">
        <f t="shared" si="40"/>
        <v>35623.355921337839</v>
      </c>
      <c r="N82" s="421">
        <f t="shared" si="40"/>
        <v>40712.406767243243</v>
      </c>
      <c r="O82" s="411">
        <f t="shared" ref="O82:Q83" si="41">SUM(C82:N82)</f>
        <v>438496.70501181541</v>
      </c>
      <c r="Q82" s="411">
        <f t="shared" si="41"/>
        <v>809997.41676291008</v>
      </c>
    </row>
    <row r="83" spans="2:17" ht="17" thickBot="1" x14ac:dyDescent="0.25">
      <c r="B83" s="407" t="s">
        <v>48</v>
      </c>
      <c r="C83" s="421">
        <f>C17+C26+C44+C53+C78</f>
        <v>8932.6204490204509</v>
      </c>
      <c r="D83" s="421">
        <f t="shared" ref="D83:N83" si="42">D17+D26+D44+D53+D78</f>
        <v>8932.6204490204509</v>
      </c>
      <c r="E83" s="421">
        <f t="shared" si="42"/>
        <v>10404.07364793365</v>
      </c>
      <c r="F83" s="421">
        <f t="shared" si="42"/>
        <v>9499.3715915915927</v>
      </c>
      <c r="G83" s="421">
        <f t="shared" si="42"/>
        <v>9499.3715915915927</v>
      </c>
      <c r="H83" s="421">
        <f t="shared" si="42"/>
        <v>9951.7226197626205</v>
      </c>
      <c r="I83" s="421">
        <f t="shared" si="42"/>
        <v>9951.7226197626205</v>
      </c>
      <c r="J83" s="421">
        <f t="shared" si="42"/>
        <v>9951.7226197626205</v>
      </c>
      <c r="K83" s="421">
        <f t="shared" si="42"/>
        <v>9951.7226197626205</v>
      </c>
      <c r="L83" s="421">
        <f t="shared" si="42"/>
        <v>9499.3715915915927</v>
      </c>
      <c r="M83" s="421">
        <f t="shared" si="42"/>
        <v>9499.3715915915927</v>
      </c>
      <c r="N83" s="421">
        <f t="shared" si="42"/>
        <v>10856.424676104678</v>
      </c>
      <c r="O83" s="411">
        <f t="shared" si="41"/>
        <v>116930.11606749608</v>
      </c>
      <c r="Q83" s="411">
        <f t="shared" si="41"/>
        <v>215994.99123695126</v>
      </c>
    </row>
    <row r="84" spans="2:17" ht="17" thickBot="1" x14ac:dyDescent="0.2">
      <c r="B84" s="408" t="s">
        <v>581</v>
      </c>
      <c r="C84" s="357">
        <f t="shared" ref="C84:O84" si="43">SUM(C81:C83)</f>
        <v>183119.38915145287</v>
      </c>
      <c r="D84" s="357">
        <f t="shared" si="43"/>
        <v>183119.38915145287</v>
      </c>
      <c r="E84" s="357">
        <f t="shared" si="43"/>
        <v>213284.29008816337</v>
      </c>
      <c r="F84" s="357">
        <f t="shared" si="43"/>
        <v>194737.83008049699</v>
      </c>
      <c r="G84" s="357">
        <f t="shared" si="43"/>
        <v>194737.83008049699</v>
      </c>
      <c r="H84" s="357">
        <f t="shared" si="43"/>
        <v>204011.06008433018</v>
      </c>
      <c r="I84" s="357">
        <f t="shared" si="43"/>
        <v>204011.06008433018</v>
      </c>
      <c r="J84" s="357">
        <f t="shared" si="43"/>
        <v>204011.06008433018</v>
      </c>
      <c r="K84" s="357">
        <f t="shared" si="43"/>
        <v>204011.06008433018</v>
      </c>
      <c r="L84" s="357">
        <f t="shared" si="43"/>
        <v>194737.83008049699</v>
      </c>
      <c r="M84" s="357">
        <f t="shared" si="43"/>
        <v>194737.83008049699</v>
      </c>
      <c r="N84" s="357">
        <f t="shared" si="43"/>
        <v>222557.52009199653</v>
      </c>
      <c r="O84" s="412">
        <f t="shared" si="43"/>
        <v>2397076.1491423738</v>
      </c>
      <c r="Q84" s="412">
        <f>SUM(Q81:Q83)</f>
        <v>4427913.5199818416</v>
      </c>
    </row>
    <row r="87" spans="2:17" x14ac:dyDescent="0.15">
      <c r="N87" s="378" t="s">
        <v>42</v>
      </c>
      <c r="O87" s="409">
        <f>O84-'Tab. 10'!K38-'Tab. 10'!L45/O6*SUM(E6:N6)</f>
        <v>-2577407.022466355</v>
      </c>
    </row>
  </sheetData>
  <mergeCells count="1">
    <mergeCell ref="C4:O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0AA91-6D35-A844-86C4-AFF4B80D1D80}">
  <sheetPr>
    <tabColor theme="0" tint="-0.499984740745262"/>
  </sheetPr>
  <dimension ref="B2:E45"/>
  <sheetViews>
    <sheetView showGridLines="0" topLeftCell="A17" zoomScale="170" zoomScaleNormal="170" workbookViewId="0">
      <selection activeCell="B20" sqref="B20:B45"/>
    </sheetView>
  </sheetViews>
  <sheetFormatPr baseColWidth="10" defaultRowHeight="14" x14ac:dyDescent="0.2"/>
  <cols>
    <col min="1" max="1" width="10.83203125" style="3"/>
    <col min="2" max="2" width="21.6640625" style="3" bestFit="1" customWidth="1"/>
    <col min="3" max="3" width="13.33203125" style="423" bestFit="1" customWidth="1"/>
    <col min="4" max="16384" width="10.83203125" style="3"/>
  </cols>
  <sheetData>
    <row r="2" spans="2:4" x14ac:dyDescent="0.2">
      <c r="B2" s="3" t="s">
        <v>597</v>
      </c>
    </row>
    <row r="3" spans="2:4" ht="15" thickBot="1" x14ac:dyDescent="0.25"/>
    <row r="4" spans="2:4" x14ac:dyDescent="0.2">
      <c r="B4" s="424"/>
      <c r="C4" s="425" t="s">
        <v>99</v>
      </c>
    </row>
    <row r="5" spans="2:4" x14ac:dyDescent="0.2">
      <c r="B5" s="426" t="s">
        <v>598</v>
      </c>
      <c r="C5" s="427">
        <v>125000</v>
      </c>
    </row>
    <row r="6" spans="2:4" x14ac:dyDescent="0.2">
      <c r="B6" s="426" t="s">
        <v>599</v>
      </c>
      <c r="C6" s="427">
        <v>150000</v>
      </c>
    </row>
    <row r="7" spans="2:4" x14ac:dyDescent="0.2">
      <c r="B7" s="426" t="s">
        <v>600</v>
      </c>
      <c r="C7" s="427">
        <v>860000</v>
      </c>
    </row>
    <row r="8" spans="2:4" x14ac:dyDescent="0.2">
      <c r="B8" s="426" t="s">
        <v>601</v>
      </c>
      <c r="C8" s="427">
        <v>1151250</v>
      </c>
    </row>
    <row r="9" spans="2:4" x14ac:dyDescent="0.2">
      <c r="B9" s="426" t="s">
        <v>602</v>
      </c>
      <c r="C9" s="427">
        <v>72500</v>
      </c>
    </row>
    <row r="10" spans="2:4" x14ac:dyDescent="0.2">
      <c r="B10" s="426" t="s">
        <v>603</v>
      </c>
      <c r="C10" s="427">
        <v>484830</v>
      </c>
    </row>
    <row r="11" spans="2:4" x14ac:dyDescent="0.2">
      <c r="B11" s="426" t="s">
        <v>604</v>
      </c>
      <c r="C11" s="427"/>
    </row>
    <row r="12" spans="2:4" ht="15" thickBot="1" x14ac:dyDescent="0.25">
      <c r="B12" s="426" t="s">
        <v>605</v>
      </c>
      <c r="C12" s="427">
        <v>48000</v>
      </c>
    </row>
    <row r="13" spans="2:4" ht="15" thickBot="1" x14ac:dyDescent="0.25">
      <c r="B13" s="428" t="s">
        <v>606</v>
      </c>
      <c r="C13" s="429">
        <f>SUM(C5:C12)</f>
        <v>2891580</v>
      </c>
      <c r="D13" s="373"/>
    </row>
    <row r="14" spans="2:4" x14ac:dyDescent="0.2">
      <c r="B14" s="424"/>
      <c r="C14" s="430"/>
    </row>
    <row r="15" spans="2:4" x14ac:dyDescent="0.2">
      <c r="B15" s="431" t="s">
        <v>607</v>
      </c>
      <c r="C15" s="427"/>
    </row>
    <row r="16" spans="2:4" x14ac:dyDescent="0.2">
      <c r="B16" s="431"/>
      <c r="C16" s="427"/>
    </row>
    <row r="17" spans="2:5" x14ac:dyDescent="0.2">
      <c r="B17" s="426" t="s">
        <v>608</v>
      </c>
      <c r="C17" s="427"/>
    </row>
    <row r="18" spans="2:5" x14ac:dyDescent="0.2">
      <c r="B18" s="426" t="s">
        <v>599</v>
      </c>
      <c r="C18" s="427"/>
    </row>
    <row r="19" spans="2:5" x14ac:dyDescent="0.2">
      <c r="B19" s="426" t="s">
        <v>609</v>
      </c>
      <c r="C19" s="427"/>
    </row>
    <row r="20" spans="2:5" x14ac:dyDescent="0.2">
      <c r="B20" s="426" t="s">
        <v>610</v>
      </c>
      <c r="C20" s="427">
        <v>525100</v>
      </c>
    </row>
    <row r="21" spans="2:5" x14ac:dyDescent="0.2">
      <c r="B21" s="426" t="s">
        <v>611</v>
      </c>
      <c r="C21" s="427">
        <v>55000</v>
      </c>
    </row>
    <row r="22" spans="2:5" x14ac:dyDescent="0.2">
      <c r="B22" s="426" t="s">
        <v>612</v>
      </c>
      <c r="C22" s="427">
        <v>80000</v>
      </c>
    </row>
    <row r="23" spans="2:5" x14ac:dyDescent="0.2">
      <c r="B23" s="426" t="s">
        <v>613</v>
      </c>
      <c r="C23" s="427">
        <v>90000</v>
      </c>
    </row>
    <row r="24" spans="2:5" x14ac:dyDescent="0.2">
      <c r="B24" s="426" t="s">
        <v>614</v>
      </c>
      <c r="C24" s="427">
        <v>540000</v>
      </c>
    </row>
    <row r="25" spans="2:5" x14ac:dyDescent="0.2">
      <c r="B25" s="426" t="s">
        <v>615</v>
      </c>
      <c r="C25" s="427">
        <v>152000</v>
      </c>
      <c r="E25" s="677"/>
    </row>
    <row r="26" spans="2:5" x14ac:dyDescent="0.2">
      <c r="B26" s="426" t="s">
        <v>616</v>
      </c>
      <c r="C26" s="427">
        <v>46000</v>
      </c>
    </row>
    <row r="27" spans="2:5" x14ac:dyDescent="0.2">
      <c r="B27" s="426" t="s">
        <v>617</v>
      </c>
      <c r="C27" s="427">
        <v>58000</v>
      </c>
      <c r="E27" s="677"/>
    </row>
    <row r="28" spans="2:5" ht="15" thickBot="1" x14ac:dyDescent="0.25">
      <c r="B28" s="426" t="s">
        <v>618</v>
      </c>
      <c r="C28" s="427">
        <v>35000</v>
      </c>
    </row>
    <row r="29" spans="2:5" ht="15" thickBot="1" x14ac:dyDescent="0.25">
      <c r="B29" s="428" t="s">
        <v>619</v>
      </c>
      <c r="C29" s="429">
        <f>SUM(C17:C28)</f>
        <v>1581100</v>
      </c>
    </row>
    <row r="30" spans="2:5" x14ac:dyDescent="0.2">
      <c r="B30" s="432"/>
      <c r="C30" s="433"/>
    </row>
    <row r="31" spans="2:5" x14ac:dyDescent="0.2">
      <c r="B31" s="434" t="s">
        <v>620</v>
      </c>
      <c r="C31" s="433"/>
    </row>
    <row r="32" spans="2:5" x14ac:dyDescent="0.2">
      <c r="B32" s="432"/>
      <c r="C32" s="433"/>
    </row>
    <row r="33" spans="2:4" x14ac:dyDescent="0.2">
      <c r="B33" s="432" t="s">
        <v>52</v>
      </c>
      <c r="C33" s="433">
        <v>369600</v>
      </c>
      <c r="D33" s="3" t="s">
        <v>765</v>
      </c>
    </row>
    <row r="34" spans="2:4" x14ac:dyDescent="0.2">
      <c r="B34" s="432" t="s">
        <v>621</v>
      </c>
      <c r="C34" s="433">
        <v>35000</v>
      </c>
      <c r="D34" s="3" t="s">
        <v>958</v>
      </c>
    </row>
    <row r="35" spans="2:4" x14ac:dyDescent="0.2">
      <c r="B35" s="432" t="s">
        <v>622</v>
      </c>
      <c r="C35" s="433">
        <v>55500</v>
      </c>
      <c r="D35" s="3" t="s">
        <v>958</v>
      </c>
    </row>
    <row r="36" spans="2:4" x14ac:dyDescent="0.2">
      <c r="B36" s="432" t="s">
        <v>623</v>
      </c>
      <c r="C36" s="433">
        <v>65000</v>
      </c>
      <c r="D36" s="3" t="s">
        <v>958</v>
      </c>
    </row>
    <row r="37" spans="2:4" x14ac:dyDescent="0.2">
      <c r="B37" s="435" t="s">
        <v>624</v>
      </c>
      <c r="C37" s="436">
        <f>SUM(C33:C36)</f>
        <v>525100</v>
      </c>
    </row>
    <row r="38" spans="2:4" x14ac:dyDescent="0.2">
      <c r="B38" s="432"/>
      <c r="C38" s="433"/>
    </row>
    <row r="39" spans="2:4" x14ac:dyDescent="0.2">
      <c r="B39" s="432"/>
      <c r="C39" s="433"/>
    </row>
    <row r="40" spans="2:4" x14ac:dyDescent="0.2">
      <c r="B40" s="432" t="s">
        <v>625</v>
      </c>
      <c r="C40" s="433">
        <v>5000</v>
      </c>
      <c r="D40" s="3" t="s">
        <v>631</v>
      </c>
    </row>
    <row r="41" spans="2:4" x14ac:dyDescent="0.2">
      <c r="B41" s="432" t="s">
        <v>626</v>
      </c>
      <c r="C41" s="433">
        <v>120000</v>
      </c>
      <c r="D41" s="3" t="s">
        <v>631</v>
      </c>
    </row>
    <row r="42" spans="2:4" x14ac:dyDescent="0.2">
      <c r="B42" s="432" t="s">
        <v>627</v>
      </c>
      <c r="C42" s="433">
        <v>359830</v>
      </c>
      <c r="D42" s="3" t="s">
        <v>765</v>
      </c>
    </row>
    <row r="43" spans="2:4" x14ac:dyDescent="0.2">
      <c r="B43" s="432" t="s">
        <v>628</v>
      </c>
      <c r="C43" s="433">
        <v>37000</v>
      </c>
      <c r="D43" s="3" t="s">
        <v>114</v>
      </c>
    </row>
    <row r="44" spans="2:4" x14ac:dyDescent="0.2">
      <c r="B44" s="432" t="s">
        <v>629</v>
      </c>
      <c r="C44" s="433">
        <v>9000</v>
      </c>
      <c r="D44" s="3" t="s">
        <v>114</v>
      </c>
    </row>
    <row r="45" spans="2:4" x14ac:dyDescent="0.2">
      <c r="B45" s="435" t="s">
        <v>630</v>
      </c>
      <c r="C45" s="436">
        <f>SUM(C40:C44)</f>
        <v>530830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>
    <pageSetUpPr fitToPage="1"/>
  </sheetPr>
  <dimension ref="B1:T24"/>
  <sheetViews>
    <sheetView showGridLines="0" topLeftCell="D1" zoomScale="180" zoomScaleNormal="180" workbookViewId="0">
      <selection activeCell="L7" sqref="L7"/>
    </sheetView>
  </sheetViews>
  <sheetFormatPr baseColWidth="10" defaultRowHeight="16" x14ac:dyDescent="0.15"/>
  <cols>
    <col min="1" max="1" width="1.83203125" style="84" customWidth="1"/>
    <col min="2" max="2" width="28.33203125" style="84" bestFit="1" customWidth="1"/>
    <col min="3" max="3" width="12.33203125" style="84" customWidth="1"/>
    <col min="4" max="4" width="14.83203125" style="84" customWidth="1"/>
    <col min="5" max="5" width="13.33203125" style="84" customWidth="1"/>
    <col min="6" max="6" width="13.5" style="84" customWidth="1"/>
    <col min="7" max="9" width="14.1640625" style="84" customWidth="1"/>
    <col min="10" max="10" width="14.33203125" style="84" customWidth="1"/>
    <col min="11" max="11" width="2" style="84" customWidth="1"/>
    <col min="12" max="14" width="7.6640625" style="84" customWidth="1"/>
    <col min="15" max="15" width="8.33203125" style="84" customWidth="1"/>
    <col min="16" max="16" width="2.83203125" style="84" customWidth="1"/>
    <col min="17" max="20" width="14.1640625" style="84" customWidth="1"/>
    <col min="21" max="16384" width="10.83203125" style="84"/>
  </cols>
  <sheetData>
    <row r="1" spans="2:20" x14ac:dyDescent="0.15">
      <c r="B1" s="84" t="s">
        <v>130</v>
      </c>
    </row>
    <row r="2" spans="2:20" ht="17" thickBot="1" x14ac:dyDescent="0.2"/>
    <row r="3" spans="2:20" x14ac:dyDescent="0.15">
      <c r="C3" s="760" t="s">
        <v>73</v>
      </c>
      <c r="D3" s="761"/>
      <c r="E3" s="761"/>
      <c r="F3" s="762"/>
      <c r="G3" s="755" t="s">
        <v>86</v>
      </c>
      <c r="H3" s="756"/>
      <c r="I3" s="756"/>
      <c r="J3" s="757"/>
      <c r="L3" s="755" t="s">
        <v>89</v>
      </c>
      <c r="M3" s="756"/>
      <c r="N3" s="756"/>
      <c r="O3" s="757"/>
      <c r="Q3" s="749" t="s">
        <v>142</v>
      </c>
      <c r="R3" s="750"/>
      <c r="S3" s="750"/>
      <c r="T3" s="751"/>
    </row>
    <row r="4" spans="2:20" x14ac:dyDescent="0.15">
      <c r="C4" s="752" t="s">
        <v>53</v>
      </c>
      <c r="D4" s="740"/>
      <c r="E4" s="741"/>
      <c r="F4" s="763" t="s">
        <v>3</v>
      </c>
      <c r="G4" s="752" t="s">
        <v>53</v>
      </c>
      <c r="H4" s="740"/>
      <c r="I4" s="741"/>
      <c r="J4" s="758" t="s">
        <v>3</v>
      </c>
      <c r="L4" s="752" t="s">
        <v>53</v>
      </c>
      <c r="M4" s="740"/>
      <c r="N4" s="741"/>
      <c r="O4" s="758" t="s">
        <v>3</v>
      </c>
      <c r="Q4" s="752" t="s">
        <v>53</v>
      </c>
      <c r="R4" s="740"/>
      <c r="S4" s="741"/>
      <c r="T4" s="753" t="s">
        <v>3</v>
      </c>
    </row>
    <row r="5" spans="2:20" x14ac:dyDescent="0.15">
      <c r="C5" s="147" t="s">
        <v>69</v>
      </c>
      <c r="D5" s="118" t="s">
        <v>70</v>
      </c>
      <c r="E5" s="116" t="s">
        <v>71</v>
      </c>
      <c r="F5" s="764"/>
      <c r="G5" s="147" t="s">
        <v>69</v>
      </c>
      <c r="H5" s="118" t="s">
        <v>70</v>
      </c>
      <c r="I5" s="116" t="s">
        <v>71</v>
      </c>
      <c r="J5" s="759"/>
      <c r="L5" s="147" t="s">
        <v>90</v>
      </c>
      <c r="M5" s="118" t="s">
        <v>91</v>
      </c>
      <c r="N5" s="116" t="s">
        <v>71</v>
      </c>
      <c r="O5" s="759"/>
      <c r="Q5" s="147" t="s">
        <v>69</v>
      </c>
      <c r="R5" s="118" t="s">
        <v>70</v>
      </c>
      <c r="S5" s="116" t="s">
        <v>71</v>
      </c>
      <c r="T5" s="754"/>
    </row>
    <row r="6" spans="2:20" ht="17" thickBot="1" x14ac:dyDescent="0.2">
      <c r="C6" s="148"/>
      <c r="D6" s="105"/>
      <c r="E6" s="105"/>
      <c r="F6" s="149"/>
      <c r="G6" s="148"/>
      <c r="H6" s="105"/>
      <c r="I6" s="105"/>
      <c r="J6" s="176"/>
      <c r="L6" s="148"/>
      <c r="M6" s="105"/>
      <c r="N6" s="105"/>
      <c r="O6" s="176"/>
      <c r="Q6" s="148"/>
      <c r="R6" s="105"/>
      <c r="S6" s="105"/>
      <c r="T6" s="291"/>
    </row>
    <row r="7" spans="2:20" x14ac:dyDescent="0.15">
      <c r="B7" s="168" t="s">
        <v>54</v>
      </c>
      <c r="C7" s="150">
        <f>+'Tab 0'!B20</f>
        <v>128140000</v>
      </c>
      <c r="D7" s="125">
        <f>+'Tab 0'!C20</f>
        <v>123000000</v>
      </c>
      <c r="E7" s="125">
        <f>+'Tab 0'!D20</f>
        <v>77900000</v>
      </c>
      <c r="F7" s="151">
        <f>SUM(C7:E7)</f>
        <v>329040000</v>
      </c>
      <c r="G7" s="150">
        <f>C7*(1+'Tab 0'!B$10)</f>
        <v>129421400</v>
      </c>
      <c r="H7" s="125">
        <f>D7*(1+'Tab 0'!C$10)</f>
        <v>120540000</v>
      </c>
      <c r="I7" s="125">
        <f>E7*(1+'Tab 0'!D$10)</f>
        <v>81795000</v>
      </c>
      <c r="J7" s="177">
        <f>SUM(G7:I7)</f>
        <v>331756400</v>
      </c>
      <c r="L7" s="201">
        <f t="shared" ref="L7:L16" si="0">IFERROR((G7-C7)/C7,0)</f>
        <v>0.01</v>
      </c>
      <c r="M7" s="199">
        <f t="shared" ref="M7:M16" si="1">IFERROR((H7-D7)/D7,0)</f>
        <v>-0.02</v>
      </c>
      <c r="N7" s="199">
        <f t="shared" ref="N7:N16" si="2">IFERROR((I7-E7)/E7,0)</f>
        <v>0.05</v>
      </c>
      <c r="O7" s="200">
        <f t="shared" ref="O7:O16" si="3">IFERROR((J7-F7)/F7,0)</f>
        <v>8.25553124240214E-3</v>
      </c>
      <c r="Q7" s="150">
        <f>G7*(1+'Tab 0'!B11)</f>
        <v>132009828</v>
      </c>
      <c r="R7" s="125">
        <f>H7*(1+'Tab 0'!C11)</f>
        <v>115718400</v>
      </c>
      <c r="S7" s="125">
        <f>I7*(1+'Tab 0'!D11)</f>
        <v>88338600</v>
      </c>
      <c r="T7" s="292">
        <f>SUM(Q7:S7)</f>
        <v>336066828</v>
      </c>
    </row>
    <row r="8" spans="2:20" x14ac:dyDescent="0.15">
      <c r="B8" s="169" t="s">
        <v>55</v>
      </c>
      <c r="C8" s="152">
        <f>+'Tab 0'!B22</f>
        <v>22111</v>
      </c>
      <c r="D8" s="133">
        <f>+'Tab 0'!C22</f>
        <v>683333.33333333337</v>
      </c>
      <c r="E8" s="133">
        <f>+'Tab 0'!D22</f>
        <v>3158</v>
      </c>
      <c r="F8" s="153">
        <f>SUM(C8:E8)</f>
        <v>708602.33333333337</v>
      </c>
      <c r="G8" s="186">
        <f>C8</f>
        <v>22111</v>
      </c>
      <c r="H8" s="133">
        <f>H7/180</f>
        <v>669666.66666666663</v>
      </c>
      <c r="I8" s="139">
        <f t="shared" ref="I8" si="4">E8</f>
        <v>3158</v>
      </c>
      <c r="J8" s="178">
        <f>SUM(G8:I8)</f>
        <v>694935.66666666663</v>
      </c>
      <c r="L8" s="201">
        <f t="shared" si="0"/>
        <v>0</v>
      </c>
      <c r="M8" s="199">
        <f t="shared" si="1"/>
        <v>-2.0000000000000111E-2</v>
      </c>
      <c r="N8" s="199">
        <f t="shared" si="2"/>
        <v>0</v>
      </c>
      <c r="O8" s="200">
        <f t="shared" si="3"/>
        <v>-1.928679320371051E-2</v>
      </c>
      <c r="Q8" s="152">
        <f>+G8</f>
        <v>22111</v>
      </c>
      <c r="R8" s="133">
        <f>R7/180</f>
        <v>642880</v>
      </c>
      <c r="S8" s="133">
        <f t="shared" ref="S8" si="5">O8</f>
        <v>-1.928679320371051E-2</v>
      </c>
      <c r="T8" s="293">
        <f>SUM(Q8:S8)</f>
        <v>664990.98071320681</v>
      </c>
    </row>
    <row r="9" spans="2:20" x14ac:dyDescent="0.15">
      <c r="B9" s="169" t="s">
        <v>59</v>
      </c>
      <c r="C9" s="154">
        <f>C7/C8</f>
        <v>5795.3055040477593</v>
      </c>
      <c r="D9" s="109">
        <f t="shared" ref="D9:F9" si="6">D7/D8</f>
        <v>180</v>
      </c>
      <c r="E9" s="109">
        <f t="shared" si="6"/>
        <v>24667.511082963902</v>
      </c>
      <c r="F9" s="155">
        <f t="shared" si="6"/>
        <v>464.35071481089295</v>
      </c>
      <c r="G9" s="154">
        <f>G7/G8</f>
        <v>5853.2585590882363</v>
      </c>
      <c r="H9" s="109">
        <f t="shared" ref="H9" si="7">H7/H8</f>
        <v>180</v>
      </c>
      <c r="I9" s="109">
        <f t="shared" ref="I9" si="8">I7/I8</f>
        <v>25900.886637112097</v>
      </c>
      <c r="J9" s="179">
        <f t="shared" ref="J9" si="9">J7/J8</f>
        <v>477.39152832852159</v>
      </c>
      <c r="L9" s="201">
        <f t="shared" si="0"/>
        <v>9.9999999999998996E-3</v>
      </c>
      <c r="M9" s="202">
        <f t="shared" si="1"/>
        <v>0</v>
      </c>
      <c r="N9" s="202">
        <f t="shared" si="2"/>
        <v>0.05</v>
      </c>
      <c r="O9" s="200">
        <f t="shared" si="3"/>
        <v>2.8083974249807093E-2</v>
      </c>
      <c r="Q9" s="297">
        <f>Q7/Q8</f>
        <v>5970.3237302700018</v>
      </c>
      <c r="R9" s="298">
        <f t="shared" ref="R9:T9" si="10">R7/R8</f>
        <v>180</v>
      </c>
      <c r="S9" s="298">
        <f t="shared" si="10"/>
        <v>-4580263762.1999741</v>
      </c>
      <c r="T9" s="294">
        <f t="shared" si="10"/>
        <v>505.3705053857517</v>
      </c>
    </row>
    <row r="10" spans="2:20" ht="17" thickBot="1" x14ac:dyDescent="0.2">
      <c r="B10" s="169"/>
      <c r="C10" s="154"/>
      <c r="D10" s="109"/>
      <c r="E10" s="109"/>
      <c r="F10" s="155"/>
      <c r="G10" s="154"/>
      <c r="H10" s="109"/>
      <c r="I10" s="109"/>
      <c r="J10" s="179"/>
      <c r="L10" s="154"/>
      <c r="M10" s="109"/>
      <c r="N10" s="109"/>
      <c r="O10" s="179"/>
      <c r="Q10" s="297"/>
      <c r="R10" s="298"/>
      <c r="S10" s="298"/>
      <c r="T10" s="294"/>
    </row>
    <row r="11" spans="2:20" ht="17" thickBot="1" x14ac:dyDescent="0.2">
      <c r="B11" s="172" t="s">
        <v>57</v>
      </c>
      <c r="C11" s="173">
        <f>'Tab 0'!B24</f>
        <v>38442000</v>
      </c>
      <c r="D11" s="174">
        <f>'Tab 0'!C24</f>
        <v>79446800</v>
      </c>
      <c r="E11" s="174">
        <f>'Tab 0'!D24</f>
        <v>10251200</v>
      </c>
      <c r="F11" s="175">
        <f>SUM(C11:E11)</f>
        <v>128140000</v>
      </c>
      <c r="G11" s="173">
        <f>+G14*G15</f>
        <v>52151533.258064516</v>
      </c>
      <c r="H11" s="174">
        <f>+H12*H7</f>
        <v>77857864</v>
      </c>
      <c r="I11" s="174">
        <f>+I14*I15</f>
        <v>13800000</v>
      </c>
      <c r="J11" s="180">
        <f>SUM(G11:I11)</f>
        <v>143809397.25806451</v>
      </c>
      <c r="L11" s="203">
        <f t="shared" si="0"/>
        <v>0.35662903225806453</v>
      </c>
      <c r="M11" s="204">
        <f t="shared" si="1"/>
        <v>-0.02</v>
      </c>
      <c r="N11" s="204">
        <f t="shared" si="2"/>
        <v>0.34618386140159202</v>
      </c>
      <c r="O11" s="205">
        <f t="shared" si="3"/>
        <v>0.12228341858954665</v>
      </c>
      <c r="Q11" s="299">
        <f>Q12*Q7</f>
        <v>53194563.923225805</v>
      </c>
      <c r="R11" s="300">
        <f t="shared" ref="R11:S11" si="11">R12*R7</f>
        <v>74743549.439999998</v>
      </c>
      <c r="S11" s="300">
        <f t="shared" si="11"/>
        <v>14904000</v>
      </c>
      <c r="T11" s="295">
        <f>SUM(Q11:S11)</f>
        <v>142842113.36322582</v>
      </c>
    </row>
    <row r="12" spans="2:20" s="129" customFormat="1" ht="17" thickBot="1" x14ac:dyDescent="0.2">
      <c r="B12" s="170" t="s">
        <v>56</v>
      </c>
      <c r="C12" s="188">
        <f>'Tab 0'!B26</f>
        <v>0.3</v>
      </c>
      <c r="D12" s="189">
        <f>'Tab 0'!C26</f>
        <v>0.64590894308943092</v>
      </c>
      <c r="E12" s="189">
        <f>'Tab 0'!D26</f>
        <v>0.13159435173299103</v>
      </c>
      <c r="F12" s="190">
        <f>'Tab 0'!E26</f>
        <v>0.31253658536585366</v>
      </c>
      <c r="G12" s="188">
        <f>+G11/G7</f>
        <v>0.40295911849249438</v>
      </c>
      <c r="H12" s="191">
        <f>+D12</f>
        <v>0.64590894308943092</v>
      </c>
      <c r="I12" s="189">
        <f>+I11/I7</f>
        <v>0.16871446909957821</v>
      </c>
      <c r="J12" s="192">
        <f>+J11/J7</f>
        <v>0.433478893724626</v>
      </c>
      <c r="L12" s="203">
        <f t="shared" si="0"/>
        <v>0.34319706164164798</v>
      </c>
      <c r="M12" s="204">
        <f t="shared" si="1"/>
        <v>0</v>
      </c>
      <c r="N12" s="204">
        <f t="shared" si="2"/>
        <v>0.28207986800151608</v>
      </c>
      <c r="O12" s="205">
        <f t="shared" si="3"/>
        <v>0.38697008293348417</v>
      </c>
      <c r="Q12" s="289">
        <f>G12</f>
        <v>0.40295911849249438</v>
      </c>
      <c r="R12" s="290">
        <f t="shared" ref="R12:S12" si="12">H12</f>
        <v>0.64590894308943092</v>
      </c>
      <c r="S12" s="290">
        <f t="shared" si="12"/>
        <v>0.16871446909957821</v>
      </c>
      <c r="T12" s="296">
        <f>+T11/T7</f>
        <v>0.42504079981147624</v>
      </c>
    </row>
    <row r="13" spans="2:20" x14ac:dyDescent="0.15">
      <c r="B13" s="169"/>
      <c r="C13" s="156"/>
      <c r="D13" s="134"/>
      <c r="E13" s="134"/>
      <c r="F13" s="157"/>
      <c r="G13" s="156"/>
      <c r="H13" s="134"/>
      <c r="I13" s="134"/>
      <c r="J13" s="181"/>
      <c r="L13" s="156"/>
      <c r="M13" s="134"/>
      <c r="N13" s="134"/>
      <c r="O13" s="181"/>
    </row>
    <row r="14" spans="2:20" x14ac:dyDescent="0.15">
      <c r="B14" s="169" t="s">
        <v>58</v>
      </c>
      <c r="C14" s="152">
        <f>'Tab 0'!B28</f>
        <v>6200</v>
      </c>
      <c r="D14" s="133">
        <f>'Tab 0'!C28</f>
        <v>441371.11111111112</v>
      </c>
      <c r="E14" s="133">
        <f>'Tab 0'!D28</f>
        <v>600</v>
      </c>
      <c r="F14" s="153">
        <f>SUM(C14:E14)</f>
        <v>448171.11111111112</v>
      </c>
      <c r="G14" s="152">
        <f>G8*G16</f>
        <v>8411.1</v>
      </c>
      <c r="H14" s="133">
        <f>H11/180</f>
        <v>432543.68888888886</v>
      </c>
      <c r="I14" s="139">
        <f>+E14</f>
        <v>600</v>
      </c>
      <c r="J14" s="178">
        <f>SUM(G14:I14)</f>
        <v>441554.78888888884</v>
      </c>
      <c r="L14" s="201">
        <f t="shared" si="0"/>
        <v>0.35662903225806458</v>
      </c>
      <c r="M14" s="202">
        <f t="shared" si="1"/>
        <v>-2.0000000000000084E-2</v>
      </c>
      <c r="N14" s="202">
        <f t="shared" si="2"/>
        <v>0</v>
      </c>
      <c r="O14" s="200">
        <f t="shared" si="3"/>
        <v>-1.4762937766825307E-2</v>
      </c>
    </row>
    <row r="15" spans="2:20" x14ac:dyDescent="0.15">
      <c r="B15" s="169" t="s">
        <v>59</v>
      </c>
      <c r="C15" s="158">
        <f>+C11/C14</f>
        <v>6200.322580645161</v>
      </c>
      <c r="D15" s="135">
        <f t="shared" ref="D15:F15" si="13">+D11/D14</f>
        <v>180</v>
      </c>
      <c r="E15" s="135">
        <f t="shared" si="13"/>
        <v>17085.333333333332</v>
      </c>
      <c r="F15" s="159">
        <f t="shared" si="13"/>
        <v>285.91758108262218</v>
      </c>
      <c r="G15" s="158">
        <f>+C15</f>
        <v>6200.322580645161</v>
      </c>
      <c r="H15" s="135">
        <f t="shared" ref="H15" si="14">+H11/H14</f>
        <v>180</v>
      </c>
      <c r="I15" s="146">
        <v>23000</v>
      </c>
      <c r="J15" s="182">
        <f t="shared" ref="J15" si="15">+J11/J14</f>
        <v>325.68868207712308</v>
      </c>
      <c r="L15" s="201">
        <f t="shared" si="0"/>
        <v>0</v>
      </c>
      <c r="M15" s="202">
        <f t="shared" si="1"/>
        <v>0</v>
      </c>
      <c r="N15" s="202">
        <f t="shared" si="2"/>
        <v>0.34618386140159213</v>
      </c>
      <c r="O15" s="200">
        <f t="shared" si="3"/>
        <v>0.13909987921661998</v>
      </c>
    </row>
    <row r="16" spans="2:20" s="129" customFormat="1" x14ac:dyDescent="0.15">
      <c r="B16" s="170" t="s">
        <v>60</v>
      </c>
      <c r="C16" s="193">
        <f>C14/C8</f>
        <v>0.28040341911265887</v>
      </c>
      <c r="D16" s="194">
        <f t="shared" ref="D16:F16" si="16">D14/D8</f>
        <v>0.64590894308943092</v>
      </c>
      <c r="E16" s="194">
        <f t="shared" si="16"/>
        <v>0.18999366687777075</v>
      </c>
      <c r="F16" s="195">
        <f t="shared" si="16"/>
        <v>0.63247196633247205</v>
      </c>
      <c r="G16" s="196">
        <f>+C16+10%</f>
        <v>0.38040341911265885</v>
      </c>
      <c r="H16" s="194">
        <f t="shared" ref="H16:J16" si="17">H14/H8</f>
        <v>0.64590894308943092</v>
      </c>
      <c r="I16" s="194">
        <f t="shared" si="17"/>
        <v>0.18999366687777075</v>
      </c>
      <c r="J16" s="197">
        <f t="shared" si="17"/>
        <v>0.63538944692082611</v>
      </c>
      <c r="L16" s="203">
        <f t="shared" si="0"/>
        <v>0.35662903225806442</v>
      </c>
      <c r="M16" s="204">
        <f t="shared" si="1"/>
        <v>0</v>
      </c>
      <c r="N16" s="204">
        <f t="shared" si="2"/>
        <v>0</v>
      </c>
      <c r="O16" s="205">
        <f t="shared" si="3"/>
        <v>4.6128219805088178E-3</v>
      </c>
    </row>
    <row r="17" spans="2:15" x14ac:dyDescent="0.15">
      <c r="B17" s="169"/>
      <c r="C17" s="156"/>
      <c r="D17" s="134"/>
      <c r="E17" s="134"/>
      <c r="F17" s="157"/>
      <c r="G17" s="156"/>
      <c r="H17" s="134"/>
      <c r="I17" s="134"/>
      <c r="J17" s="181"/>
      <c r="L17" s="156"/>
      <c r="M17" s="134"/>
      <c r="N17" s="134"/>
      <c r="O17" s="181"/>
    </row>
    <row r="18" spans="2:15" x14ac:dyDescent="0.15">
      <c r="B18" s="169" t="s">
        <v>78</v>
      </c>
      <c r="C18" s="160"/>
      <c r="D18" s="106"/>
      <c r="E18" s="106"/>
      <c r="F18" s="161"/>
      <c r="G18" s="160"/>
      <c r="H18" s="106"/>
      <c r="I18" s="106"/>
      <c r="J18" s="183"/>
      <c r="L18" s="160"/>
      <c r="M18" s="106"/>
      <c r="N18" s="106"/>
      <c r="O18" s="183"/>
    </row>
    <row r="19" spans="2:15" x14ac:dyDescent="0.15">
      <c r="B19" s="169" t="s">
        <v>79</v>
      </c>
      <c r="C19" s="162">
        <f>+'Tab 0'!B52</f>
        <v>50</v>
      </c>
      <c r="D19" s="136">
        <f>+'Tab 0'!C52</f>
        <v>0</v>
      </c>
      <c r="E19" s="136">
        <f>+'Tab 0'!D52</f>
        <v>7</v>
      </c>
      <c r="F19" s="161">
        <f t="shared" ref="F19:F22" si="18">SUM(C19:E19)</f>
        <v>57</v>
      </c>
      <c r="G19" s="198">
        <f>+C19+2</f>
        <v>52</v>
      </c>
      <c r="H19" s="136">
        <f>+D19</f>
        <v>0</v>
      </c>
      <c r="I19" s="136">
        <f>+E19</f>
        <v>7</v>
      </c>
      <c r="J19" s="183">
        <f t="shared" ref="J19:J22" si="19">SUM(G19:I19)</f>
        <v>59</v>
      </c>
      <c r="L19" s="201">
        <f>IFERROR((G19-C19)/C19,0)</f>
        <v>0.04</v>
      </c>
      <c r="M19" s="202">
        <f>IFERROR((H19-D19)/D19,0)</f>
        <v>0</v>
      </c>
      <c r="N19" s="202">
        <f t="shared" ref="N19:O22" si="20">IFERROR((I19-E19)/E19,0)</f>
        <v>0</v>
      </c>
      <c r="O19" s="200">
        <f t="shared" si="20"/>
        <v>3.5087719298245612E-2</v>
      </c>
    </row>
    <row r="20" spans="2:15" x14ac:dyDescent="0.15">
      <c r="B20" s="169" t="s">
        <v>80</v>
      </c>
      <c r="C20" s="162">
        <f>+'Tab 0'!B53</f>
        <v>40</v>
      </c>
      <c r="D20" s="136">
        <f>+'Tab 0'!C53</f>
        <v>0</v>
      </c>
      <c r="E20" s="136">
        <f>+'Tab 0'!D53</f>
        <v>2</v>
      </c>
      <c r="F20" s="161">
        <f t="shared" si="18"/>
        <v>42</v>
      </c>
      <c r="G20" s="198">
        <f>+C20+1</f>
        <v>41</v>
      </c>
      <c r="H20" s="136">
        <f t="shared" ref="H20:I21" si="21">+D20</f>
        <v>0</v>
      </c>
      <c r="I20" s="136">
        <f t="shared" si="21"/>
        <v>2</v>
      </c>
      <c r="J20" s="183">
        <f t="shared" si="19"/>
        <v>43</v>
      </c>
      <c r="L20" s="201">
        <f t="shared" ref="L20:M24" si="22">IFERROR((G20-C20)/C20,0)</f>
        <v>2.5000000000000001E-2</v>
      </c>
      <c r="M20" s="202">
        <f t="shared" si="22"/>
        <v>0</v>
      </c>
      <c r="N20" s="202">
        <f t="shared" si="20"/>
        <v>0</v>
      </c>
      <c r="O20" s="200">
        <f t="shared" si="20"/>
        <v>2.3809523809523808E-2</v>
      </c>
    </row>
    <row r="21" spans="2:15" x14ac:dyDescent="0.15">
      <c r="B21" s="169" t="s">
        <v>81</v>
      </c>
      <c r="C21" s="162">
        <f>+'Tab 0'!B54</f>
        <v>25</v>
      </c>
      <c r="D21" s="136">
        <f>+'Tab 0'!C54</f>
        <v>0</v>
      </c>
      <c r="E21" s="136">
        <f>+'Tab 0'!D54</f>
        <v>3</v>
      </c>
      <c r="F21" s="161">
        <f t="shared" si="18"/>
        <v>28</v>
      </c>
      <c r="G21" s="198">
        <f>+C21+4</f>
        <v>29</v>
      </c>
      <c r="H21" s="136">
        <f t="shared" si="21"/>
        <v>0</v>
      </c>
      <c r="I21" s="136">
        <f t="shared" si="21"/>
        <v>3</v>
      </c>
      <c r="J21" s="183">
        <f t="shared" si="19"/>
        <v>32</v>
      </c>
      <c r="L21" s="201">
        <f t="shared" si="22"/>
        <v>0.16</v>
      </c>
      <c r="M21" s="202">
        <f t="shared" si="22"/>
        <v>0</v>
      </c>
      <c r="N21" s="202">
        <f t="shared" si="20"/>
        <v>0</v>
      </c>
      <c r="O21" s="200">
        <f t="shared" si="20"/>
        <v>0.14285714285714285</v>
      </c>
    </row>
    <row r="22" spans="2:15" x14ac:dyDescent="0.15">
      <c r="B22" s="170" t="s">
        <v>82</v>
      </c>
      <c r="C22" s="163">
        <f>SUM(C19:C21)</f>
        <v>115</v>
      </c>
      <c r="D22" s="137">
        <f t="shared" ref="D22:E22" si="23">SUM(D19:D21)</f>
        <v>0</v>
      </c>
      <c r="E22" s="137">
        <f t="shared" si="23"/>
        <v>12</v>
      </c>
      <c r="F22" s="164">
        <f t="shared" si="18"/>
        <v>127</v>
      </c>
      <c r="G22" s="163">
        <f>SUM(G19:G21)</f>
        <v>122</v>
      </c>
      <c r="H22" s="137">
        <f t="shared" ref="H22" si="24">SUM(H19:H21)</f>
        <v>0</v>
      </c>
      <c r="I22" s="137">
        <f t="shared" ref="I22" si="25">SUM(I19:I21)</f>
        <v>12</v>
      </c>
      <c r="J22" s="184">
        <f t="shared" si="19"/>
        <v>134</v>
      </c>
      <c r="L22" s="203">
        <f t="shared" si="22"/>
        <v>6.0869565217391307E-2</v>
      </c>
      <c r="M22" s="204">
        <f t="shared" si="22"/>
        <v>0</v>
      </c>
      <c r="N22" s="204">
        <f t="shared" si="20"/>
        <v>0</v>
      </c>
      <c r="O22" s="205">
        <f t="shared" si="20"/>
        <v>5.5118110236220472E-2</v>
      </c>
    </row>
    <row r="23" spans="2:15" ht="5" customHeight="1" x14ac:dyDescent="0.15">
      <c r="B23" s="169"/>
      <c r="C23" s="160"/>
      <c r="D23" s="106"/>
      <c r="E23" s="106"/>
      <c r="F23" s="161"/>
      <c r="G23" s="160"/>
      <c r="H23" s="106"/>
      <c r="I23" s="106"/>
      <c r="J23" s="183"/>
      <c r="L23" s="160"/>
      <c r="M23" s="106"/>
      <c r="N23" s="106"/>
      <c r="O23" s="183"/>
    </row>
    <row r="24" spans="2:15" ht="17" thickBot="1" x14ac:dyDescent="0.2">
      <c r="B24" s="171" t="s">
        <v>61</v>
      </c>
      <c r="C24" s="165">
        <f t="shared" ref="C24:J24" si="26">IFERROR(C11/C22,0)</f>
        <v>334278.26086956525</v>
      </c>
      <c r="D24" s="166">
        <f t="shared" si="26"/>
        <v>0</v>
      </c>
      <c r="E24" s="166">
        <f t="shared" si="26"/>
        <v>854266.66666666663</v>
      </c>
      <c r="F24" s="167">
        <f t="shared" si="26"/>
        <v>1008976.3779527559</v>
      </c>
      <c r="G24" s="165">
        <f t="shared" si="26"/>
        <v>427471.584082496</v>
      </c>
      <c r="H24" s="166">
        <f t="shared" si="26"/>
        <v>0</v>
      </c>
      <c r="I24" s="166">
        <f t="shared" si="26"/>
        <v>1150000</v>
      </c>
      <c r="J24" s="185">
        <f t="shared" si="26"/>
        <v>1073204.4571497352</v>
      </c>
      <c r="L24" s="206">
        <f t="shared" si="22"/>
        <v>0.27878966155473273</v>
      </c>
      <c r="M24" s="207">
        <f t="shared" si="22"/>
        <v>0</v>
      </c>
      <c r="N24" s="207">
        <f t="shared" ref="N24" si="27">IFERROR((I24-E24)/E24,0)</f>
        <v>0.34618386140159207</v>
      </c>
      <c r="O24" s="208">
        <f t="shared" ref="O24" si="28">IFERROR((J24-F24)/F24,0)</f>
        <v>6.3656672842331591E-2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120C-AA0B-E84F-BA5A-9B6219C35D27}">
  <sheetPr>
    <tabColor theme="0" tint="-0.499984740745262"/>
  </sheetPr>
  <dimension ref="B2:N39"/>
  <sheetViews>
    <sheetView showGridLines="0" topLeftCell="A13" zoomScale="190" zoomScaleNormal="190" workbookViewId="0">
      <selection activeCell="B4" sqref="B4:N39"/>
    </sheetView>
  </sheetViews>
  <sheetFormatPr baseColWidth="10" defaultRowHeight="14" x14ac:dyDescent="0.2"/>
  <cols>
    <col min="1" max="1" width="10.83203125" style="3"/>
    <col min="2" max="2" width="23.6640625" style="3" customWidth="1"/>
    <col min="3" max="3" width="13.33203125" style="423" bestFit="1" customWidth="1"/>
    <col min="4" max="11" width="10.83203125" style="3"/>
    <col min="12" max="12" width="4.6640625" style="3" customWidth="1"/>
    <col min="13" max="16384" width="10.83203125" style="3"/>
  </cols>
  <sheetData>
    <row r="2" spans="2:14" x14ac:dyDescent="0.2">
      <c r="B2" s="3" t="s">
        <v>632</v>
      </c>
    </row>
    <row r="3" spans="2:14" ht="15" thickBot="1" x14ac:dyDescent="0.25"/>
    <row r="4" spans="2:14" x14ac:dyDescent="0.2">
      <c r="B4" s="819" t="s">
        <v>658</v>
      </c>
      <c r="C4" s="816" t="s">
        <v>657</v>
      </c>
      <c r="D4" s="817"/>
      <c r="E4" s="817"/>
      <c r="F4" s="817"/>
      <c r="G4" s="817"/>
      <c r="H4" s="817"/>
      <c r="I4" s="817"/>
      <c r="J4" s="817"/>
      <c r="K4" s="818"/>
      <c r="M4" s="821" t="s">
        <v>659</v>
      </c>
      <c r="N4" s="822"/>
    </row>
    <row r="5" spans="2:14" s="437" customFormat="1" x14ac:dyDescent="0.2">
      <c r="B5" s="820"/>
      <c r="C5" s="438" t="s">
        <v>633</v>
      </c>
      <c r="D5" s="439" t="s">
        <v>634</v>
      </c>
      <c r="E5" s="439" t="s">
        <v>635</v>
      </c>
      <c r="F5" s="440" t="s">
        <v>636</v>
      </c>
      <c r="G5" s="445" t="s">
        <v>656</v>
      </c>
      <c r="H5" s="448" t="s">
        <v>637</v>
      </c>
      <c r="I5" s="439" t="s">
        <v>638</v>
      </c>
      <c r="J5" s="439" t="s">
        <v>635</v>
      </c>
      <c r="K5" s="450" t="s">
        <v>639</v>
      </c>
      <c r="M5" s="448" t="s">
        <v>640</v>
      </c>
      <c r="N5" s="440" t="s">
        <v>641</v>
      </c>
    </row>
    <row r="6" spans="2:14" x14ac:dyDescent="0.2">
      <c r="B6" s="451" t="s">
        <v>642</v>
      </c>
      <c r="C6" s="441">
        <v>150000</v>
      </c>
      <c r="D6" s="433"/>
      <c r="E6" s="433"/>
      <c r="F6" s="444">
        <f>+C6+D6-E6</f>
        <v>150000</v>
      </c>
      <c r="G6" s="446">
        <v>0.15</v>
      </c>
      <c r="H6" s="441">
        <v>50000</v>
      </c>
      <c r="I6" s="449">
        <v>22500</v>
      </c>
      <c r="J6" s="432"/>
      <c r="K6" s="452">
        <f>+H6+I6-J6</f>
        <v>72500</v>
      </c>
      <c r="M6" s="468">
        <f>+I6</f>
        <v>22500</v>
      </c>
      <c r="N6" s="443"/>
    </row>
    <row r="7" spans="2:14" x14ac:dyDescent="0.2">
      <c r="B7" s="453" t="s">
        <v>643</v>
      </c>
      <c r="C7" s="441">
        <v>1500000</v>
      </c>
      <c r="D7" s="433"/>
      <c r="E7" s="433"/>
      <c r="F7" s="444">
        <f t="shared" ref="F7:F16" si="0">+C7+D7-E7</f>
        <v>1500000</v>
      </c>
      <c r="G7" s="446">
        <v>0.2</v>
      </c>
      <c r="H7" s="441">
        <v>450000</v>
      </c>
      <c r="I7" s="449">
        <v>300000</v>
      </c>
      <c r="J7" s="432"/>
      <c r="K7" s="452">
        <f t="shared" ref="K7:K16" si="1">+H7+I7-J7</f>
        <v>750000</v>
      </c>
      <c r="M7" s="468">
        <f t="shared" ref="M7:M8" si="2">+I7</f>
        <v>300000</v>
      </c>
      <c r="N7" s="443"/>
    </row>
    <row r="8" spans="2:14" x14ac:dyDescent="0.2">
      <c r="B8" s="453" t="s">
        <v>644</v>
      </c>
      <c r="C8" s="441">
        <v>5600000</v>
      </c>
      <c r="D8" s="433">
        <v>75000</v>
      </c>
      <c r="E8" s="433"/>
      <c r="F8" s="444">
        <f t="shared" si="0"/>
        <v>5675000</v>
      </c>
      <c r="G8" s="446">
        <v>0.15</v>
      </c>
      <c r="H8" s="441">
        <v>1200000</v>
      </c>
      <c r="I8" s="449">
        <v>845630</v>
      </c>
      <c r="J8" s="432"/>
      <c r="K8" s="452">
        <f t="shared" si="1"/>
        <v>2045630</v>
      </c>
      <c r="M8" s="468">
        <f t="shared" si="2"/>
        <v>845630</v>
      </c>
      <c r="N8" s="443"/>
    </row>
    <row r="9" spans="2:14" x14ac:dyDescent="0.2">
      <c r="B9" s="453" t="s">
        <v>645</v>
      </c>
      <c r="C9" s="441">
        <v>400000</v>
      </c>
      <c r="D9" s="433">
        <v>26000</v>
      </c>
      <c r="E9" s="433"/>
      <c r="F9" s="444">
        <f t="shared" si="0"/>
        <v>426000</v>
      </c>
      <c r="G9" s="446">
        <v>0.15</v>
      </c>
      <c r="H9" s="441">
        <v>120000</v>
      </c>
      <c r="I9" s="449">
        <v>61950</v>
      </c>
      <c r="J9" s="432"/>
      <c r="K9" s="452">
        <f t="shared" si="1"/>
        <v>181950</v>
      </c>
      <c r="M9" s="469"/>
      <c r="N9" s="442">
        <f>+I9</f>
        <v>61950</v>
      </c>
    </row>
    <row r="10" spans="2:14" x14ac:dyDescent="0.2">
      <c r="B10" s="453" t="s">
        <v>646</v>
      </c>
      <c r="C10" s="441">
        <v>110000</v>
      </c>
      <c r="D10" s="433">
        <v>10000</v>
      </c>
      <c r="E10" s="433"/>
      <c r="F10" s="444">
        <f t="shared" si="0"/>
        <v>120000</v>
      </c>
      <c r="G10" s="446">
        <v>0.2</v>
      </c>
      <c r="H10" s="441">
        <v>42560</v>
      </c>
      <c r="I10" s="449">
        <v>23000</v>
      </c>
      <c r="J10" s="432"/>
      <c r="K10" s="452">
        <f t="shared" si="1"/>
        <v>65560</v>
      </c>
      <c r="M10" s="469"/>
      <c r="N10" s="442">
        <f>+I10</f>
        <v>23000</v>
      </c>
    </row>
    <row r="11" spans="2:14" x14ac:dyDescent="0.2">
      <c r="B11" s="453" t="s">
        <v>647</v>
      </c>
      <c r="C11" s="441">
        <v>250000</v>
      </c>
      <c r="D11" s="433"/>
      <c r="E11" s="433"/>
      <c r="F11" s="444">
        <f t="shared" si="0"/>
        <v>250000</v>
      </c>
      <c r="G11" s="446">
        <v>0.2</v>
      </c>
      <c r="H11" s="441">
        <v>75000</v>
      </c>
      <c r="I11" s="449">
        <v>50000</v>
      </c>
      <c r="J11" s="432"/>
      <c r="K11" s="452">
        <f t="shared" si="1"/>
        <v>125000</v>
      </c>
      <c r="M11" s="468">
        <f>+I11</f>
        <v>50000</v>
      </c>
      <c r="N11" s="443"/>
    </row>
    <row r="12" spans="2:14" x14ac:dyDescent="0.2">
      <c r="B12" s="453" t="s">
        <v>648</v>
      </c>
      <c r="C12" s="441">
        <v>67000</v>
      </c>
      <c r="D12" s="433"/>
      <c r="E12" s="433"/>
      <c r="F12" s="444">
        <f t="shared" si="0"/>
        <v>67000</v>
      </c>
      <c r="G12" s="446">
        <v>1</v>
      </c>
      <c r="H12" s="441">
        <v>67000</v>
      </c>
      <c r="I12" s="449">
        <v>0</v>
      </c>
      <c r="J12" s="432"/>
      <c r="K12" s="452">
        <f t="shared" si="1"/>
        <v>67000</v>
      </c>
      <c r="M12" s="469"/>
      <c r="N12" s="442">
        <f>+I12</f>
        <v>0</v>
      </c>
    </row>
    <row r="13" spans="2:14" x14ac:dyDescent="0.2">
      <c r="B13" s="453" t="s">
        <v>649</v>
      </c>
      <c r="C13" s="441">
        <v>550000</v>
      </c>
      <c r="D13" s="433"/>
      <c r="E13" s="433"/>
      <c r="F13" s="444">
        <f t="shared" si="0"/>
        <v>550000</v>
      </c>
      <c r="G13" s="446">
        <v>0.2</v>
      </c>
      <c r="H13" s="441">
        <v>164980</v>
      </c>
      <c r="I13" s="449">
        <v>110000</v>
      </c>
      <c r="J13" s="432"/>
      <c r="K13" s="452">
        <f t="shared" si="1"/>
        <v>274980</v>
      </c>
      <c r="M13" s="469"/>
      <c r="N13" s="442">
        <f t="shared" ref="N13:N16" si="3">+I13</f>
        <v>110000</v>
      </c>
    </row>
    <row r="14" spans="2:14" x14ac:dyDescent="0.2">
      <c r="B14" s="453" t="s">
        <v>650</v>
      </c>
      <c r="C14" s="441">
        <v>3500000</v>
      </c>
      <c r="D14" s="433">
        <v>500000</v>
      </c>
      <c r="E14" s="433"/>
      <c r="F14" s="444">
        <f t="shared" si="0"/>
        <v>4000000</v>
      </c>
      <c r="G14" s="446">
        <v>0.1</v>
      </c>
      <c r="H14" s="441">
        <v>13950</v>
      </c>
      <c r="I14" s="449">
        <v>400000</v>
      </c>
      <c r="J14" s="432"/>
      <c r="K14" s="452">
        <f t="shared" si="1"/>
        <v>413950</v>
      </c>
      <c r="M14" s="469"/>
      <c r="N14" s="442">
        <f t="shared" si="3"/>
        <v>400000</v>
      </c>
    </row>
    <row r="15" spans="2:14" x14ac:dyDescent="0.2">
      <c r="B15" s="453" t="s">
        <v>651</v>
      </c>
      <c r="C15" s="441">
        <v>4000000</v>
      </c>
      <c r="D15" s="433"/>
      <c r="E15" s="433"/>
      <c r="F15" s="444">
        <f t="shared" si="0"/>
        <v>4000000</v>
      </c>
      <c r="G15" s="446">
        <v>0.2</v>
      </c>
      <c r="H15" s="441">
        <v>145770</v>
      </c>
      <c r="I15" s="449">
        <v>800000</v>
      </c>
      <c r="J15" s="432"/>
      <c r="K15" s="452">
        <f t="shared" si="1"/>
        <v>945770</v>
      </c>
      <c r="M15" s="469"/>
      <c r="N15" s="442">
        <f t="shared" si="3"/>
        <v>800000</v>
      </c>
    </row>
    <row r="16" spans="2:14" ht="15" thickBot="1" x14ac:dyDescent="0.25">
      <c r="B16" s="453" t="s">
        <v>652</v>
      </c>
      <c r="C16" s="441">
        <v>330000</v>
      </c>
      <c r="D16" s="433"/>
      <c r="E16" s="433"/>
      <c r="F16" s="444">
        <f t="shared" si="0"/>
        <v>330000</v>
      </c>
      <c r="G16" s="446">
        <v>0.2</v>
      </c>
      <c r="H16" s="441">
        <v>26550</v>
      </c>
      <c r="I16" s="449">
        <v>66000</v>
      </c>
      <c r="J16" s="432"/>
      <c r="K16" s="452">
        <f t="shared" si="1"/>
        <v>92550</v>
      </c>
      <c r="M16" s="469"/>
      <c r="N16" s="442">
        <f t="shared" si="3"/>
        <v>66000</v>
      </c>
    </row>
    <row r="17" spans="2:14" s="373" customFormat="1" ht="15" thickBot="1" x14ac:dyDescent="0.25">
      <c r="B17" s="464" t="s">
        <v>3</v>
      </c>
      <c r="C17" s="465">
        <f>SUM(C6:C16)</f>
        <v>16457000</v>
      </c>
      <c r="D17" s="466">
        <f t="shared" ref="D17:H17" si="4">SUM(D6:D16)</f>
        <v>611000</v>
      </c>
      <c r="E17" s="466">
        <f t="shared" si="4"/>
        <v>0</v>
      </c>
      <c r="F17" s="429">
        <f t="shared" si="4"/>
        <v>17068000</v>
      </c>
      <c r="G17" s="435"/>
      <c r="H17" s="467">
        <f t="shared" si="4"/>
        <v>2355810</v>
      </c>
      <c r="I17" s="466">
        <f t="shared" ref="I17" si="5">SUM(I6:I16)</f>
        <v>2679080</v>
      </c>
      <c r="J17" s="466">
        <f t="shared" ref="J17" si="6">SUM(J6:J16)</f>
        <v>0</v>
      </c>
      <c r="K17" s="429">
        <f t="shared" ref="K17" si="7">SUM(K6:K16)</f>
        <v>5034890</v>
      </c>
      <c r="M17" s="470">
        <f t="shared" ref="M17" si="8">SUM(M6:M16)</f>
        <v>1218130</v>
      </c>
      <c r="N17" s="471">
        <f t="shared" ref="N17" si="9">SUM(N6:N16)</f>
        <v>1460950</v>
      </c>
    </row>
    <row r="18" spans="2:14" x14ac:dyDescent="0.2">
      <c r="B18" s="455" t="s">
        <v>653</v>
      </c>
      <c r="C18" s="441"/>
      <c r="D18" s="432"/>
      <c r="E18" s="432"/>
      <c r="F18" s="443"/>
      <c r="G18" s="447"/>
      <c r="H18" s="441"/>
      <c r="I18" s="432"/>
      <c r="J18" s="432"/>
      <c r="K18" s="456"/>
    </row>
    <row r="19" spans="2:14" x14ac:dyDescent="0.2">
      <c r="B19" s="457" t="s">
        <v>654</v>
      </c>
      <c r="C19" s="441">
        <f>SUM(C6:C12)</f>
        <v>8077000</v>
      </c>
      <c r="D19" s="433">
        <f t="shared" ref="D19:F19" si="10">SUM(D6:D12)</f>
        <v>111000</v>
      </c>
      <c r="E19" s="433">
        <f t="shared" si="10"/>
        <v>0</v>
      </c>
      <c r="F19" s="444">
        <f t="shared" si="10"/>
        <v>8188000</v>
      </c>
      <c r="G19" s="447"/>
      <c r="H19" s="441">
        <f>SUM(H6:H12)</f>
        <v>2004560</v>
      </c>
      <c r="I19" s="433">
        <f t="shared" ref="I19:K19" si="11">SUM(I6:I12)</f>
        <v>1303080</v>
      </c>
      <c r="J19" s="433">
        <f t="shared" si="11"/>
        <v>0</v>
      </c>
      <c r="K19" s="427">
        <f t="shared" si="11"/>
        <v>3307640</v>
      </c>
    </row>
    <row r="20" spans="2:14" ht="15" thickBot="1" x14ac:dyDescent="0.25">
      <c r="B20" s="458" t="s">
        <v>655</v>
      </c>
      <c r="C20" s="459">
        <f>SUM(C13:C16)</f>
        <v>8380000</v>
      </c>
      <c r="D20" s="460">
        <f t="shared" ref="D20:F20" si="12">SUM(D13:D16)</f>
        <v>500000</v>
      </c>
      <c r="E20" s="460">
        <f t="shared" si="12"/>
        <v>0</v>
      </c>
      <c r="F20" s="461">
        <f t="shared" si="12"/>
        <v>8880000</v>
      </c>
      <c r="G20" s="462"/>
      <c r="H20" s="459">
        <f>SUM(H13:H16)</f>
        <v>351250</v>
      </c>
      <c r="I20" s="460">
        <f t="shared" ref="I20:K20" si="13">SUM(I13:I16)</f>
        <v>1376000</v>
      </c>
      <c r="J20" s="460">
        <f t="shared" si="13"/>
        <v>0</v>
      </c>
      <c r="K20" s="463">
        <f t="shared" si="13"/>
        <v>1727250</v>
      </c>
    </row>
    <row r="22" spans="2:14" ht="15" thickBot="1" x14ac:dyDescent="0.25"/>
    <row r="23" spans="2:14" x14ac:dyDescent="0.2">
      <c r="B23" s="819" t="s">
        <v>658</v>
      </c>
      <c r="C23" s="823" t="s">
        <v>99</v>
      </c>
      <c r="D23" s="824"/>
      <c r="E23" s="824"/>
      <c r="F23" s="824"/>
      <c r="G23" s="824"/>
      <c r="H23" s="824"/>
      <c r="I23" s="824"/>
      <c r="J23" s="824"/>
      <c r="K23" s="825"/>
      <c r="M23" s="821" t="s">
        <v>659</v>
      </c>
      <c r="N23" s="822"/>
    </row>
    <row r="24" spans="2:14" x14ac:dyDescent="0.2">
      <c r="B24" s="820"/>
      <c r="C24" s="438" t="s">
        <v>660</v>
      </c>
      <c r="D24" s="439" t="s">
        <v>661</v>
      </c>
      <c r="E24" s="439" t="s">
        <v>662</v>
      </c>
      <c r="F24" s="440" t="s">
        <v>663</v>
      </c>
      <c r="G24" s="445" t="s">
        <v>656</v>
      </c>
      <c r="H24" s="448" t="s">
        <v>639</v>
      </c>
      <c r="I24" s="439" t="s">
        <v>664</v>
      </c>
      <c r="J24" s="439" t="s">
        <v>662</v>
      </c>
      <c r="K24" s="450" t="s">
        <v>665</v>
      </c>
      <c r="L24" s="437"/>
      <c r="M24" s="448" t="s">
        <v>640</v>
      </c>
      <c r="N24" s="440" t="s">
        <v>641</v>
      </c>
    </row>
    <row r="25" spans="2:14" x14ac:dyDescent="0.2">
      <c r="B25" s="451" t="s">
        <v>642</v>
      </c>
      <c r="C25" s="441">
        <f>+F6</f>
        <v>150000</v>
      </c>
      <c r="D25" s="433"/>
      <c r="E25" s="433"/>
      <c r="F25" s="444">
        <f>+C25+D25-E25</f>
        <v>150000</v>
      </c>
      <c r="G25" s="446">
        <v>0.15</v>
      </c>
      <c r="H25" s="441">
        <f>+K6</f>
        <v>72500</v>
      </c>
      <c r="I25" s="449">
        <v>22500</v>
      </c>
      <c r="J25" s="432"/>
      <c r="K25" s="452">
        <f>+H25+I25-J25</f>
        <v>95000</v>
      </c>
      <c r="M25" s="468">
        <f>+I25</f>
        <v>22500</v>
      </c>
      <c r="N25" s="443"/>
    </row>
    <row r="26" spans="2:14" x14ac:dyDescent="0.2">
      <c r="B26" s="453" t="s">
        <v>643</v>
      </c>
      <c r="C26" s="441">
        <f t="shared" ref="C26:C35" si="14">+F7</f>
        <v>1500000</v>
      </c>
      <c r="D26" s="433"/>
      <c r="E26" s="433"/>
      <c r="F26" s="444">
        <f t="shared" ref="F26:F35" si="15">+C26+D26-E26</f>
        <v>1500000</v>
      </c>
      <c r="G26" s="446">
        <v>0.2</v>
      </c>
      <c r="H26" s="441">
        <f t="shared" ref="H26:H35" si="16">+K7</f>
        <v>750000</v>
      </c>
      <c r="I26" s="449">
        <v>300000</v>
      </c>
      <c r="J26" s="432"/>
      <c r="K26" s="452">
        <f t="shared" ref="K26:K35" si="17">+H26+I26-J26</f>
        <v>1050000</v>
      </c>
      <c r="M26" s="468">
        <f t="shared" ref="M26:M27" si="18">+I26</f>
        <v>300000</v>
      </c>
      <c r="N26" s="443"/>
    </row>
    <row r="27" spans="2:14" x14ac:dyDescent="0.2">
      <c r="B27" s="453" t="s">
        <v>644</v>
      </c>
      <c r="C27" s="441">
        <f t="shared" si="14"/>
        <v>5675000</v>
      </c>
      <c r="D27" s="433"/>
      <c r="E27" s="433"/>
      <c r="F27" s="444">
        <f t="shared" si="15"/>
        <v>5675000</v>
      </c>
      <c r="G27" s="446">
        <v>0.15</v>
      </c>
      <c r="H27" s="441">
        <f t="shared" si="16"/>
        <v>2045630</v>
      </c>
      <c r="I27" s="449">
        <v>851250</v>
      </c>
      <c r="J27" s="432"/>
      <c r="K27" s="452">
        <f t="shared" si="17"/>
        <v>2896880</v>
      </c>
      <c r="M27" s="468">
        <f t="shared" si="18"/>
        <v>851250</v>
      </c>
      <c r="N27" s="443"/>
    </row>
    <row r="28" spans="2:14" x14ac:dyDescent="0.2">
      <c r="B28" s="453" t="s">
        <v>645</v>
      </c>
      <c r="C28" s="441">
        <f t="shared" si="14"/>
        <v>426000</v>
      </c>
      <c r="D28" s="433"/>
      <c r="E28" s="433"/>
      <c r="F28" s="444">
        <f t="shared" si="15"/>
        <v>426000</v>
      </c>
      <c r="G28" s="446">
        <v>0.15</v>
      </c>
      <c r="H28" s="441">
        <f t="shared" si="16"/>
        <v>181950</v>
      </c>
      <c r="I28" s="449">
        <v>63900</v>
      </c>
      <c r="J28" s="432"/>
      <c r="K28" s="452">
        <f t="shared" si="17"/>
        <v>245850</v>
      </c>
      <c r="M28" s="469"/>
      <c r="N28" s="442">
        <f>+I28</f>
        <v>63900</v>
      </c>
    </row>
    <row r="29" spans="2:14" x14ac:dyDescent="0.2">
      <c r="B29" s="453" t="s">
        <v>646</v>
      </c>
      <c r="C29" s="441">
        <f t="shared" si="14"/>
        <v>120000</v>
      </c>
      <c r="D29" s="433"/>
      <c r="E29" s="433"/>
      <c r="F29" s="444">
        <f t="shared" si="15"/>
        <v>120000</v>
      </c>
      <c r="G29" s="446">
        <v>0.2</v>
      </c>
      <c r="H29" s="441">
        <f t="shared" si="16"/>
        <v>65560</v>
      </c>
      <c r="I29" s="449">
        <v>24000</v>
      </c>
      <c r="J29" s="432"/>
      <c r="K29" s="452">
        <f t="shared" si="17"/>
        <v>89560</v>
      </c>
      <c r="M29" s="469"/>
      <c r="N29" s="442">
        <f>+I29</f>
        <v>24000</v>
      </c>
    </row>
    <row r="30" spans="2:14" x14ac:dyDescent="0.2">
      <c r="B30" s="453" t="s">
        <v>647</v>
      </c>
      <c r="C30" s="441">
        <f t="shared" si="14"/>
        <v>250000</v>
      </c>
      <c r="D30" s="433"/>
      <c r="E30" s="433"/>
      <c r="F30" s="444">
        <f t="shared" si="15"/>
        <v>250000</v>
      </c>
      <c r="G30" s="446">
        <v>0.2</v>
      </c>
      <c r="H30" s="441">
        <f t="shared" si="16"/>
        <v>125000</v>
      </c>
      <c r="I30" s="449">
        <v>50000</v>
      </c>
      <c r="J30" s="432"/>
      <c r="K30" s="452">
        <f t="shared" si="17"/>
        <v>175000</v>
      </c>
      <c r="M30" s="468">
        <f>+I30</f>
        <v>50000</v>
      </c>
      <c r="N30" s="443"/>
    </row>
    <row r="31" spans="2:14" x14ac:dyDescent="0.2">
      <c r="B31" s="453" t="s">
        <v>648</v>
      </c>
      <c r="C31" s="441">
        <f t="shared" si="14"/>
        <v>67000</v>
      </c>
      <c r="D31" s="433"/>
      <c r="E31" s="433"/>
      <c r="F31" s="444">
        <f t="shared" si="15"/>
        <v>67000</v>
      </c>
      <c r="G31" s="446">
        <v>1</v>
      </c>
      <c r="H31" s="441">
        <f t="shared" si="16"/>
        <v>67000</v>
      </c>
      <c r="I31" s="449">
        <v>0</v>
      </c>
      <c r="J31" s="432"/>
      <c r="K31" s="452">
        <f t="shared" si="17"/>
        <v>67000</v>
      </c>
      <c r="M31" s="469"/>
      <c r="N31" s="442">
        <f>+I31</f>
        <v>0</v>
      </c>
    </row>
    <row r="32" spans="2:14" x14ac:dyDescent="0.2">
      <c r="B32" s="453" t="s">
        <v>649</v>
      </c>
      <c r="C32" s="441">
        <f t="shared" si="14"/>
        <v>550000</v>
      </c>
      <c r="D32" s="472">
        <v>30000</v>
      </c>
      <c r="E32" s="433"/>
      <c r="F32" s="444">
        <f t="shared" si="15"/>
        <v>580000</v>
      </c>
      <c r="G32" s="446">
        <v>0.2</v>
      </c>
      <c r="H32" s="441">
        <f t="shared" si="16"/>
        <v>274980</v>
      </c>
      <c r="I32" s="449">
        <v>116000</v>
      </c>
      <c r="J32" s="432"/>
      <c r="K32" s="452">
        <f t="shared" si="17"/>
        <v>390980</v>
      </c>
      <c r="M32" s="469"/>
      <c r="N32" s="442">
        <f t="shared" ref="N32:N35" si="19">+I32</f>
        <v>116000</v>
      </c>
    </row>
    <row r="33" spans="2:14" x14ac:dyDescent="0.2">
      <c r="B33" s="453" t="s">
        <v>650</v>
      </c>
      <c r="C33" s="441">
        <f t="shared" si="14"/>
        <v>4000000</v>
      </c>
      <c r="D33" s="433"/>
      <c r="E33" s="433"/>
      <c r="F33" s="444">
        <f t="shared" si="15"/>
        <v>4000000</v>
      </c>
      <c r="G33" s="446">
        <v>0.1</v>
      </c>
      <c r="H33" s="441">
        <f t="shared" si="16"/>
        <v>413950</v>
      </c>
      <c r="I33" s="449">
        <v>400000</v>
      </c>
      <c r="J33" s="432"/>
      <c r="K33" s="452">
        <f t="shared" si="17"/>
        <v>813950</v>
      </c>
      <c r="M33" s="469"/>
      <c r="N33" s="442">
        <f t="shared" si="19"/>
        <v>400000</v>
      </c>
    </row>
    <row r="34" spans="2:14" x14ac:dyDescent="0.2">
      <c r="B34" s="453" t="s">
        <v>651</v>
      </c>
      <c r="C34" s="441">
        <f t="shared" si="14"/>
        <v>4000000</v>
      </c>
      <c r="D34" s="433"/>
      <c r="E34" s="433"/>
      <c r="F34" s="444">
        <f t="shared" si="15"/>
        <v>4000000</v>
      </c>
      <c r="G34" s="446">
        <v>0.2</v>
      </c>
      <c r="H34" s="441">
        <f t="shared" si="16"/>
        <v>945770</v>
      </c>
      <c r="I34" s="449">
        <v>800000</v>
      </c>
      <c r="J34" s="432"/>
      <c r="K34" s="452">
        <f t="shared" si="17"/>
        <v>1745770</v>
      </c>
      <c r="M34" s="469"/>
      <c r="N34" s="442">
        <f t="shared" si="19"/>
        <v>800000</v>
      </c>
    </row>
    <row r="35" spans="2:14" ht="15" thickBot="1" x14ac:dyDescent="0.25">
      <c r="B35" s="453" t="s">
        <v>652</v>
      </c>
      <c r="C35" s="441">
        <f t="shared" si="14"/>
        <v>330000</v>
      </c>
      <c r="D35" s="433"/>
      <c r="E35" s="433"/>
      <c r="F35" s="444">
        <f t="shared" si="15"/>
        <v>330000</v>
      </c>
      <c r="G35" s="446">
        <v>0.2</v>
      </c>
      <c r="H35" s="441">
        <f t="shared" si="16"/>
        <v>92550</v>
      </c>
      <c r="I35" s="449">
        <v>66000</v>
      </c>
      <c r="J35" s="432"/>
      <c r="K35" s="452">
        <f t="shared" si="17"/>
        <v>158550</v>
      </c>
      <c r="M35" s="469"/>
      <c r="N35" s="442">
        <f t="shared" si="19"/>
        <v>66000</v>
      </c>
    </row>
    <row r="36" spans="2:14" ht="15" thickBot="1" x14ac:dyDescent="0.25">
      <c r="B36" s="464" t="s">
        <v>3</v>
      </c>
      <c r="C36" s="465">
        <f>SUM(C25:C35)</f>
        <v>17068000</v>
      </c>
      <c r="D36" s="466">
        <f t="shared" ref="D36" si="20">SUM(D25:D35)</f>
        <v>30000</v>
      </c>
      <c r="E36" s="466">
        <f t="shared" ref="E36" si="21">SUM(E25:E35)</f>
        <v>0</v>
      </c>
      <c r="F36" s="429">
        <f t="shared" ref="F36" si="22">SUM(F25:F35)</f>
        <v>17098000</v>
      </c>
      <c r="G36" s="435"/>
      <c r="H36" s="467">
        <f t="shared" ref="H36" si="23">SUM(H25:H35)</f>
        <v>5034890</v>
      </c>
      <c r="I36" s="466">
        <f t="shared" ref="I36" si="24">SUM(I25:I35)</f>
        <v>2693650</v>
      </c>
      <c r="J36" s="466">
        <f t="shared" ref="J36" si="25">SUM(J25:J35)</f>
        <v>0</v>
      </c>
      <c r="K36" s="429">
        <f t="shared" ref="K36" si="26">SUM(K25:K35)</f>
        <v>7728540</v>
      </c>
      <c r="L36" s="373"/>
      <c r="M36" s="470">
        <f t="shared" ref="M36" si="27">SUM(M25:M35)</f>
        <v>1223750</v>
      </c>
      <c r="N36" s="471">
        <f t="shared" ref="N36" si="28">SUM(N25:N35)</f>
        <v>1469900</v>
      </c>
    </row>
    <row r="37" spans="2:14" x14ac:dyDescent="0.2">
      <c r="B37" s="455" t="s">
        <v>653</v>
      </c>
      <c r="C37" s="441"/>
      <c r="D37" s="432"/>
      <c r="E37" s="432"/>
      <c r="F37" s="443"/>
      <c r="G37" s="447"/>
      <c r="H37" s="441"/>
      <c r="I37" s="432"/>
      <c r="J37" s="432"/>
      <c r="K37" s="456"/>
    </row>
    <row r="38" spans="2:14" x14ac:dyDescent="0.2">
      <c r="B38" s="457" t="s">
        <v>654</v>
      </c>
      <c r="C38" s="441">
        <f>SUM(C25:C31)</f>
        <v>8188000</v>
      </c>
      <c r="D38" s="433">
        <f t="shared" ref="D38:F38" si="29">SUM(D25:D31)</f>
        <v>0</v>
      </c>
      <c r="E38" s="433">
        <f t="shared" si="29"/>
        <v>0</v>
      </c>
      <c r="F38" s="444">
        <f t="shared" si="29"/>
        <v>8188000</v>
      </c>
      <c r="G38" s="447"/>
      <c r="H38" s="441">
        <f>SUM(H25:H31)</f>
        <v>3307640</v>
      </c>
      <c r="I38" s="433">
        <f t="shared" ref="I38:K38" si="30">SUM(I25:I31)</f>
        <v>1311650</v>
      </c>
      <c r="J38" s="433">
        <f t="shared" si="30"/>
        <v>0</v>
      </c>
      <c r="K38" s="427">
        <f t="shared" si="30"/>
        <v>4619290</v>
      </c>
    </row>
    <row r="39" spans="2:14" ht="15" thickBot="1" x14ac:dyDescent="0.25">
      <c r="B39" s="458" t="s">
        <v>655</v>
      </c>
      <c r="C39" s="459">
        <f>SUM(C32:C35)</f>
        <v>8880000</v>
      </c>
      <c r="D39" s="460">
        <f t="shared" ref="D39:F39" si="31">SUM(D32:D35)</f>
        <v>30000</v>
      </c>
      <c r="E39" s="460">
        <f t="shared" si="31"/>
        <v>0</v>
      </c>
      <c r="F39" s="461">
        <f t="shared" si="31"/>
        <v>8910000</v>
      </c>
      <c r="G39" s="462"/>
      <c r="H39" s="459">
        <f>SUM(H32:H35)</f>
        <v>1727250</v>
      </c>
      <c r="I39" s="460">
        <f t="shared" ref="I39:K39" si="32">SUM(I32:I35)</f>
        <v>1382000</v>
      </c>
      <c r="J39" s="460">
        <f t="shared" si="32"/>
        <v>0</v>
      </c>
      <c r="K39" s="463">
        <f t="shared" si="32"/>
        <v>3109250</v>
      </c>
    </row>
  </sheetData>
  <mergeCells count="6">
    <mergeCell ref="C4:K4"/>
    <mergeCell ref="B4:B5"/>
    <mergeCell ref="M4:N4"/>
    <mergeCell ref="B23:B24"/>
    <mergeCell ref="C23:K23"/>
    <mergeCell ref="M23:N2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>
    <tabColor theme="0" tint="-0.499984740745262"/>
  </sheetPr>
  <dimension ref="B2:D17"/>
  <sheetViews>
    <sheetView showGridLines="0" zoomScale="190" zoomScaleNormal="190" workbookViewId="0">
      <selection activeCell="B4" sqref="B4:D17"/>
    </sheetView>
  </sheetViews>
  <sheetFormatPr baseColWidth="10" defaultRowHeight="14" x14ac:dyDescent="0.2"/>
  <cols>
    <col min="1" max="1" width="10.83203125" style="3"/>
    <col min="2" max="2" width="23.6640625" style="3" customWidth="1"/>
    <col min="3" max="3" width="13.33203125" style="423" bestFit="1" customWidth="1"/>
    <col min="4" max="16384" width="10.83203125" style="3"/>
  </cols>
  <sheetData>
    <row r="2" spans="2:4" x14ac:dyDescent="0.2">
      <c r="B2" s="3" t="s">
        <v>666</v>
      </c>
    </row>
    <row r="3" spans="2:4" ht="15" thickBot="1" x14ac:dyDescent="0.25"/>
    <row r="4" spans="2:4" x14ac:dyDescent="0.2">
      <c r="B4" s="819"/>
      <c r="C4" s="826" t="s">
        <v>99</v>
      </c>
      <c r="D4" s="827"/>
    </row>
    <row r="5" spans="2:4" x14ac:dyDescent="0.2">
      <c r="B5" s="820"/>
      <c r="C5" s="438" t="s">
        <v>667</v>
      </c>
      <c r="D5" s="450" t="s">
        <v>668</v>
      </c>
    </row>
    <row r="6" spans="2:4" x14ac:dyDescent="0.2">
      <c r="B6" s="474" t="s">
        <v>92</v>
      </c>
      <c r="C6" s="441"/>
      <c r="D6" s="427"/>
    </row>
    <row r="7" spans="2:4" x14ac:dyDescent="0.2">
      <c r="B7" s="453" t="s">
        <v>670</v>
      </c>
      <c r="C7" s="475">
        <v>5</v>
      </c>
      <c r="D7" s="476">
        <v>1</v>
      </c>
    </row>
    <row r="8" spans="2:4" x14ac:dyDescent="0.2">
      <c r="B8" s="453" t="s">
        <v>669</v>
      </c>
      <c r="C8" s="475">
        <v>2</v>
      </c>
      <c r="D8" s="476">
        <v>0.3</v>
      </c>
    </row>
    <row r="9" spans="2:4" x14ac:dyDescent="0.2">
      <c r="B9" s="453" t="s">
        <v>671</v>
      </c>
      <c r="C9" s="475">
        <v>8</v>
      </c>
      <c r="D9" s="476"/>
    </row>
    <row r="10" spans="2:4" ht="15" thickBot="1" x14ac:dyDescent="0.25">
      <c r="B10" s="477" t="s">
        <v>3</v>
      </c>
      <c r="C10" s="478">
        <f>SUM(C7:C9)</f>
        <v>15</v>
      </c>
      <c r="D10" s="479">
        <f>SUM(D7:D9)</f>
        <v>1.3</v>
      </c>
    </row>
    <row r="11" spans="2:4" x14ac:dyDescent="0.2">
      <c r="B11" s="474" t="s">
        <v>93</v>
      </c>
      <c r="C11" s="441"/>
      <c r="D11" s="427"/>
    </row>
    <row r="12" spans="2:4" x14ac:dyDescent="0.2">
      <c r="B12" s="453" t="s">
        <v>670</v>
      </c>
      <c r="C12" s="475">
        <v>5</v>
      </c>
      <c r="D12" s="476">
        <v>1</v>
      </c>
    </row>
    <row r="13" spans="2:4" x14ac:dyDescent="0.2">
      <c r="B13" s="453" t="s">
        <v>669</v>
      </c>
      <c r="C13" s="475">
        <v>2</v>
      </c>
      <c r="D13" s="476">
        <v>0.3</v>
      </c>
    </row>
    <row r="14" spans="2:4" x14ac:dyDescent="0.2">
      <c r="B14" s="453" t="s">
        <v>671</v>
      </c>
      <c r="C14" s="475">
        <v>2</v>
      </c>
      <c r="D14" s="476">
        <v>0.3</v>
      </c>
    </row>
    <row r="15" spans="2:4" x14ac:dyDescent="0.2">
      <c r="B15" s="453" t="s">
        <v>672</v>
      </c>
      <c r="C15" s="475">
        <v>5</v>
      </c>
      <c r="D15" s="476">
        <v>0.3</v>
      </c>
    </row>
    <row r="16" spans="2:4" x14ac:dyDescent="0.2">
      <c r="B16" s="453" t="s">
        <v>673</v>
      </c>
      <c r="C16" s="475">
        <v>10</v>
      </c>
      <c r="D16" s="476">
        <v>0.3</v>
      </c>
    </row>
    <row r="17" spans="2:4" ht="15" thickBot="1" x14ac:dyDescent="0.25">
      <c r="B17" s="477" t="s">
        <v>3</v>
      </c>
      <c r="C17" s="478">
        <f>SUM(C12:C16)</f>
        <v>24</v>
      </c>
      <c r="D17" s="479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>
    <tabColor theme="0" tint="-0.499984740745262"/>
  </sheetPr>
  <dimension ref="B2:D12"/>
  <sheetViews>
    <sheetView showGridLines="0" zoomScale="190" zoomScaleNormal="190" workbookViewId="0">
      <selection activeCell="B4" sqref="B4:D12"/>
    </sheetView>
  </sheetViews>
  <sheetFormatPr baseColWidth="10" defaultRowHeight="14" x14ac:dyDescent="0.2"/>
  <cols>
    <col min="1" max="1" width="10.83203125" style="3"/>
    <col min="2" max="2" width="23.6640625" style="3" customWidth="1"/>
    <col min="3" max="3" width="13.33203125" style="423" bestFit="1" customWidth="1"/>
    <col min="4" max="16384" width="10.83203125" style="3"/>
  </cols>
  <sheetData>
    <row r="2" spans="2:4" x14ac:dyDescent="0.2">
      <c r="B2" s="3" t="s">
        <v>674</v>
      </c>
    </row>
    <row r="3" spans="2:4" ht="15" thickBot="1" x14ac:dyDescent="0.25"/>
    <row r="4" spans="2:4" x14ac:dyDescent="0.2">
      <c r="B4" s="819"/>
      <c r="C4" s="826" t="s">
        <v>99</v>
      </c>
      <c r="D4" s="827"/>
    </row>
    <row r="5" spans="2:4" x14ac:dyDescent="0.2">
      <c r="B5" s="820"/>
      <c r="C5" s="438" t="s">
        <v>675</v>
      </c>
      <c r="D5" s="450" t="s">
        <v>676</v>
      </c>
    </row>
    <row r="6" spans="2:4" x14ac:dyDescent="0.2">
      <c r="B6" s="480" t="s">
        <v>677</v>
      </c>
      <c r="C6" s="441"/>
      <c r="D6" s="427"/>
    </row>
    <row r="7" spans="2:4" x14ac:dyDescent="0.2">
      <c r="B7" s="453" t="s">
        <v>678</v>
      </c>
      <c r="C7" s="475">
        <v>3</v>
      </c>
      <c r="D7" s="476">
        <v>1</v>
      </c>
    </row>
    <row r="8" spans="2:4" x14ac:dyDescent="0.2">
      <c r="B8" s="453" t="s">
        <v>679</v>
      </c>
      <c r="C8" s="475">
        <v>235</v>
      </c>
      <c r="D8" s="476">
        <v>235</v>
      </c>
    </row>
    <row r="9" spans="2:4" x14ac:dyDescent="0.2">
      <c r="B9" s="453" t="s">
        <v>680</v>
      </c>
      <c r="C9" s="475">
        <v>12</v>
      </c>
      <c r="D9" s="476">
        <v>12</v>
      </c>
    </row>
    <row r="10" spans="2:4" x14ac:dyDescent="0.2">
      <c r="B10" s="453" t="s">
        <v>8</v>
      </c>
      <c r="C10" s="475">
        <v>3</v>
      </c>
      <c r="D10" s="476">
        <v>2</v>
      </c>
    </row>
    <row r="11" spans="2:4" x14ac:dyDescent="0.2">
      <c r="B11" s="453" t="s">
        <v>681</v>
      </c>
      <c r="C11" s="475">
        <v>8</v>
      </c>
      <c r="D11" s="476">
        <v>8</v>
      </c>
    </row>
    <row r="12" spans="2:4" ht="15" thickBot="1" x14ac:dyDescent="0.25">
      <c r="B12" s="477"/>
      <c r="C12" s="478"/>
      <c r="D12" s="479"/>
    </row>
  </sheetData>
  <mergeCells count="2">
    <mergeCell ref="B4:B5"/>
    <mergeCell ref="C4:D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0167-97B0-EC4B-9138-D0A6415FE9E1}">
  <sheetPr>
    <tabColor theme="0" tint="-0.499984740745262"/>
  </sheetPr>
  <dimension ref="B2:C19"/>
  <sheetViews>
    <sheetView showGridLines="0" zoomScale="190" zoomScaleNormal="190" workbookViewId="0">
      <selection activeCell="B4" sqref="B4:C19"/>
    </sheetView>
  </sheetViews>
  <sheetFormatPr baseColWidth="10" defaultRowHeight="14" x14ac:dyDescent="0.2"/>
  <cols>
    <col min="1" max="1" width="10.83203125" style="3"/>
    <col min="2" max="2" width="23.6640625" style="3" customWidth="1"/>
    <col min="3" max="16384" width="10.83203125" style="3"/>
  </cols>
  <sheetData>
    <row r="2" spans="2:3" x14ac:dyDescent="0.2">
      <c r="B2" s="3" t="s">
        <v>703</v>
      </c>
    </row>
    <row r="3" spans="2:3" ht="15" thickBot="1" x14ac:dyDescent="0.25"/>
    <row r="4" spans="2:3" x14ac:dyDescent="0.2">
      <c r="B4" s="473"/>
      <c r="C4" s="481"/>
    </row>
    <row r="5" spans="2:3" x14ac:dyDescent="0.2">
      <c r="B5" s="480" t="s">
        <v>682</v>
      </c>
      <c r="C5" s="427"/>
    </row>
    <row r="6" spans="2:3" x14ac:dyDescent="0.2">
      <c r="B6" s="453" t="s">
        <v>683</v>
      </c>
      <c r="C6" s="482">
        <v>5000</v>
      </c>
    </row>
    <row r="7" spans="2:3" x14ac:dyDescent="0.2">
      <c r="B7" s="453" t="s">
        <v>684</v>
      </c>
      <c r="C7" s="482">
        <v>3000</v>
      </c>
    </row>
    <row r="8" spans="2:3" x14ac:dyDescent="0.2">
      <c r="B8" s="453" t="s">
        <v>685</v>
      </c>
      <c r="C8" s="482">
        <v>1000</v>
      </c>
    </row>
    <row r="9" spans="2:3" x14ac:dyDescent="0.2">
      <c r="B9" s="453" t="s">
        <v>686</v>
      </c>
      <c r="C9" s="482">
        <v>10000</v>
      </c>
    </row>
    <row r="10" spans="2:3" x14ac:dyDescent="0.2">
      <c r="B10" s="453"/>
      <c r="C10" s="482"/>
    </row>
    <row r="11" spans="2:3" x14ac:dyDescent="0.2">
      <c r="B11" s="454" t="s">
        <v>687</v>
      </c>
      <c r="C11" s="482"/>
    </row>
    <row r="12" spans="2:3" x14ac:dyDescent="0.2">
      <c r="B12" s="453" t="s">
        <v>688</v>
      </c>
      <c r="C12" s="482">
        <v>60</v>
      </c>
    </row>
    <row r="13" spans="2:3" x14ac:dyDescent="0.2">
      <c r="B13" s="453"/>
      <c r="C13" s="482"/>
    </row>
    <row r="14" spans="2:3" x14ac:dyDescent="0.2">
      <c r="B14" s="454" t="s">
        <v>689</v>
      </c>
      <c r="C14" s="482"/>
    </row>
    <row r="15" spans="2:3" x14ac:dyDescent="0.2">
      <c r="B15" s="453" t="s">
        <v>690</v>
      </c>
      <c r="C15" s="482">
        <v>3</v>
      </c>
    </row>
    <row r="16" spans="2:3" x14ac:dyDescent="0.2">
      <c r="B16" s="453" t="s">
        <v>691</v>
      </c>
      <c r="C16" s="482">
        <v>1</v>
      </c>
    </row>
    <row r="17" spans="2:3" x14ac:dyDescent="0.2">
      <c r="B17" s="453"/>
      <c r="C17" s="482"/>
    </row>
    <row r="18" spans="2:3" x14ac:dyDescent="0.2">
      <c r="B18" s="453" t="s">
        <v>692</v>
      </c>
      <c r="C18" s="482">
        <v>335000</v>
      </c>
    </row>
    <row r="19" spans="2:3" ht="15" thickBot="1" x14ac:dyDescent="0.25">
      <c r="B19" s="483" t="s">
        <v>693</v>
      </c>
      <c r="C19" s="484">
        <v>695557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>
    <tabColor theme="0" tint="-0.499984740745262"/>
  </sheetPr>
  <dimension ref="B2:F11"/>
  <sheetViews>
    <sheetView showGridLines="0" zoomScale="190" zoomScaleNormal="190" workbookViewId="0">
      <selection activeCell="F9" sqref="F9"/>
    </sheetView>
  </sheetViews>
  <sheetFormatPr baseColWidth="10" defaultRowHeight="14" x14ac:dyDescent="0.2"/>
  <cols>
    <col min="1" max="1" width="10.83203125" style="3"/>
    <col min="2" max="2" width="23.6640625" style="3" customWidth="1"/>
    <col min="3" max="3" width="13.33203125" style="3" customWidth="1"/>
    <col min="4" max="4" width="12.6640625" style="3" customWidth="1"/>
    <col min="5" max="16384" width="10.83203125" style="3"/>
  </cols>
  <sheetData>
    <row r="2" spans="2:6" x14ac:dyDescent="0.2">
      <c r="B2" s="3" t="s">
        <v>694</v>
      </c>
    </row>
    <row r="3" spans="2:6" ht="15" thickBot="1" x14ac:dyDescent="0.25"/>
    <row r="4" spans="2:6" x14ac:dyDescent="0.2">
      <c r="B4" s="473"/>
      <c r="C4" s="485" t="s">
        <v>675</v>
      </c>
      <c r="D4" s="486" t="s">
        <v>676</v>
      </c>
    </row>
    <row r="5" spans="2:6" x14ac:dyDescent="0.2">
      <c r="B5" s="480" t="s">
        <v>695</v>
      </c>
      <c r="C5" s="493">
        <f>COUNTIF(Tabella2[linea],'All. 11'!C4)</f>
        <v>98</v>
      </c>
      <c r="D5" s="494">
        <f>COUNTIF(Tabella2[linea],'All. 11'!D4)</f>
        <v>11</v>
      </c>
    </row>
    <row r="6" spans="2:6" x14ac:dyDescent="0.2">
      <c r="B6" s="453"/>
      <c r="C6" s="432"/>
      <c r="D6" s="482"/>
    </row>
    <row r="7" spans="2:6" x14ac:dyDescent="0.2">
      <c r="B7" s="453" t="s">
        <v>698</v>
      </c>
      <c r="C7" s="495">
        <f>'Tab. 11'!O8</f>
        <v>235</v>
      </c>
      <c r="D7" s="496">
        <f>+C7</f>
        <v>235</v>
      </c>
    </row>
    <row r="8" spans="2:6" x14ac:dyDescent="0.2">
      <c r="B8" s="453" t="s">
        <v>699</v>
      </c>
      <c r="C8" s="495">
        <v>-5</v>
      </c>
      <c r="D8" s="496">
        <v>-5</v>
      </c>
    </row>
    <row r="9" spans="2:6" x14ac:dyDescent="0.2">
      <c r="B9" s="453" t="s">
        <v>700</v>
      </c>
      <c r="C9" s="495">
        <f>ROUND(-$F$9*C7,0)</f>
        <v>-14</v>
      </c>
      <c r="D9" s="496">
        <f>ROUND(-$F$9*D7,0)</f>
        <v>-14</v>
      </c>
      <c r="F9" s="498">
        <f>14/235</f>
        <v>5.9574468085106386E-2</v>
      </c>
    </row>
    <row r="10" spans="2:6" x14ac:dyDescent="0.2">
      <c r="B10" s="453" t="s">
        <v>701</v>
      </c>
      <c r="C10" s="495">
        <v>8</v>
      </c>
      <c r="D10" s="496">
        <v>8</v>
      </c>
    </row>
    <row r="11" spans="2:6" ht="15" thickBot="1" x14ac:dyDescent="0.25">
      <c r="B11" s="483" t="s">
        <v>702</v>
      </c>
      <c r="C11" s="499">
        <v>0</v>
      </c>
      <c r="D11" s="497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dimension ref="B2:Q69"/>
  <sheetViews>
    <sheetView topLeftCell="A25" zoomScale="140" zoomScaleNormal="140" workbookViewId="0">
      <selection activeCell="O70" sqref="O70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78" t="s">
        <v>704</v>
      </c>
    </row>
    <row r="3" spans="2:15" ht="14" thickBot="1" x14ac:dyDescent="0.2"/>
    <row r="4" spans="2:15" ht="16" x14ac:dyDescent="0.15">
      <c r="B4" s="269"/>
      <c r="C4" s="798" t="s">
        <v>99</v>
      </c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7"/>
    </row>
    <row r="5" spans="2:15" ht="16" x14ac:dyDescent="0.15">
      <c r="B5" s="160"/>
      <c r="C5" s="277" t="s">
        <v>114</v>
      </c>
      <c r="D5" s="277" t="s">
        <v>115</v>
      </c>
      <c r="E5" s="277" t="s">
        <v>116</v>
      </c>
      <c r="F5" s="277" t="s">
        <v>117</v>
      </c>
      <c r="G5" s="277" t="s">
        <v>118</v>
      </c>
      <c r="H5" s="277" t="s">
        <v>119</v>
      </c>
      <c r="I5" s="277" t="s">
        <v>120</v>
      </c>
      <c r="J5" s="277" t="s">
        <v>121</v>
      </c>
      <c r="K5" s="277" t="s">
        <v>122</v>
      </c>
      <c r="L5" s="277" t="s">
        <v>123</v>
      </c>
      <c r="M5" s="277" t="s">
        <v>124</v>
      </c>
      <c r="N5" s="277" t="s">
        <v>125</v>
      </c>
      <c r="O5" s="282" t="s">
        <v>82</v>
      </c>
    </row>
    <row r="6" spans="2:15" ht="16" x14ac:dyDescent="0.2">
      <c r="B6" s="216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8"/>
    </row>
    <row r="7" spans="2:15" ht="16" x14ac:dyDescent="0.2">
      <c r="B7" s="500" t="s">
        <v>705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8"/>
    </row>
    <row r="8" spans="2:15" ht="16" x14ac:dyDescent="0.2">
      <c r="B8" s="415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8"/>
    </row>
    <row r="9" spans="2:15" ht="16" x14ac:dyDescent="0.2">
      <c r="B9" s="415" t="s">
        <v>706</v>
      </c>
      <c r="C9" s="271">
        <f>'Tab 5'!C15</f>
        <v>53085.140425531914</v>
      </c>
      <c r="D9" s="271">
        <f>'Tab 5'!D15</f>
        <v>60115.491160451427</v>
      </c>
      <c r="E9" s="271">
        <f>'Tab 5'!E15</f>
        <v>67407.192253488931</v>
      </c>
      <c r="F9" s="271">
        <f>'Tab 5'!F15</f>
        <v>61932.663829787234</v>
      </c>
      <c r="G9" s="271">
        <f>'Tab 5'!G15</f>
        <v>61932.663829787234</v>
      </c>
      <c r="H9" s="271">
        <f>'Tab 5'!H15</f>
        <v>64881.838297872338</v>
      </c>
      <c r="I9" s="271">
        <f>'Tab 5'!I15</f>
        <v>57041.838297872338</v>
      </c>
      <c r="J9" s="271">
        <f>'Tab 5'!J15</f>
        <v>35390.093617021274</v>
      </c>
      <c r="K9" s="271">
        <f>'Tab 5'!K15</f>
        <v>61002.600772020145</v>
      </c>
      <c r="L9" s="271">
        <f>'Tab 5'!L15</f>
        <v>53809.840677835746</v>
      </c>
      <c r="M9" s="271">
        <f>'Tab 5'!M15</f>
        <v>61932.663829787234</v>
      </c>
      <c r="N9" s="271">
        <f>'Tab 5'!N15</f>
        <v>27550.093617021277</v>
      </c>
      <c r="O9" s="501">
        <f>SUM(C9:N9)</f>
        <v>666082.12060847704</v>
      </c>
    </row>
    <row r="10" spans="2:15" ht="16" x14ac:dyDescent="0.2">
      <c r="B10" s="415" t="s">
        <v>707</v>
      </c>
      <c r="C10" s="271">
        <f>'All. 8'!$C$10/60*C9</f>
        <v>13271.285106382978</v>
      </c>
      <c r="D10" s="271">
        <f>'All. 8'!$C$10/60*D9</f>
        <v>15028.872790112857</v>
      </c>
      <c r="E10" s="271">
        <f>'All. 8'!$C$10/60*E9</f>
        <v>16851.798063372233</v>
      </c>
      <c r="F10" s="271">
        <f>'All. 8'!$C$10/60*F9</f>
        <v>15483.165957446809</v>
      </c>
      <c r="G10" s="271">
        <f>'All. 8'!$C$10/60*G9</f>
        <v>15483.165957446809</v>
      </c>
      <c r="H10" s="271">
        <f>'All. 8'!$C$10/60*H9</f>
        <v>16220.459574468085</v>
      </c>
      <c r="I10" s="271">
        <f>'All. 8'!$C$10/60*I9</f>
        <v>14260.459574468085</v>
      </c>
      <c r="J10" s="271">
        <f>'All. 8'!$C$10/60*J9</f>
        <v>8847.5234042553184</v>
      </c>
      <c r="K10" s="271">
        <f>'All. 8'!$C$10/60*K9</f>
        <v>15250.650193005036</v>
      </c>
      <c r="L10" s="271">
        <f>'All. 8'!$C$10/60*L9</f>
        <v>13452.460169458936</v>
      </c>
      <c r="M10" s="271">
        <f>'All. 8'!$C$10/60*M9</f>
        <v>15483.165957446809</v>
      </c>
      <c r="N10" s="271">
        <f>'All. 8'!$C$10/60*N9</f>
        <v>6887.5234042553193</v>
      </c>
      <c r="O10" s="501">
        <f>SUM(C10:N10)</f>
        <v>166520.53015211926</v>
      </c>
    </row>
    <row r="11" spans="2:15" ht="16" x14ac:dyDescent="0.2">
      <c r="B11" s="415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8"/>
    </row>
    <row r="12" spans="2:15" ht="16" x14ac:dyDescent="0.2">
      <c r="B12" s="415" t="s">
        <v>708</v>
      </c>
      <c r="C12" s="502">
        <f>'Tab. 11'!C8</f>
        <v>18</v>
      </c>
      <c r="D12" s="502">
        <f>'Tab. 11'!D8</f>
        <v>20</v>
      </c>
      <c r="E12" s="502">
        <f>'Tab. 11'!E8</f>
        <v>23</v>
      </c>
      <c r="F12" s="502">
        <f>'Tab. 11'!F8</f>
        <v>21</v>
      </c>
      <c r="G12" s="502">
        <f>'Tab. 11'!G8</f>
        <v>21</v>
      </c>
      <c r="H12" s="502">
        <f>'Tab. 11'!H8</f>
        <v>22</v>
      </c>
      <c r="I12" s="502">
        <f>'Tab. 11'!I8</f>
        <v>22</v>
      </c>
      <c r="J12" s="502">
        <f>'Tab. 11'!J8</f>
        <v>12</v>
      </c>
      <c r="K12" s="502">
        <f>'Tab. 11'!K8</f>
        <v>22</v>
      </c>
      <c r="L12" s="502">
        <f>'Tab. 11'!L8</f>
        <v>21</v>
      </c>
      <c r="M12" s="502">
        <f>'Tab. 11'!M8</f>
        <v>21</v>
      </c>
      <c r="N12" s="502">
        <f>'Tab. 11'!N8</f>
        <v>12</v>
      </c>
      <c r="O12" s="503">
        <f>SUM(C12:N12)</f>
        <v>235</v>
      </c>
    </row>
    <row r="13" spans="2:15" ht="16" x14ac:dyDescent="0.2">
      <c r="B13" s="415" t="s">
        <v>4</v>
      </c>
      <c r="C13" s="504">
        <f>C12*-'All. 11'!$F$9</f>
        <v>-1.0723404255319149</v>
      </c>
      <c r="D13" s="504">
        <f>D12*-'All. 11'!$F$9</f>
        <v>-1.1914893617021276</v>
      </c>
      <c r="E13" s="504">
        <f>E12*-'All. 11'!$F$9</f>
        <v>-1.3702127659574468</v>
      </c>
      <c r="F13" s="504">
        <f>F12*-'All. 11'!$F$9</f>
        <v>-1.2510638297872341</v>
      </c>
      <c r="G13" s="504">
        <f>G12*-'All. 11'!$F$9</f>
        <v>-1.2510638297872341</v>
      </c>
      <c r="H13" s="504">
        <f>H12*-'All. 11'!$F$9</f>
        <v>-1.3106382978723405</v>
      </c>
      <c r="I13" s="504">
        <f>I12*-'All. 11'!$F$9</f>
        <v>-1.3106382978723405</v>
      </c>
      <c r="J13" s="504">
        <f>J12*-'All. 11'!$F$9</f>
        <v>-0.71489361702127663</v>
      </c>
      <c r="K13" s="504">
        <f>K12*-'All. 11'!$F$9</f>
        <v>-1.3106382978723405</v>
      </c>
      <c r="L13" s="504">
        <f>L12*-'All. 11'!$F$9</f>
        <v>-1.2510638297872341</v>
      </c>
      <c r="M13" s="504">
        <f>M12*-'All. 11'!$F$9</f>
        <v>-1.2510638297872341</v>
      </c>
      <c r="N13" s="504">
        <f>N12*-'All. 11'!$F$9</f>
        <v>-0.71489361702127663</v>
      </c>
      <c r="O13" s="508">
        <f>SUM(C13:N13)</f>
        <v>-14.000000000000004</v>
      </c>
    </row>
    <row r="14" spans="2:15" ht="16" x14ac:dyDescent="0.2">
      <c r="B14" s="415" t="s">
        <v>5</v>
      </c>
      <c r="C14" s="502"/>
      <c r="D14" s="502"/>
      <c r="E14" s="502"/>
      <c r="F14" s="502"/>
      <c r="G14" s="502"/>
      <c r="H14" s="502"/>
      <c r="I14" s="504">
        <f>'All. 11'!$C$8/2</f>
        <v>-2.5</v>
      </c>
      <c r="J14" s="502"/>
      <c r="K14" s="502"/>
      <c r="L14" s="502"/>
      <c r="M14" s="502"/>
      <c r="N14" s="504">
        <f>'All. 11'!$C$8/2</f>
        <v>-2.5</v>
      </c>
      <c r="O14" s="503">
        <f>SUM(C14:N14)</f>
        <v>-5</v>
      </c>
    </row>
    <row r="15" spans="2:15" ht="16" x14ac:dyDescent="0.2">
      <c r="B15" s="415" t="s">
        <v>6</v>
      </c>
      <c r="C15" s="502">
        <f>'All. 11'!$C$10</f>
        <v>8</v>
      </c>
      <c r="D15" s="502">
        <f>'All. 11'!$C$10</f>
        <v>8</v>
      </c>
      <c r="E15" s="502">
        <f>'All. 11'!$C$10</f>
        <v>8</v>
      </c>
      <c r="F15" s="502">
        <f>'All. 11'!$C$10</f>
        <v>8</v>
      </c>
      <c r="G15" s="502">
        <f>'All. 11'!$C$10</f>
        <v>8</v>
      </c>
      <c r="H15" s="502">
        <f>'All. 11'!$C$10</f>
        <v>8</v>
      </c>
      <c r="I15" s="502">
        <f>'All. 11'!$C$10</f>
        <v>8</v>
      </c>
      <c r="J15" s="502">
        <f>'All. 11'!$C$10</f>
        <v>8</v>
      </c>
      <c r="K15" s="502">
        <f>'All. 11'!$C$10</f>
        <v>8</v>
      </c>
      <c r="L15" s="502">
        <f>'All. 11'!$C$10</f>
        <v>8</v>
      </c>
      <c r="M15" s="502">
        <f>'All. 11'!$C$10</f>
        <v>8</v>
      </c>
      <c r="N15" s="502">
        <f>'All. 11'!$C$10</f>
        <v>8</v>
      </c>
      <c r="O15" s="505"/>
    </row>
    <row r="16" spans="2:15" ht="16" x14ac:dyDescent="0.2">
      <c r="B16" s="415" t="s">
        <v>7</v>
      </c>
      <c r="C16" s="502">
        <f>'All. 11'!$C$5</f>
        <v>98</v>
      </c>
      <c r="D16" s="502">
        <f>'All. 11'!$C$5</f>
        <v>98</v>
      </c>
      <c r="E16" s="502">
        <f>'All. 11'!$C$5</f>
        <v>98</v>
      </c>
      <c r="F16" s="502">
        <f>'All. 11'!$C$5</f>
        <v>98</v>
      </c>
      <c r="G16" s="502">
        <f>'All. 11'!$C$5</f>
        <v>98</v>
      </c>
      <c r="H16" s="502">
        <f>'All. 11'!$C$5</f>
        <v>98</v>
      </c>
      <c r="I16" s="502">
        <f>'All. 11'!$C$5</f>
        <v>98</v>
      </c>
      <c r="J16" s="502">
        <f>'All. 11'!$C$5</f>
        <v>98</v>
      </c>
      <c r="K16" s="502">
        <f>'All. 11'!$C$5</f>
        <v>98</v>
      </c>
      <c r="L16" s="502">
        <f>'All. 11'!$C$5</f>
        <v>98</v>
      </c>
      <c r="M16" s="502">
        <f>'All. 11'!$C$5</f>
        <v>98</v>
      </c>
      <c r="N16" s="502">
        <f>'All. 11'!$C$5</f>
        <v>98</v>
      </c>
      <c r="O16" s="505"/>
    </row>
    <row r="17" spans="2:17" ht="17" thickBot="1" x14ac:dyDescent="0.25">
      <c r="B17" s="415" t="s">
        <v>709</v>
      </c>
      <c r="C17" s="271">
        <f>(C12+C13+C14)*C15*C16</f>
        <v>13271.285106382978</v>
      </c>
      <c r="D17" s="271">
        <f t="shared" ref="D17:N17" si="0">(D12+D13+D14)*D15*D16</f>
        <v>14745.872340425531</v>
      </c>
      <c r="E17" s="271">
        <f t="shared" si="0"/>
        <v>16957.753191489363</v>
      </c>
      <c r="F17" s="271">
        <f t="shared" si="0"/>
        <v>15483.165957446809</v>
      </c>
      <c r="G17" s="271">
        <f t="shared" si="0"/>
        <v>15483.165957446809</v>
      </c>
      <c r="H17" s="271">
        <f t="shared" si="0"/>
        <v>16220.459574468085</v>
      </c>
      <c r="I17" s="271">
        <f t="shared" si="0"/>
        <v>14260.459574468085</v>
      </c>
      <c r="J17" s="271">
        <f t="shared" si="0"/>
        <v>8847.5234042553184</v>
      </c>
      <c r="K17" s="271">
        <f t="shared" si="0"/>
        <v>16220.459574468085</v>
      </c>
      <c r="L17" s="271">
        <f t="shared" si="0"/>
        <v>15483.165957446809</v>
      </c>
      <c r="M17" s="271">
        <f t="shared" si="0"/>
        <v>15483.165957446809</v>
      </c>
      <c r="N17" s="271">
        <f t="shared" si="0"/>
        <v>6887.5234042553193</v>
      </c>
      <c r="O17" s="501">
        <f>SUM(C17:N17)</f>
        <v>169344.00000000003</v>
      </c>
    </row>
    <row r="18" spans="2:17" ht="17" thickBot="1" x14ac:dyDescent="0.25">
      <c r="B18" s="416" t="s">
        <v>710</v>
      </c>
      <c r="C18" s="276">
        <f>C17-C10</f>
        <v>0</v>
      </c>
      <c r="D18" s="276">
        <f t="shared" ref="D18:O18" si="1">D17-D10</f>
        <v>-283.00044968732618</v>
      </c>
      <c r="E18" s="276">
        <f t="shared" si="1"/>
        <v>105.95512811712979</v>
      </c>
      <c r="F18" s="276">
        <f t="shared" si="1"/>
        <v>0</v>
      </c>
      <c r="G18" s="276">
        <f t="shared" si="1"/>
        <v>0</v>
      </c>
      <c r="H18" s="276">
        <f t="shared" si="1"/>
        <v>0</v>
      </c>
      <c r="I18" s="276">
        <f t="shared" si="1"/>
        <v>0</v>
      </c>
      <c r="J18" s="276">
        <f t="shared" si="1"/>
        <v>0</v>
      </c>
      <c r="K18" s="276">
        <f t="shared" si="1"/>
        <v>969.80938146304834</v>
      </c>
      <c r="L18" s="276">
        <f t="shared" si="1"/>
        <v>2030.7057879878721</v>
      </c>
      <c r="M18" s="276">
        <f t="shared" si="1"/>
        <v>0</v>
      </c>
      <c r="N18" s="276">
        <f t="shared" si="1"/>
        <v>0</v>
      </c>
      <c r="O18" s="286">
        <f t="shared" si="1"/>
        <v>2823.4698478807695</v>
      </c>
    </row>
    <row r="19" spans="2:17" ht="16" x14ac:dyDescent="0.2">
      <c r="B19" s="415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8"/>
    </row>
    <row r="20" spans="2:17" ht="16" x14ac:dyDescent="0.2">
      <c r="B20" s="415" t="s">
        <v>715</v>
      </c>
      <c r="C20" s="350">
        <f>C17/('All. 8'!$C$10/60)</f>
        <v>53085.140425531914</v>
      </c>
      <c r="D20" s="350">
        <f>D17/('All. 8'!$C$10/60)</f>
        <v>58983.489361702123</v>
      </c>
      <c r="E20" s="350">
        <f>E17/('All. 8'!$C$10/60)</f>
        <v>67831.01276595745</v>
      </c>
      <c r="F20" s="350">
        <f>F17/('All. 8'!$C$10/60)</f>
        <v>61932.663829787234</v>
      </c>
      <c r="G20" s="350">
        <f>G17/('All. 8'!$C$10/60)</f>
        <v>61932.663829787234</v>
      </c>
      <c r="H20" s="350">
        <f>H17/('All. 8'!$C$10/60)</f>
        <v>64881.838297872338</v>
      </c>
      <c r="I20" s="350">
        <f>I17/('All. 8'!$C$10/60)</f>
        <v>57041.838297872338</v>
      </c>
      <c r="J20" s="350">
        <f>J17/('All. 8'!$C$10/60)</f>
        <v>35390.093617021274</v>
      </c>
      <c r="K20" s="350">
        <f>K17/('All. 8'!$C$10/60)</f>
        <v>64881.838297872338</v>
      </c>
      <c r="L20" s="350">
        <f>L17/('All. 8'!$C$10/60)</f>
        <v>61932.663829787234</v>
      </c>
      <c r="M20" s="350">
        <f>M17/('All. 8'!$C$10/60)</f>
        <v>61932.663829787234</v>
      </c>
      <c r="N20" s="350">
        <f>N17/('All. 8'!$C$10/60)</f>
        <v>27550.093617021277</v>
      </c>
      <c r="O20" s="278"/>
    </row>
    <row r="21" spans="2:17" ht="16" hidden="1" x14ac:dyDescent="0.2">
      <c r="B21" s="415"/>
      <c r="C21" s="271">
        <f>MIN(SUM(C9:$N9)-SUM(D21:$N21),C20)</f>
        <v>53085.140425531914</v>
      </c>
      <c r="D21" s="271">
        <f>MIN(SUM(D9:$N9)-SUM(E21:$N21),D20)</f>
        <v>58983.489361702123</v>
      </c>
      <c r="E21" s="271">
        <f>MIN(SUM(E9:$N9)-SUM(F21:$N21),E20)</f>
        <v>67407.192253488931</v>
      </c>
      <c r="F21" s="271">
        <f>MIN(SUM(F9:$N9)-SUM(G21:$N21),F20)</f>
        <v>61932.663829787234</v>
      </c>
      <c r="G21" s="271">
        <f>MIN(SUM(G9:$N9)-SUM(H21:$N21),G20)</f>
        <v>61932.663829787234</v>
      </c>
      <c r="H21" s="271">
        <f>MIN(SUM(H9:$N9)-SUM(I21:$N21),H20)</f>
        <v>64881.83829787228</v>
      </c>
      <c r="I21" s="271">
        <f>MIN(SUM(I9:$N9)-SUM(J21:$N21),I20)</f>
        <v>57041.838297872338</v>
      </c>
      <c r="J21" s="271">
        <f>MIN(SUM(J9:$N9)-SUM(K21:$N21),J20)</f>
        <v>35390.093617021274</v>
      </c>
      <c r="K21" s="271">
        <f>MIN(SUM(K9:$N9)-SUM(L21:$N21),K20)</f>
        <v>61002.600772020145</v>
      </c>
      <c r="L21" s="271">
        <f>MIN(SUM(L9:$N9)-SUM(M21:$N21),L20)</f>
        <v>53809.840677835746</v>
      </c>
      <c r="M21" s="271">
        <f>MIN(SUM(M9:$N9)-SUM(N21:$N21),M20)</f>
        <v>61932.663829787227</v>
      </c>
      <c r="N21" s="271">
        <f>+N20</f>
        <v>27550.093617021277</v>
      </c>
      <c r="O21" s="501">
        <f>SUM(C21:N21)</f>
        <v>664950.1188097276</v>
      </c>
    </row>
    <row r="22" spans="2:17" ht="16" x14ac:dyDescent="0.2">
      <c r="B22" s="510" t="s">
        <v>711</v>
      </c>
      <c r="C22" s="511">
        <f>+C21+C35</f>
        <v>53085.140425531914</v>
      </c>
      <c r="D22" s="511">
        <f>+D21+D35</f>
        <v>60115.491160451427</v>
      </c>
      <c r="E22" s="511">
        <f t="shared" ref="E22:N22" si="2">+E21+E35</f>
        <v>67407.192253488931</v>
      </c>
      <c r="F22" s="511">
        <f t="shared" si="2"/>
        <v>61932.663829787234</v>
      </c>
      <c r="G22" s="511">
        <f t="shared" si="2"/>
        <v>61932.663829787234</v>
      </c>
      <c r="H22" s="511">
        <f t="shared" si="2"/>
        <v>64881.83829787228</v>
      </c>
      <c r="I22" s="511">
        <f t="shared" si="2"/>
        <v>57041.838297872338</v>
      </c>
      <c r="J22" s="511">
        <f t="shared" si="2"/>
        <v>35390.093617021274</v>
      </c>
      <c r="K22" s="511">
        <f t="shared" si="2"/>
        <v>61002.600772020145</v>
      </c>
      <c r="L22" s="511">
        <f t="shared" si="2"/>
        <v>53809.840677835746</v>
      </c>
      <c r="M22" s="511">
        <f t="shared" si="2"/>
        <v>61932.663829787227</v>
      </c>
      <c r="N22" s="511">
        <f t="shared" si="2"/>
        <v>27550.093617021277</v>
      </c>
      <c r="O22" s="512">
        <f>SUM(C22:N22)</f>
        <v>666082.12060847704</v>
      </c>
      <c r="Q22" s="507"/>
    </row>
    <row r="23" spans="2:17" ht="16" x14ac:dyDescent="0.2">
      <c r="B23" s="415" t="s">
        <v>718</v>
      </c>
      <c r="C23" s="271">
        <f>'All. 8'!$C$10/60*C22</f>
        <v>13271.285106382978</v>
      </c>
      <c r="D23" s="271">
        <f>'All. 8'!$C$10/60*D22</f>
        <v>15028.872790112857</v>
      </c>
      <c r="E23" s="271">
        <f>'All. 8'!$C$10/60*E22</f>
        <v>16851.798063372233</v>
      </c>
      <c r="F23" s="271">
        <f>'All. 8'!$C$10/60*F22</f>
        <v>15483.165957446809</v>
      </c>
      <c r="G23" s="271">
        <f>'All. 8'!$C$10/60*G22</f>
        <v>15483.165957446809</v>
      </c>
      <c r="H23" s="271">
        <f>'All. 8'!$C$10/60*H22</f>
        <v>16220.45957446807</v>
      </c>
      <c r="I23" s="271">
        <f>'All. 8'!$C$10/60*I22</f>
        <v>14260.459574468085</v>
      </c>
      <c r="J23" s="271">
        <f>'All. 8'!$C$10/60*J22</f>
        <v>8847.5234042553184</v>
      </c>
      <c r="K23" s="271">
        <f>'All. 8'!$C$10/60*K22</f>
        <v>15250.650193005036</v>
      </c>
      <c r="L23" s="271">
        <f>'All. 8'!$C$10/60*L22</f>
        <v>13452.460169458936</v>
      </c>
      <c r="M23" s="271">
        <f>'All. 8'!$C$10/60*M22</f>
        <v>15483.165957446807</v>
      </c>
      <c r="N23" s="271">
        <f>'All. 8'!$C$10/60*N22</f>
        <v>6887.5234042553193</v>
      </c>
      <c r="O23" s="501">
        <f>SUM(C23:N23)</f>
        <v>166520.53015211926</v>
      </c>
    </row>
    <row r="24" spans="2:17" ht="16" x14ac:dyDescent="0.2">
      <c r="B24" s="415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8"/>
    </row>
    <row r="25" spans="2:17" ht="16" x14ac:dyDescent="0.2">
      <c r="B25" s="415" t="s">
        <v>712</v>
      </c>
      <c r="C25" s="506">
        <f>C17</f>
        <v>13271.285106382978</v>
      </c>
      <c r="D25" s="506">
        <f t="shared" ref="D25:N25" si="3">D17</f>
        <v>14745.872340425531</v>
      </c>
      <c r="E25" s="506">
        <f t="shared" si="3"/>
        <v>16957.753191489363</v>
      </c>
      <c r="F25" s="506">
        <f t="shared" si="3"/>
        <v>15483.165957446809</v>
      </c>
      <c r="G25" s="506">
        <f t="shared" si="3"/>
        <v>15483.165957446809</v>
      </c>
      <c r="H25" s="506">
        <f t="shared" si="3"/>
        <v>16220.459574468085</v>
      </c>
      <c r="I25" s="506">
        <f t="shared" si="3"/>
        <v>14260.459574468085</v>
      </c>
      <c r="J25" s="506">
        <f t="shared" si="3"/>
        <v>8847.5234042553184</v>
      </c>
      <c r="K25" s="506">
        <f t="shared" si="3"/>
        <v>16220.459574468085</v>
      </c>
      <c r="L25" s="506">
        <f t="shared" si="3"/>
        <v>15483.165957446809</v>
      </c>
      <c r="M25" s="506">
        <f t="shared" si="3"/>
        <v>15483.165957446809</v>
      </c>
      <c r="N25" s="506">
        <f t="shared" si="3"/>
        <v>6887.5234042553193</v>
      </c>
      <c r="O25" s="503">
        <f>SUM(C25:N25)</f>
        <v>169344.00000000003</v>
      </c>
    </row>
    <row r="26" spans="2:17" ht="16" x14ac:dyDescent="0.2">
      <c r="B26" s="415" t="s">
        <v>713</v>
      </c>
      <c r="C26" s="506"/>
      <c r="D26" s="509">
        <f>+D23-D25</f>
        <v>283.00044968732618</v>
      </c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3">
        <f>SUM(C26:N26)</f>
        <v>283.00044968732618</v>
      </c>
    </row>
    <row r="27" spans="2:17" ht="17" thickBot="1" x14ac:dyDescent="0.25">
      <c r="B27" s="415" t="s">
        <v>714</v>
      </c>
      <c r="C27" s="506">
        <f>C25+C26</f>
        <v>13271.285106382978</v>
      </c>
      <c r="D27" s="506">
        <f t="shared" ref="D27:N27" si="4">D25+D26</f>
        <v>15028.872790112857</v>
      </c>
      <c r="E27" s="506">
        <f t="shared" si="4"/>
        <v>16957.753191489363</v>
      </c>
      <c r="F27" s="506">
        <f t="shared" si="4"/>
        <v>15483.165957446809</v>
      </c>
      <c r="G27" s="506">
        <f t="shared" si="4"/>
        <v>15483.165957446809</v>
      </c>
      <c r="H27" s="506">
        <f t="shared" si="4"/>
        <v>16220.459574468085</v>
      </c>
      <c r="I27" s="506">
        <f t="shared" si="4"/>
        <v>14260.459574468085</v>
      </c>
      <c r="J27" s="506">
        <f t="shared" si="4"/>
        <v>8847.5234042553184</v>
      </c>
      <c r="K27" s="506">
        <f t="shared" si="4"/>
        <v>16220.459574468085</v>
      </c>
      <c r="L27" s="506">
        <f t="shared" si="4"/>
        <v>15483.165957446809</v>
      </c>
      <c r="M27" s="506">
        <f t="shared" si="4"/>
        <v>15483.165957446809</v>
      </c>
      <c r="N27" s="506">
        <f t="shared" si="4"/>
        <v>6887.5234042553193</v>
      </c>
      <c r="O27" s="503">
        <f>SUM(C27:N27)</f>
        <v>169627.00044968733</v>
      </c>
    </row>
    <row r="28" spans="2:17" ht="17" thickBot="1" x14ac:dyDescent="0.25">
      <c r="B28" s="416" t="s">
        <v>710</v>
      </c>
      <c r="C28" s="276">
        <f>C27-C23</f>
        <v>0</v>
      </c>
      <c r="D28" s="276">
        <f t="shared" ref="D28:N28" si="5">D27-D23</f>
        <v>0</v>
      </c>
      <c r="E28" s="276">
        <f t="shared" si="5"/>
        <v>105.95512811712979</v>
      </c>
      <c r="F28" s="276">
        <f t="shared" si="5"/>
        <v>0</v>
      </c>
      <c r="G28" s="276">
        <f t="shared" si="5"/>
        <v>0</v>
      </c>
      <c r="H28" s="276">
        <f t="shared" si="5"/>
        <v>1.4551915228366852E-11</v>
      </c>
      <c r="I28" s="276">
        <f t="shared" si="5"/>
        <v>0</v>
      </c>
      <c r="J28" s="276">
        <f t="shared" si="5"/>
        <v>0</v>
      </c>
      <c r="K28" s="276">
        <f t="shared" si="5"/>
        <v>969.80938146304834</v>
      </c>
      <c r="L28" s="276">
        <f t="shared" si="5"/>
        <v>2030.7057879878721</v>
      </c>
      <c r="M28" s="276">
        <f t="shared" si="5"/>
        <v>0</v>
      </c>
      <c r="N28" s="276">
        <f t="shared" si="5"/>
        <v>0</v>
      </c>
      <c r="O28" s="286">
        <f>SUM(C28:N28)</f>
        <v>3106.4702975680648</v>
      </c>
    </row>
    <row r="29" spans="2:17" hidden="1" x14ac:dyDescent="0.15">
      <c r="B29" s="513"/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5"/>
    </row>
    <row r="30" spans="2:17" hidden="1" x14ac:dyDescent="0.15">
      <c r="B30" s="51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517"/>
    </row>
    <row r="31" spans="2:17" hidden="1" x14ac:dyDescent="0.15">
      <c r="B31" s="518" t="s">
        <v>716</v>
      </c>
      <c r="C31" s="2">
        <f>+C9</f>
        <v>53085.140425531914</v>
      </c>
      <c r="D31" s="2">
        <f t="shared" ref="D31:N31" si="6">+D9+C31</f>
        <v>113200.63158598334</v>
      </c>
      <c r="E31" s="2">
        <f t="shared" si="6"/>
        <v>180607.82383947226</v>
      </c>
      <c r="F31" s="2">
        <f t="shared" si="6"/>
        <v>242540.48766925948</v>
      </c>
      <c r="G31" s="2">
        <f t="shared" si="6"/>
        <v>304473.15149904671</v>
      </c>
      <c r="H31" s="2">
        <f t="shared" si="6"/>
        <v>369354.98979691905</v>
      </c>
      <c r="I31" s="2">
        <f t="shared" si="6"/>
        <v>426396.82809479139</v>
      </c>
      <c r="J31" s="2">
        <f t="shared" si="6"/>
        <v>461786.92171181267</v>
      </c>
      <c r="K31" s="2">
        <f t="shared" si="6"/>
        <v>522789.52248383278</v>
      </c>
      <c r="L31" s="2">
        <f t="shared" si="6"/>
        <v>576599.36316166853</v>
      </c>
      <c r="M31" s="2">
        <f t="shared" si="6"/>
        <v>638532.02699145582</v>
      </c>
      <c r="N31" s="2">
        <f t="shared" si="6"/>
        <v>666082.12060847704</v>
      </c>
      <c r="O31" s="517"/>
    </row>
    <row r="32" spans="2:17" hidden="1" x14ac:dyDescent="0.15">
      <c r="B32" s="519" t="s">
        <v>717</v>
      </c>
      <c r="C32" s="2">
        <f>+C21</f>
        <v>53085.140425531914</v>
      </c>
      <c r="D32" s="2">
        <f t="shared" ref="D32:N32" si="7">+C32+D21</f>
        <v>112068.62978723404</v>
      </c>
      <c r="E32" s="2">
        <f t="shared" si="7"/>
        <v>179475.82204072297</v>
      </c>
      <c r="F32" s="2">
        <f t="shared" si="7"/>
        <v>241408.48587051019</v>
      </c>
      <c r="G32" s="2">
        <f t="shared" si="7"/>
        <v>303341.14970029745</v>
      </c>
      <c r="H32" s="2">
        <f t="shared" si="7"/>
        <v>368222.98799816973</v>
      </c>
      <c r="I32" s="2">
        <f t="shared" si="7"/>
        <v>425264.82629604207</v>
      </c>
      <c r="J32" s="2">
        <f t="shared" si="7"/>
        <v>460654.91991306335</v>
      </c>
      <c r="K32" s="2">
        <f t="shared" si="7"/>
        <v>521657.52068508347</v>
      </c>
      <c r="L32" s="2">
        <f t="shared" si="7"/>
        <v>575467.36136291921</v>
      </c>
      <c r="M32" s="2">
        <f t="shared" si="7"/>
        <v>637400.02519270638</v>
      </c>
      <c r="N32" s="2">
        <f t="shared" si="7"/>
        <v>664950.1188097276</v>
      </c>
      <c r="O32" s="517"/>
    </row>
    <row r="33" spans="2:15" hidden="1" x14ac:dyDescent="0.15">
      <c r="B33" s="516"/>
      <c r="C33" s="2">
        <f>+C22</f>
        <v>53085.140425531914</v>
      </c>
      <c r="D33" s="2">
        <f>+D22+C22</f>
        <v>113200.63158598334</v>
      </c>
      <c r="E33" s="2">
        <f>+E22+D33</f>
        <v>180607.82383947226</v>
      </c>
      <c r="F33" s="2">
        <f t="shared" ref="F33:N33" si="8">+F22+E33</f>
        <v>242540.48766925948</v>
      </c>
      <c r="G33" s="2">
        <f t="shared" si="8"/>
        <v>304473.15149904671</v>
      </c>
      <c r="H33" s="2">
        <f t="shared" si="8"/>
        <v>369354.98979691899</v>
      </c>
      <c r="I33" s="2">
        <f t="shared" si="8"/>
        <v>426396.82809479133</v>
      </c>
      <c r="J33" s="2">
        <f t="shared" si="8"/>
        <v>461786.92171181261</v>
      </c>
      <c r="K33" s="2">
        <f t="shared" si="8"/>
        <v>522789.52248383278</v>
      </c>
      <c r="L33" s="2">
        <f t="shared" si="8"/>
        <v>576599.36316166853</v>
      </c>
      <c r="M33" s="2">
        <f t="shared" si="8"/>
        <v>638532.02699145582</v>
      </c>
      <c r="N33" s="2">
        <f t="shared" si="8"/>
        <v>666082.12060847704</v>
      </c>
      <c r="O33" s="517"/>
    </row>
    <row r="34" spans="2:15" hidden="1" x14ac:dyDescent="0.15">
      <c r="B34" s="51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517"/>
    </row>
    <row r="35" spans="2:15" ht="14" hidden="1" thickBot="1" x14ac:dyDescent="0.2">
      <c r="B35" s="520"/>
      <c r="C35" s="521">
        <f>+IF(C32&lt;C31,C31-C32,0)</f>
        <v>0</v>
      </c>
      <c r="D35" s="521">
        <f>+IF(D32&lt;D31,D31-D32,0)</f>
        <v>1132.0017987493047</v>
      </c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3"/>
    </row>
    <row r="36" spans="2:15" ht="16" x14ac:dyDescent="0.2">
      <c r="B36" s="216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8"/>
    </row>
    <row r="37" spans="2:15" ht="16" x14ac:dyDescent="0.2">
      <c r="B37" s="500" t="s">
        <v>93</v>
      </c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8"/>
    </row>
    <row r="38" spans="2:15" ht="16" x14ac:dyDescent="0.2">
      <c r="B38" s="415"/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8"/>
    </row>
    <row r="39" spans="2:15" ht="16" x14ac:dyDescent="0.2">
      <c r="B39" s="415" t="s">
        <v>706</v>
      </c>
      <c r="C39" s="271">
        <f>'Tab 5'!C28</f>
        <v>3608.3732687165466</v>
      </c>
      <c r="D39" s="271">
        <f>'Tab 5'!D28</f>
        <v>3741.1687639395996</v>
      </c>
      <c r="E39" s="271">
        <f>'Tab 5'!E28</f>
        <v>3919.3196574605463</v>
      </c>
      <c r="F39" s="271">
        <f>'Tab 5'!F28</f>
        <v>3919.3196574605354</v>
      </c>
      <c r="G39" s="271">
        <f>'Tab 5'!G28</f>
        <v>2503.4253543994528</v>
      </c>
      <c r="H39" s="271">
        <f>'Tab 5'!H28</f>
        <v>4551.6595744680844</v>
      </c>
      <c r="I39" s="271">
        <f>'Tab 5'!I28</f>
        <v>4001.6595744680844</v>
      </c>
      <c r="J39" s="271">
        <f>'Tab 5'!J28</f>
        <v>2482.7234042553191</v>
      </c>
      <c r="K39" s="271">
        <f>'Tab 5'!K28</f>
        <v>3008.4665511662315</v>
      </c>
      <c r="L39" s="271">
        <f>'Tab 5'!L28</f>
        <v>4344.765957446808</v>
      </c>
      <c r="M39" s="271">
        <f>'Tab 5'!M28</f>
        <v>4344.765957446808</v>
      </c>
      <c r="N39" s="271">
        <f>'Tab 5'!N28</f>
        <v>1932.7234042553191</v>
      </c>
      <c r="O39" s="501">
        <f>SUM(C39:N39)</f>
        <v>42358.371125483332</v>
      </c>
    </row>
    <row r="40" spans="2:15" ht="16" x14ac:dyDescent="0.2">
      <c r="B40" s="415" t="s">
        <v>707</v>
      </c>
      <c r="C40" s="271">
        <f>'All. 8'!$C$17/60*C39</f>
        <v>1443.3493074866187</v>
      </c>
      <c r="D40" s="271">
        <f>'All. 8'!$C$17/60*D39</f>
        <v>1496.4675055758398</v>
      </c>
      <c r="E40" s="271">
        <f>'All. 8'!$C$17/60*E39</f>
        <v>1567.7278629842185</v>
      </c>
      <c r="F40" s="271">
        <f>'All. 8'!$C$17/60*F39</f>
        <v>1567.7278629842142</v>
      </c>
      <c r="G40" s="271">
        <f>'All. 8'!$C$17/60*G39</f>
        <v>1001.3701417597812</v>
      </c>
      <c r="H40" s="271">
        <f>'All. 8'!$C$17/60*H39</f>
        <v>1820.6638297872339</v>
      </c>
      <c r="I40" s="271">
        <f>'All. 8'!$C$17/60*I39</f>
        <v>1600.6638297872339</v>
      </c>
      <c r="J40" s="271">
        <f>'All. 8'!$C$17/60*J39</f>
        <v>993.08936170212769</v>
      </c>
      <c r="K40" s="271">
        <f>'All. 8'!$C$17/60*K39</f>
        <v>1203.3866204664926</v>
      </c>
      <c r="L40" s="271">
        <f>'All. 8'!$C$17/60*L39</f>
        <v>1737.9063829787233</v>
      </c>
      <c r="M40" s="271">
        <f>'All. 8'!$C$17/60*M39</f>
        <v>1737.9063829787233</v>
      </c>
      <c r="N40" s="271">
        <f>'All. 8'!$C$17/60*N39</f>
        <v>773.08936170212769</v>
      </c>
      <c r="O40" s="501">
        <f>SUM(C40:N40)</f>
        <v>16943.348450193334</v>
      </c>
    </row>
    <row r="41" spans="2:15" ht="16" x14ac:dyDescent="0.2">
      <c r="B41" s="415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8"/>
    </row>
    <row r="42" spans="2:15" ht="16" x14ac:dyDescent="0.2">
      <c r="B42" s="415" t="s">
        <v>708</v>
      </c>
      <c r="C42" s="502">
        <f>'Tab. 11'!C8</f>
        <v>18</v>
      </c>
      <c r="D42" s="502">
        <f>'Tab. 11'!D8</f>
        <v>20</v>
      </c>
      <c r="E42" s="502">
        <f>'Tab. 11'!E8</f>
        <v>23</v>
      </c>
      <c r="F42" s="502">
        <f>'Tab. 11'!F8</f>
        <v>21</v>
      </c>
      <c r="G42" s="502">
        <f>'Tab. 11'!G8</f>
        <v>21</v>
      </c>
      <c r="H42" s="502">
        <f>'Tab. 11'!H8</f>
        <v>22</v>
      </c>
      <c r="I42" s="502">
        <f>'Tab. 11'!I8</f>
        <v>22</v>
      </c>
      <c r="J42" s="502">
        <f>'Tab. 11'!J8</f>
        <v>12</v>
      </c>
      <c r="K42" s="502">
        <f>'Tab. 11'!K8</f>
        <v>22</v>
      </c>
      <c r="L42" s="502">
        <f>'Tab. 11'!L8</f>
        <v>21</v>
      </c>
      <c r="M42" s="502">
        <f>'Tab. 11'!M8</f>
        <v>21</v>
      </c>
      <c r="N42" s="502">
        <f>'Tab. 11'!N8</f>
        <v>12</v>
      </c>
      <c r="O42" s="503">
        <f>SUM(C42:N42)</f>
        <v>235</v>
      </c>
    </row>
    <row r="43" spans="2:15" ht="16" x14ac:dyDescent="0.2">
      <c r="B43" s="415" t="s">
        <v>4</v>
      </c>
      <c r="C43" s="504">
        <f>C42*-'All. 11'!$F$9</f>
        <v>-1.0723404255319149</v>
      </c>
      <c r="D43" s="504">
        <f>D42*-'All. 11'!$F$9</f>
        <v>-1.1914893617021276</v>
      </c>
      <c r="E43" s="504">
        <f>E42*-'All. 11'!$F$9</f>
        <v>-1.3702127659574468</v>
      </c>
      <c r="F43" s="504">
        <f>F42*-'All. 11'!$F$9</f>
        <v>-1.2510638297872341</v>
      </c>
      <c r="G43" s="504">
        <f>G42*-'All. 11'!$F$9</f>
        <v>-1.2510638297872341</v>
      </c>
      <c r="H43" s="504">
        <f>H42*-'All. 11'!$F$9</f>
        <v>-1.3106382978723405</v>
      </c>
      <c r="I43" s="504">
        <f>I42*-'All. 11'!$F$9</f>
        <v>-1.3106382978723405</v>
      </c>
      <c r="J43" s="504">
        <f>J42*-'All. 11'!$F$9</f>
        <v>-0.71489361702127663</v>
      </c>
      <c r="K43" s="504">
        <f>K42*-'All. 11'!$F$9</f>
        <v>-1.3106382978723405</v>
      </c>
      <c r="L43" s="504">
        <f>L42*-'All. 11'!$F$9</f>
        <v>-1.2510638297872341</v>
      </c>
      <c r="M43" s="504">
        <f>M42*-'All. 11'!$F$9</f>
        <v>-1.2510638297872341</v>
      </c>
      <c r="N43" s="504">
        <f>N42*-'All. 11'!$F$9</f>
        <v>-0.71489361702127663</v>
      </c>
      <c r="O43" s="508">
        <f>SUM(C43:N43)</f>
        <v>-14.000000000000004</v>
      </c>
    </row>
    <row r="44" spans="2:15" ht="16" x14ac:dyDescent="0.2">
      <c r="B44" s="415" t="s">
        <v>5</v>
      </c>
      <c r="C44" s="502"/>
      <c r="D44" s="502"/>
      <c r="E44" s="502"/>
      <c r="F44" s="502"/>
      <c r="G44" s="502"/>
      <c r="H44" s="502"/>
      <c r="I44" s="504">
        <f>'All. 11'!$D$8/2</f>
        <v>-2.5</v>
      </c>
      <c r="J44" s="502"/>
      <c r="K44" s="502"/>
      <c r="L44" s="502"/>
      <c r="M44" s="502"/>
      <c r="N44" s="504">
        <f>'All. 11'!$D$8/2</f>
        <v>-2.5</v>
      </c>
      <c r="O44" s="503">
        <f>SUM(C44:N44)</f>
        <v>-5</v>
      </c>
    </row>
    <row r="45" spans="2:15" ht="16" x14ac:dyDescent="0.2">
      <c r="B45" s="415" t="s">
        <v>6</v>
      </c>
      <c r="C45" s="524">
        <f>'All. 11'!$D$10</f>
        <v>8</v>
      </c>
      <c r="D45" s="524">
        <f>'All. 11'!$D$10</f>
        <v>8</v>
      </c>
      <c r="E45" s="524">
        <f>'All. 11'!$D$10</f>
        <v>8</v>
      </c>
      <c r="F45" s="524">
        <f>'All. 11'!$D$10</f>
        <v>8</v>
      </c>
      <c r="G45" s="524">
        <f>'All. 11'!$D$10</f>
        <v>8</v>
      </c>
      <c r="H45" s="524">
        <f>'All. 11'!$D$10</f>
        <v>8</v>
      </c>
      <c r="I45" s="524">
        <f>'All. 11'!$D$10</f>
        <v>8</v>
      </c>
      <c r="J45" s="524">
        <f>'All. 11'!$D$10</f>
        <v>8</v>
      </c>
      <c r="K45" s="524">
        <f>'All. 11'!$D$10</f>
        <v>8</v>
      </c>
      <c r="L45" s="524">
        <f>'All. 11'!$D$10</f>
        <v>8</v>
      </c>
      <c r="M45" s="524">
        <f>'All. 11'!$D$10</f>
        <v>8</v>
      </c>
      <c r="N45" s="524">
        <f>'All. 11'!$D$10</f>
        <v>8</v>
      </c>
      <c r="O45" s="505"/>
    </row>
    <row r="46" spans="2:15" ht="16" x14ac:dyDescent="0.2">
      <c r="B46" s="415" t="s">
        <v>7</v>
      </c>
      <c r="C46" s="502">
        <f>'All. 11'!$D$5</f>
        <v>11</v>
      </c>
      <c r="D46" s="502">
        <f>'All. 11'!$D$5</f>
        <v>11</v>
      </c>
      <c r="E46" s="502">
        <f>'All. 11'!$D$5</f>
        <v>11</v>
      </c>
      <c r="F46" s="502">
        <f>'All. 11'!$D$5</f>
        <v>11</v>
      </c>
      <c r="G46" s="502">
        <f>'All. 11'!$D$5</f>
        <v>11</v>
      </c>
      <c r="H46" s="502">
        <f>'All. 11'!$D$5</f>
        <v>11</v>
      </c>
      <c r="I46" s="502">
        <f>'All. 11'!$D$5</f>
        <v>11</v>
      </c>
      <c r="J46" s="502">
        <f>'All. 11'!$D$5</f>
        <v>11</v>
      </c>
      <c r="K46" s="502">
        <f>'All. 11'!$D$5</f>
        <v>11</v>
      </c>
      <c r="L46" s="502">
        <f>'All. 11'!$D$5</f>
        <v>11</v>
      </c>
      <c r="M46" s="502">
        <f>'All. 11'!$D$5</f>
        <v>11</v>
      </c>
      <c r="N46" s="502">
        <f>'All. 11'!$D$5</f>
        <v>11</v>
      </c>
      <c r="O46" s="505"/>
    </row>
    <row r="47" spans="2:15" ht="17" thickBot="1" x14ac:dyDescent="0.25">
      <c r="B47" s="415" t="s">
        <v>709</v>
      </c>
      <c r="C47" s="271">
        <f>(C42+C43+C44)*C45*C46</f>
        <v>1489.6340425531914</v>
      </c>
      <c r="D47" s="271">
        <f t="shared" ref="D47" si="9">(D42+D43+D44)*D45*D46</f>
        <v>1655.1489361702127</v>
      </c>
      <c r="E47" s="271">
        <f t="shared" ref="E47" si="10">(E42+E43+E44)*E45*E46</f>
        <v>1903.4212765957445</v>
      </c>
      <c r="F47" s="271">
        <f t="shared" ref="F47" si="11">(F42+F43+F44)*F45*F46</f>
        <v>1737.9063829787233</v>
      </c>
      <c r="G47" s="271">
        <f t="shared" ref="G47" si="12">(G42+G43+G44)*G45*G46</f>
        <v>1737.9063829787233</v>
      </c>
      <c r="H47" s="271">
        <f t="shared" ref="H47" si="13">(H42+H43+H44)*H45*H46</f>
        <v>1820.6638297872339</v>
      </c>
      <c r="I47" s="271">
        <f t="shared" ref="I47" si="14">(I42+I43+I44)*I45*I46</f>
        <v>1600.6638297872339</v>
      </c>
      <c r="J47" s="271">
        <f t="shared" ref="J47" si="15">(J42+J43+J44)*J45*J46</f>
        <v>993.08936170212769</v>
      </c>
      <c r="K47" s="271">
        <f t="shared" ref="K47" si="16">(K42+K43+K44)*K45*K46</f>
        <v>1820.6638297872339</v>
      </c>
      <c r="L47" s="271">
        <f t="shared" ref="L47" si="17">(L42+L43+L44)*L45*L46</f>
        <v>1737.9063829787233</v>
      </c>
      <c r="M47" s="271">
        <f t="shared" ref="M47" si="18">(M42+M43+M44)*M45*M46</f>
        <v>1737.9063829787233</v>
      </c>
      <c r="N47" s="271">
        <f t="shared" ref="N47" si="19">(N42+N43+N44)*N45*N46</f>
        <v>773.08936170212769</v>
      </c>
      <c r="O47" s="501">
        <f>SUM(C47:N47)</f>
        <v>19008</v>
      </c>
    </row>
    <row r="48" spans="2:15" ht="17" thickBot="1" x14ac:dyDescent="0.25">
      <c r="B48" s="416" t="s">
        <v>710</v>
      </c>
      <c r="C48" s="276">
        <f>C47-C40</f>
        <v>46.284735066572694</v>
      </c>
      <c r="D48" s="276">
        <f t="shared" ref="D48:O48" si="20">D47-D40</f>
        <v>158.68143059437284</v>
      </c>
      <c r="E48" s="276">
        <f t="shared" si="20"/>
        <v>335.69341361152601</v>
      </c>
      <c r="F48" s="276">
        <f t="shared" si="20"/>
        <v>170.17851999450909</v>
      </c>
      <c r="G48" s="276">
        <f t="shared" si="20"/>
        <v>736.53624121894211</v>
      </c>
      <c r="H48" s="276">
        <f t="shared" si="20"/>
        <v>0</v>
      </c>
      <c r="I48" s="276">
        <f t="shared" si="20"/>
        <v>0</v>
      </c>
      <c r="J48" s="276">
        <f t="shared" si="20"/>
        <v>0</v>
      </c>
      <c r="K48" s="276">
        <f t="shared" si="20"/>
        <v>617.27720932074135</v>
      </c>
      <c r="L48" s="276">
        <f t="shared" si="20"/>
        <v>0</v>
      </c>
      <c r="M48" s="276">
        <f t="shared" si="20"/>
        <v>0</v>
      </c>
      <c r="N48" s="276">
        <f t="shared" si="20"/>
        <v>0</v>
      </c>
      <c r="O48" s="286">
        <f t="shared" si="20"/>
        <v>2064.6515498066656</v>
      </c>
    </row>
    <row r="49" spans="2:15" ht="16" x14ac:dyDescent="0.2">
      <c r="B49" s="415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8"/>
    </row>
    <row r="50" spans="2:15" ht="16" x14ac:dyDescent="0.2">
      <c r="B50" s="415" t="s">
        <v>715</v>
      </c>
      <c r="C50" s="350">
        <f>C47/('All. 8'!$C$17/60)</f>
        <v>3724.0851063829782</v>
      </c>
      <c r="D50" s="350">
        <f>D47/('All. 8'!$C$17/60)</f>
        <v>4137.8723404255315</v>
      </c>
      <c r="E50" s="350">
        <f>E47/('All. 8'!$C$17/60)</f>
        <v>4758.5531914893609</v>
      </c>
      <c r="F50" s="350">
        <f>F47/('All. 8'!$C$17/60)</f>
        <v>4344.765957446808</v>
      </c>
      <c r="G50" s="350">
        <f>G47/('All. 8'!$C$17/60)</f>
        <v>4344.765957446808</v>
      </c>
      <c r="H50" s="350">
        <f>H47/('All. 8'!$C$17/60)</f>
        <v>4551.6595744680844</v>
      </c>
      <c r="I50" s="350">
        <f>I47/('All. 8'!$C$17/60)</f>
        <v>4001.6595744680844</v>
      </c>
      <c r="J50" s="350">
        <f>J47/('All. 8'!$C$17/60)</f>
        <v>2482.7234042553191</v>
      </c>
      <c r="K50" s="350">
        <f>K47/('All. 8'!$C$17/60)</f>
        <v>4551.6595744680844</v>
      </c>
      <c r="L50" s="350">
        <f>L47/('All. 8'!$C$17/60)</f>
        <v>4344.765957446808</v>
      </c>
      <c r="M50" s="350">
        <f>M47/('All. 8'!$C$17/60)</f>
        <v>4344.765957446808</v>
      </c>
      <c r="N50" s="350">
        <f>N47/('All. 8'!$C$17/60)</f>
        <v>1932.7234042553191</v>
      </c>
      <c r="O50" s="278"/>
    </row>
    <row r="51" spans="2:15" ht="16" hidden="1" x14ac:dyDescent="0.2">
      <c r="B51" s="415"/>
      <c r="C51" s="271">
        <f>MIN(SUM(C39:$N39)-SUM(D51:$N51),C50)</f>
        <v>3608.3732687165393</v>
      </c>
      <c r="D51" s="271">
        <f>MIN(SUM(D39:$N39)-SUM(E51:$N51),D50)</f>
        <v>3741.1687639396041</v>
      </c>
      <c r="E51" s="271">
        <f>MIN(SUM(E39:$N39)-SUM(F51:$N51),E50)</f>
        <v>3919.3196574605463</v>
      </c>
      <c r="F51" s="271">
        <f>MIN(SUM(F39:$N39)-SUM(G51:$N51),F50)</f>
        <v>3919.3196574605317</v>
      </c>
      <c r="G51" s="271">
        <f>MIN(SUM(G39:$N39)-SUM(H51:$N51),G50)</f>
        <v>2503.4253543994564</v>
      </c>
      <c r="H51" s="271">
        <f>MIN(SUM(H39:$N39)-SUM(I51:$N51),H50)</f>
        <v>4551.6595744680817</v>
      </c>
      <c r="I51" s="271">
        <f>MIN(SUM(I39:$N39)-SUM(J51:$N51),I50)</f>
        <v>4001.6595744680844</v>
      </c>
      <c r="J51" s="271">
        <f>MIN(SUM(J39:$N39)-SUM(K51:$N51),J50)</f>
        <v>2482.7234042553191</v>
      </c>
      <c r="K51" s="271">
        <f>MIN(SUM(K39:$N39)-SUM(L51:$N51),K50)</f>
        <v>3008.4665511662315</v>
      </c>
      <c r="L51" s="271">
        <f>MIN(SUM(L39:$N39)-SUM(M51:$N51),L50)</f>
        <v>4344.765957446808</v>
      </c>
      <c r="M51" s="271">
        <f>MIN(SUM(M39:$N39)-SUM(N51:$N51),M50)</f>
        <v>4344.765957446808</v>
      </c>
      <c r="N51" s="271">
        <f>+N50</f>
        <v>1932.7234042553191</v>
      </c>
      <c r="O51" s="501">
        <f>SUM(C51:N51)</f>
        <v>42358.371125483325</v>
      </c>
    </row>
    <row r="52" spans="2:15" ht="16" x14ac:dyDescent="0.2">
      <c r="B52" s="510" t="s">
        <v>711</v>
      </c>
      <c r="C52" s="511">
        <f>+C51+C65</f>
        <v>3608.3732687165466</v>
      </c>
      <c r="D52" s="511">
        <f>+D51+D65</f>
        <v>3741.1687639396068</v>
      </c>
      <c r="E52" s="511">
        <f t="shared" ref="E52" si="21">+E51+E65</f>
        <v>3919.3196574605463</v>
      </c>
      <c r="F52" s="511">
        <f t="shared" ref="F52" si="22">+F51+F65</f>
        <v>3919.3196574605317</v>
      </c>
      <c r="G52" s="511">
        <f t="shared" ref="G52" si="23">+G51+G65</f>
        <v>2503.4253543994564</v>
      </c>
      <c r="H52" s="511">
        <f t="shared" ref="H52" si="24">+H51+H65</f>
        <v>4551.6595744680817</v>
      </c>
      <c r="I52" s="511">
        <f t="shared" ref="I52" si="25">+I51+I65</f>
        <v>4001.6595744680844</v>
      </c>
      <c r="J52" s="511">
        <f t="shared" ref="J52" si="26">+J51+J65</f>
        <v>2482.7234042553191</v>
      </c>
      <c r="K52" s="511">
        <f t="shared" ref="K52" si="27">+K51+K65</f>
        <v>3008.4665511662315</v>
      </c>
      <c r="L52" s="511">
        <f t="shared" ref="L52" si="28">+L51+L65</f>
        <v>4344.765957446808</v>
      </c>
      <c r="M52" s="511">
        <f t="shared" ref="M52" si="29">+M51+M65</f>
        <v>4344.765957446808</v>
      </c>
      <c r="N52" s="511">
        <f t="shared" ref="N52" si="30">+N51+N65</f>
        <v>1932.7234042553191</v>
      </c>
      <c r="O52" s="512">
        <f>SUM(C52:N52)</f>
        <v>42358.371125483332</v>
      </c>
    </row>
    <row r="53" spans="2:15" ht="16" x14ac:dyDescent="0.2">
      <c r="B53" s="415" t="s">
        <v>718</v>
      </c>
      <c r="C53" s="271">
        <f>'All. 8'!$C$17/60*C52</f>
        <v>1443.3493074866187</v>
      </c>
      <c r="D53" s="271">
        <f>'All. 8'!$C$17/60*D52</f>
        <v>1496.4675055758428</v>
      </c>
      <c r="E53" s="271">
        <f>'All. 8'!$C$17/60*E52</f>
        <v>1567.7278629842185</v>
      </c>
      <c r="F53" s="271">
        <f>'All. 8'!$C$17/60*F52</f>
        <v>1567.7278629842128</v>
      </c>
      <c r="G53" s="271">
        <f>'All. 8'!$C$17/60*G52</f>
        <v>1001.3701417597827</v>
      </c>
      <c r="H53" s="271">
        <f>'All. 8'!$C$17/60*H52</f>
        <v>1820.6638297872328</v>
      </c>
      <c r="I53" s="271">
        <f>'All. 8'!$C$17/60*I52</f>
        <v>1600.6638297872339</v>
      </c>
      <c r="J53" s="271">
        <f>'All. 8'!$C$17/60*J52</f>
        <v>993.08936170212769</v>
      </c>
      <c r="K53" s="271">
        <f>'All. 8'!$C$17/60*K52</f>
        <v>1203.3866204664926</v>
      </c>
      <c r="L53" s="271">
        <f>'All. 8'!$C$17/60*L52</f>
        <v>1737.9063829787233</v>
      </c>
      <c r="M53" s="271">
        <f>'All. 8'!$C$17/60*M52</f>
        <v>1737.9063829787233</v>
      </c>
      <c r="N53" s="271">
        <f>'All. 8'!$C$17/60*N52</f>
        <v>773.08936170212769</v>
      </c>
      <c r="O53" s="501">
        <f>SUM(C53:N53)</f>
        <v>16943.348450193334</v>
      </c>
    </row>
    <row r="54" spans="2:15" ht="16" x14ac:dyDescent="0.2">
      <c r="B54" s="415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8"/>
    </row>
    <row r="55" spans="2:15" ht="16" x14ac:dyDescent="0.2">
      <c r="B55" s="415" t="s">
        <v>712</v>
      </c>
      <c r="C55" s="506">
        <f>C47</f>
        <v>1489.6340425531914</v>
      </c>
      <c r="D55" s="506">
        <f t="shared" ref="D55:N55" si="31">D47</f>
        <v>1655.1489361702127</v>
      </c>
      <c r="E55" s="506">
        <f t="shared" si="31"/>
        <v>1903.4212765957445</v>
      </c>
      <c r="F55" s="506">
        <f t="shared" si="31"/>
        <v>1737.9063829787233</v>
      </c>
      <c r="G55" s="506">
        <f t="shared" si="31"/>
        <v>1737.9063829787233</v>
      </c>
      <c r="H55" s="506">
        <f t="shared" si="31"/>
        <v>1820.6638297872339</v>
      </c>
      <c r="I55" s="506">
        <f t="shared" si="31"/>
        <v>1600.6638297872339</v>
      </c>
      <c r="J55" s="506">
        <f t="shared" si="31"/>
        <v>993.08936170212769</v>
      </c>
      <c r="K55" s="506">
        <f t="shared" si="31"/>
        <v>1820.6638297872339</v>
      </c>
      <c r="L55" s="506">
        <f t="shared" si="31"/>
        <v>1737.9063829787233</v>
      </c>
      <c r="M55" s="506">
        <f t="shared" si="31"/>
        <v>1737.9063829787233</v>
      </c>
      <c r="N55" s="506">
        <f t="shared" si="31"/>
        <v>773.08936170212769</v>
      </c>
      <c r="O55" s="503">
        <f>SUM(C55:N55)</f>
        <v>19008</v>
      </c>
    </row>
    <row r="56" spans="2:15" ht="16" x14ac:dyDescent="0.2">
      <c r="B56" s="415" t="s">
        <v>713</v>
      </c>
      <c r="C56" s="506"/>
      <c r="D56" s="509"/>
      <c r="E56" s="502"/>
      <c r="F56" s="502"/>
      <c r="G56" s="502"/>
      <c r="H56" s="502"/>
      <c r="I56" s="502"/>
      <c r="J56" s="502"/>
      <c r="K56" s="502"/>
      <c r="L56" s="502"/>
      <c r="M56" s="502"/>
      <c r="N56" s="502"/>
      <c r="O56" s="503">
        <f>SUM(C56:N56)</f>
        <v>0</v>
      </c>
    </row>
    <row r="57" spans="2:15" ht="17" thickBot="1" x14ac:dyDescent="0.25">
      <c r="B57" s="415" t="s">
        <v>714</v>
      </c>
      <c r="C57" s="506">
        <f>C55+C56</f>
        <v>1489.6340425531914</v>
      </c>
      <c r="D57" s="506">
        <f t="shared" ref="D57" si="32">D55+D56</f>
        <v>1655.1489361702127</v>
      </c>
      <c r="E57" s="506">
        <f t="shared" ref="E57" si="33">E55+E56</f>
        <v>1903.4212765957445</v>
      </c>
      <c r="F57" s="506">
        <f t="shared" ref="F57" si="34">F55+F56</f>
        <v>1737.9063829787233</v>
      </c>
      <c r="G57" s="506">
        <f t="shared" ref="G57" si="35">G55+G56</f>
        <v>1737.9063829787233</v>
      </c>
      <c r="H57" s="506">
        <f t="shared" ref="H57" si="36">H55+H56</f>
        <v>1820.6638297872339</v>
      </c>
      <c r="I57" s="506">
        <f t="shared" ref="I57" si="37">I55+I56</f>
        <v>1600.6638297872339</v>
      </c>
      <c r="J57" s="506">
        <f t="shared" ref="J57" si="38">J55+J56</f>
        <v>993.08936170212769</v>
      </c>
      <c r="K57" s="506">
        <f t="shared" ref="K57" si="39">K55+K56</f>
        <v>1820.6638297872339</v>
      </c>
      <c r="L57" s="506">
        <f t="shared" ref="L57" si="40">L55+L56</f>
        <v>1737.9063829787233</v>
      </c>
      <c r="M57" s="506">
        <f t="shared" ref="M57" si="41">M55+M56</f>
        <v>1737.9063829787233</v>
      </c>
      <c r="N57" s="506">
        <f t="shared" ref="N57" si="42">N55+N56</f>
        <v>773.08936170212769</v>
      </c>
      <c r="O57" s="503">
        <f>SUM(C57:N57)</f>
        <v>19008</v>
      </c>
    </row>
    <row r="58" spans="2:15" ht="17" thickBot="1" x14ac:dyDescent="0.25">
      <c r="B58" s="416" t="s">
        <v>710</v>
      </c>
      <c r="C58" s="276">
        <f>C57-C53</f>
        <v>46.284735066572694</v>
      </c>
      <c r="D58" s="276">
        <f t="shared" ref="D58" si="43">D57-D53</f>
        <v>158.68143059436989</v>
      </c>
      <c r="E58" s="276">
        <f t="shared" ref="E58" si="44">E57-E53</f>
        <v>335.69341361152601</v>
      </c>
      <c r="F58" s="276">
        <f t="shared" ref="F58" si="45">F57-F53</f>
        <v>170.17851999451045</v>
      </c>
      <c r="G58" s="276">
        <f t="shared" ref="G58" si="46">G57-G53</f>
        <v>736.53624121894063</v>
      </c>
      <c r="H58" s="276">
        <f t="shared" ref="H58" si="47">H57-H53</f>
        <v>0</v>
      </c>
      <c r="I58" s="276">
        <f t="shared" ref="I58" si="48">I57-I53</f>
        <v>0</v>
      </c>
      <c r="J58" s="276">
        <f t="shared" ref="J58" si="49">J57-J53</f>
        <v>0</v>
      </c>
      <c r="K58" s="276">
        <f t="shared" ref="K58" si="50">K57-K53</f>
        <v>617.27720932074135</v>
      </c>
      <c r="L58" s="276">
        <f t="shared" ref="L58" si="51">L57-L53</f>
        <v>0</v>
      </c>
      <c r="M58" s="276">
        <f t="shared" ref="M58" si="52">M57-M53</f>
        <v>0</v>
      </c>
      <c r="N58" s="276">
        <f t="shared" ref="N58" si="53">N57-N53</f>
        <v>0</v>
      </c>
      <c r="O58" s="286">
        <f>SUM(C58:N58)</f>
        <v>2064.651549806661</v>
      </c>
    </row>
    <row r="59" spans="2:15" hidden="1" x14ac:dyDescent="0.15">
      <c r="B59" s="513"/>
      <c r="C59" s="514"/>
      <c r="D59" s="514"/>
      <c r="E59" s="514"/>
      <c r="F59" s="514"/>
      <c r="G59" s="514"/>
      <c r="H59" s="514"/>
      <c r="I59" s="514"/>
      <c r="J59" s="514"/>
      <c r="K59" s="514"/>
      <c r="L59" s="514"/>
      <c r="M59" s="514"/>
      <c r="N59" s="514"/>
      <c r="O59" s="515"/>
    </row>
    <row r="60" spans="2:15" hidden="1" x14ac:dyDescent="0.15">
      <c r="B60" s="51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517"/>
    </row>
    <row r="61" spans="2:15" hidden="1" x14ac:dyDescent="0.15">
      <c r="B61" s="518" t="s">
        <v>716</v>
      </c>
      <c r="C61" s="2">
        <f>+C39</f>
        <v>3608.3732687165466</v>
      </c>
      <c r="D61" s="2">
        <f t="shared" ref="D61:N61" si="54">+D39+C61</f>
        <v>7349.5420326561461</v>
      </c>
      <c r="E61" s="2">
        <f t="shared" si="54"/>
        <v>11268.861690116693</v>
      </c>
      <c r="F61" s="2">
        <f t="shared" si="54"/>
        <v>15188.181347577229</v>
      </c>
      <c r="G61" s="2">
        <f t="shared" si="54"/>
        <v>17691.606701976682</v>
      </c>
      <c r="H61" s="2">
        <f t="shared" si="54"/>
        <v>22243.266276444767</v>
      </c>
      <c r="I61" s="2">
        <f t="shared" si="54"/>
        <v>26244.925850912852</v>
      </c>
      <c r="J61" s="2">
        <f t="shared" si="54"/>
        <v>28727.649255168173</v>
      </c>
      <c r="K61" s="2">
        <f t="shared" si="54"/>
        <v>31736.115806334405</v>
      </c>
      <c r="L61" s="2">
        <f t="shared" si="54"/>
        <v>36080.88176378121</v>
      </c>
      <c r="M61" s="2">
        <f t="shared" si="54"/>
        <v>40425.647721228015</v>
      </c>
      <c r="N61" s="2">
        <f t="shared" si="54"/>
        <v>42358.371125483332</v>
      </c>
      <c r="O61" s="517"/>
    </row>
    <row r="62" spans="2:15" hidden="1" x14ac:dyDescent="0.15">
      <c r="B62" s="519" t="s">
        <v>717</v>
      </c>
      <c r="C62" s="2">
        <f>+C51</f>
        <v>3608.3732687165393</v>
      </c>
      <c r="D62" s="2">
        <f t="shared" ref="D62:N62" si="55">+C62+D51</f>
        <v>7349.5420326561434</v>
      </c>
      <c r="E62" s="2">
        <f t="shared" si="55"/>
        <v>11268.86169011669</v>
      </c>
      <c r="F62" s="2">
        <f t="shared" si="55"/>
        <v>15188.181347577221</v>
      </c>
      <c r="G62" s="2">
        <f t="shared" si="55"/>
        <v>17691.606701976678</v>
      </c>
      <c r="H62" s="2">
        <f t="shared" si="55"/>
        <v>22243.26627644476</v>
      </c>
      <c r="I62" s="2">
        <f t="shared" si="55"/>
        <v>26244.925850912845</v>
      </c>
      <c r="J62" s="2">
        <f t="shared" si="55"/>
        <v>28727.649255168166</v>
      </c>
      <c r="K62" s="2">
        <f t="shared" si="55"/>
        <v>31736.115806334397</v>
      </c>
      <c r="L62" s="2">
        <f t="shared" si="55"/>
        <v>36080.881763781203</v>
      </c>
      <c r="M62" s="2">
        <f t="shared" si="55"/>
        <v>40425.647721228008</v>
      </c>
      <c r="N62" s="2">
        <f t="shared" si="55"/>
        <v>42358.371125483325</v>
      </c>
      <c r="O62" s="517"/>
    </row>
    <row r="63" spans="2:15" hidden="1" x14ac:dyDescent="0.15">
      <c r="B63" s="516"/>
      <c r="C63" s="2">
        <f>+C52</f>
        <v>3608.3732687165466</v>
      </c>
      <c r="D63" s="2">
        <f>+D52+C52</f>
        <v>7349.5420326561534</v>
      </c>
      <c r="E63" s="2">
        <f>+E52+D63</f>
        <v>11268.861690116701</v>
      </c>
      <c r="F63" s="2">
        <f t="shared" ref="F63:N63" si="56">+F52+E63</f>
        <v>15188.181347577232</v>
      </c>
      <c r="G63" s="2">
        <f t="shared" si="56"/>
        <v>17691.606701976689</v>
      </c>
      <c r="H63" s="2">
        <f t="shared" si="56"/>
        <v>22243.26627644477</v>
      </c>
      <c r="I63" s="2">
        <f t="shared" si="56"/>
        <v>26244.925850912856</v>
      </c>
      <c r="J63" s="2">
        <f t="shared" si="56"/>
        <v>28727.649255168173</v>
      </c>
      <c r="K63" s="2">
        <f t="shared" si="56"/>
        <v>31736.115806334405</v>
      </c>
      <c r="L63" s="2">
        <f t="shared" si="56"/>
        <v>36080.88176378121</v>
      </c>
      <c r="M63" s="2">
        <f t="shared" si="56"/>
        <v>40425.647721228015</v>
      </c>
      <c r="N63" s="2">
        <f t="shared" si="56"/>
        <v>42358.371125483332</v>
      </c>
      <c r="O63" s="517"/>
    </row>
    <row r="64" spans="2:15" hidden="1" x14ac:dyDescent="0.15">
      <c r="B64" s="51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517"/>
    </row>
    <row r="65" spans="2:15" ht="14" hidden="1" thickBot="1" x14ac:dyDescent="0.2">
      <c r="B65" s="520"/>
      <c r="C65" s="521">
        <f>+IF(C62&lt;C61,C61-C62,0)</f>
        <v>7.2759576141834259E-12</v>
      </c>
      <c r="D65" s="521">
        <f>+IF(D62&lt;D61,D61-D62,0)</f>
        <v>2.7284841053187847E-12</v>
      </c>
      <c r="E65" s="522"/>
      <c r="F65" s="522"/>
      <c r="G65" s="522"/>
      <c r="H65" s="522"/>
      <c r="I65" s="522"/>
      <c r="J65" s="522"/>
      <c r="K65" s="522"/>
      <c r="L65" s="522"/>
      <c r="M65" s="522"/>
      <c r="N65" s="522"/>
      <c r="O65" s="523"/>
    </row>
    <row r="69" spans="2:15" x14ac:dyDescent="0.15">
      <c r="O69" s="507">
        <f>+O28+O58</f>
        <v>5171.1218473747258</v>
      </c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48:N48 C58:N58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dimension ref="B2:Q56"/>
  <sheetViews>
    <sheetView topLeftCell="A27" zoomScale="140" zoomScaleNormal="140" workbookViewId="0">
      <selection activeCell="O44" sqref="O44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378" t="s">
        <v>719</v>
      </c>
    </row>
    <row r="3" spans="2:15" ht="14" thickBot="1" x14ac:dyDescent="0.2"/>
    <row r="4" spans="2:15" ht="16" x14ac:dyDescent="0.15">
      <c r="B4" s="269"/>
      <c r="C4" s="798" t="s">
        <v>99</v>
      </c>
      <c r="D4" s="756"/>
      <c r="E4" s="756"/>
      <c r="F4" s="756"/>
      <c r="G4" s="756"/>
      <c r="H4" s="756"/>
      <c r="I4" s="756"/>
      <c r="J4" s="756"/>
      <c r="K4" s="756"/>
      <c r="L4" s="756"/>
      <c r="M4" s="756"/>
      <c r="N4" s="756"/>
      <c r="O4" s="757"/>
    </row>
    <row r="5" spans="2:15" ht="16" x14ac:dyDescent="0.15">
      <c r="B5" s="160"/>
      <c r="C5" s="277" t="s">
        <v>114</v>
      </c>
      <c r="D5" s="277" t="s">
        <v>115</v>
      </c>
      <c r="E5" s="277" t="s">
        <v>116</v>
      </c>
      <c r="F5" s="277" t="s">
        <v>117</v>
      </c>
      <c r="G5" s="277" t="s">
        <v>118</v>
      </c>
      <c r="H5" s="277" t="s">
        <v>119</v>
      </c>
      <c r="I5" s="277" t="s">
        <v>120</v>
      </c>
      <c r="J5" s="277" t="s">
        <v>121</v>
      </c>
      <c r="K5" s="277" t="s">
        <v>122</v>
      </c>
      <c r="L5" s="277" t="s">
        <v>123</v>
      </c>
      <c r="M5" s="277" t="s">
        <v>124</v>
      </c>
      <c r="N5" s="277" t="s">
        <v>125</v>
      </c>
      <c r="O5" s="282" t="s">
        <v>82</v>
      </c>
    </row>
    <row r="6" spans="2:15" ht="16" x14ac:dyDescent="0.2">
      <c r="B6" s="216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8"/>
    </row>
    <row r="7" spans="2:15" ht="16" x14ac:dyDescent="0.2">
      <c r="B7" s="500" t="s">
        <v>705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8"/>
    </row>
    <row r="8" spans="2:15" ht="16" x14ac:dyDescent="0.2">
      <c r="B8" s="415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8"/>
    </row>
    <row r="9" spans="2:15" ht="16" x14ac:dyDescent="0.2">
      <c r="B9" s="415" t="s">
        <v>706</v>
      </c>
      <c r="C9" s="271">
        <f>'Tab 5'!C15</f>
        <v>53085.140425531914</v>
      </c>
      <c r="D9" s="271">
        <f>'Tab 5'!D15</f>
        <v>60115.491160451427</v>
      </c>
      <c r="E9" s="271">
        <f>'Tab 5'!E15</f>
        <v>67407.192253488931</v>
      </c>
      <c r="F9" s="271">
        <f>'Tab 5'!F15</f>
        <v>61932.663829787234</v>
      </c>
      <c r="G9" s="271">
        <f>'Tab 5'!G15</f>
        <v>61932.663829787234</v>
      </c>
      <c r="H9" s="271">
        <f>'Tab 5'!H15</f>
        <v>64881.838297872338</v>
      </c>
      <c r="I9" s="271">
        <f>'Tab 5'!I15</f>
        <v>57041.838297872338</v>
      </c>
      <c r="J9" s="271">
        <f>'Tab 5'!J15</f>
        <v>35390.093617021274</v>
      </c>
      <c r="K9" s="271">
        <f>'Tab 5'!K15</f>
        <v>61002.600772020145</v>
      </c>
      <c r="L9" s="271">
        <f>'Tab 5'!L15</f>
        <v>53809.840677835746</v>
      </c>
      <c r="M9" s="271">
        <f>'Tab 5'!M15</f>
        <v>61932.663829787234</v>
      </c>
      <c r="N9" s="271">
        <f>'Tab 5'!N15</f>
        <v>27550.093617021277</v>
      </c>
      <c r="O9" s="501">
        <f>SUM(C9:N9)</f>
        <v>666082.12060847704</v>
      </c>
    </row>
    <row r="10" spans="2:15" ht="16" x14ac:dyDescent="0.2">
      <c r="B10" s="415" t="s">
        <v>720</v>
      </c>
      <c r="C10" s="271">
        <f>'All. 8'!$D$10/60*C9</f>
        <v>1150.1780425531915</v>
      </c>
      <c r="D10" s="271">
        <f>'All. 8'!$D$10/60*D9</f>
        <v>1302.5023084764475</v>
      </c>
      <c r="E10" s="271">
        <f>'All. 8'!$D$10/60*E9</f>
        <v>1460.4891654922603</v>
      </c>
      <c r="F10" s="271">
        <f>'All. 8'!$D$10/60*F9</f>
        <v>1341.8743829787234</v>
      </c>
      <c r="G10" s="271">
        <f>'All. 8'!$D$10/60*G9</f>
        <v>1341.8743829787234</v>
      </c>
      <c r="H10" s="271">
        <f>'All. 8'!$D$10/60*H9</f>
        <v>1405.7731631205675</v>
      </c>
      <c r="I10" s="271">
        <f>'All. 8'!$D$10/60*I9</f>
        <v>1235.9064964539007</v>
      </c>
      <c r="J10" s="271">
        <f>'All. 8'!$D$10/60*J9</f>
        <v>766.7853617021276</v>
      </c>
      <c r="K10" s="271">
        <f>'All. 8'!$D$10/60*K9</f>
        <v>1321.7230167271032</v>
      </c>
      <c r="L10" s="271">
        <f>'All. 8'!$D$10/60*L9</f>
        <v>1165.879881353108</v>
      </c>
      <c r="M10" s="271">
        <f>'All. 8'!$D$10/60*M9</f>
        <v>1341.8743829787234</v>
      </c>
      <c r="N10" s="271">
        <f>'All. 8'!$D$10/60*N9</f>
        <v>596.91869503546104</v>
      </c>
      <c r="O10" s="501">
        <f>SUM(C10:N10)</f>
        <v>14431.77927985034</v>
      </c>
    </row>
    <row r="11" spans="2:15" ht="16" x14ac:dyDescent="0.2">
      <c r="B11" s="415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8"/>
    </row>
    <row r="12" spans="2:15" ht="16" x14ac:dyDescent="0.2">
      <c r="B12" s="415" t="s">
        <v>721</v>
      </c>
      <c r="C12" s="524">
        <f>'Tab. 11'!C8</f>
        <v>18</v>
      </c>
      <c r="D12" s="502">
        <f>'Tab. 11'!D8</f>
        <v>20</v>
      </c>
      <c r="E12" s="502">
        <f>'Tab. 11'!E8</f>
        <v>23</v>
      </c>
      <c r="F12" s="502">
        <f>'Tab. 11'!F8</f>
        <v>21</v>
      </c>
      <c r="G12" s="502">
        <f>'Tab. 11'!G8</f>
        <v>21</v>
      </c>
      <c r="H12" s="502">
        <f>'Tab. 11'!H8</f>
        <v>22</v>
      </c>
      <c r="I12" s="502">
        <f>'Tab. 11'!I8</f>
        <v>22</v>
      </c>
      <c r="J12" s="502">
        <f>'Tab. 11'!J8</f>
        <v>12</v>
      </c>
      <c r="K12" s="502">
        <f>'Tab. 11'!K8</f>
        <v>22</v>
      </c>
      <c r="L12" s="502">
        <f>'Tab. 11'!L8</f>
        <v>21</v>
      </c>
      <c r="M12" s="502">
        <f>'Tab. 11'!M8</f>
        <v>21</v>
      </c>
      <c r="N12" s="502">
        <f>'Tab. 11'!N8</f>
        <v>12</v>
      </c>
      <c r="O12" s="503">
        <f>SUM(C12:N12)</f>
        <v>235</v>
      </c>
    </row>
    <row r="13" spans="2:15" ht="16" x14ac:dyDescent="0.2">
      <c r="B13" s="415" t="s">
        <v>722</v>
      </c>
      <c r="C13" s="524">
        <f>-'All. 9'!$C$9/12</f>
        <v>-1</v>
      </c>
      <c r="D13" s="524">
        <f>-'All. 9'!$C$9/12</f>
        <v>-1</v>
      </c>
      <c r="E13" s="524">
        <f>-'All. 9'!$C$9/12</f>
        <v>-1</v>
      </c>
      <c r="F13" s="524">
        <f>-'All. 9'!$C$9/12</f>
        <v>-1</v>
      </c>
      <c r="G13" s="524">
        <f>-'All. 9'!$C$9/12</f>
        <v>-1</v>
      </c>
      <c r="H13" s="524">
        <f>-'All. 9'!$C$9/12</f>
        <v>-1</v>
      </c>
      <c r="I13" s="524">
        <f>-'All. 9'!$C$9/12</f>
        <v>-1</v>
      </c>
      <c r="J13" s="524">
        <f>-'All. 9'!$C$9/12</f>
        <v>-1</v>
      </c>
      <c r="K13" s="524">
        <f>-'All. 9'!$C$9/12</f>
        <v>-1</v>
      </c>
      <c r="L13" s="524">
        <f>-'All. 9'!$C$9/12</f>
        <v>-1</v>
      </c>
      <c r="M13" s="524">
        <f>-'All. 9'!$C$9/12</f>
        <v>-1</v>
      </c>
      <c r="N13" s="524">
        <f>-'All. 9'!$C$9/12</f>
        <v>-1</v>
      </c>
      <c r="O13" s="508">
        <f>SUM(C13:N13)</f>
        <v>-12</v>
      </c>
    </row>
    <row r="14" spans="2:15" ht="16" x14ac:dyDescent="0.2">
      <c r="B14" s="415" t="s">
        <v>5</v>
      </c>
      <c r="C14" s="502"/>
      <c r="D14" s="502"/>
      <c r="E14" s="502"/>
      <c r="F14" s="502"/>
      <c r="G14" s="502"/>
      <c r="H14" s="502"/>
      <c r="I14" s="504">
        <f>'All. 11'!$C$8/2</f>
        <v>-2.5</v>
      </c>
      <c r="J14" s="502"/>
      <c r="K14" s="502"/>
      <c r="L14" s="502"/>
      <c r="M14" s="502"/>
      <c r="N14" s="504">
        <f>'All. 11'!$C$8/2</f>
        <v>-2.5</v>
      </c>
      <c r="O14" s="503">
        <f>SUM(C14:N14)</f>
        <v>-5</v>
      </c>
    </row>
    <row r="15" spans="2:15" ht="16" x14ac:dyDescent="0.2">
      <c r="B15" s="415" t="s">
        <v>723</v>
      </c>
      <c r="C15" s="524">
        <f>'All. 9'!$C$7</f>
        <v>3</v>
      </c>
      <c r="D15" s="524">
        <f>'All. 9'!$C$7</f>
        <v>3</v>
      </c>
      <c r="E15" s="524">
        <f>'All. 9'!$C$7</f>
        <v>3</v>
      </c>
      <c r="F15" s="524">
        <f>'All. 9'!$C$7</f>
        <v>3</v>
      </c>
      <c r="G15" s="524">
        <f>'All. 9'!$C$7</f>
        <v>3</v>
      </c>
      <c r="H15" s="524">
        <f>'All. 9'!$C$7</f>
        <v>3</v>
      </c>
      <c r="I15" s="524">
        <f>'All. 9'!$C$7</f>
        <v>3</v>
      </c>
      <c r="J15" s="524">
        <f>'All. 9'!$C$7</f>
        <v>3</v>
      </c>
      <c r="K15" s="524">
        <f>'All. 9'!$C$7</f>
        <v>3</v>
      </c>
      <c r="L15" s="524">
        <f>'All. 9'!$C$7</f>
        <v>3</v>
      </c>
      <c r="M15" s="524">
        <f>'All. 9'!$C$7</f>
        <v>3</v>
      </c>
      <c r="N15" s="524">
        <f>'All. 9'!$C$7</f>
        <v>3</v>
      </c>
      <c r="O15" s="505"/>
    </row>
    <row r="16" spans="2:15" ht="16" x14ac:dyDescent="0.2">
      <c r="B16" s="415" t="s">
        <v>8</v>
      </c>
      <c r="C16" s="524">
        <f>'All. 9'!$C$10</f>
        <v>3</v>
      </c>
      <c r="D16" s="524">
        <f>'All. 9'!$C$10</f>
        <v>3</v>
      </c>
      <c r="E16" s="524">
        <f>'All. 9'!$C$10</f>
        <v>3</v>
      </c>
      <c r="F16" s="524">
        <f>'All. 9'!$C$10</f>
        <v>3</v>
      </c>
      <c r="G16" s="524">
        <f>'All. 9'!$C$10</f>
        <v>3</v>
      </c>
      <c r="H16" s="524">
        <f>'All. 9'!$C$10</f>
        <v>3</v>
      </c>
      <c r="I16" s="524">
        <f>'All. 9'!$C$10</f>
        <v>3</v>
      </c>
      <c r="J16" s="524">
        <f>'All. 9'!$C$10</f>
        <v>3</v>
      </c>
      <c r="K16" s="524">
        <f>'All. 9'!$C$10</f>
        <v>3</v>
      </c>
      <c r="L16" s="524">
        <f>'All. 9'!$C$10</f>
        <v>3</v>
      </c>
      <c r="M16" s="524">
        <f>'All. 9'!$C$10</f>
        <v>3</v>
      </c>
      <c r="N16" s="524">
        <f>'All. 9'!$C$10</f>
        <v>3</v>
      </c>
      <c r="O16" s="505"/>
    </row>
    <row r="17" spans="2:17" ht="16" x14ac:dyDescent="0.2">
      <c r="B17" s="415" t="s">
        <v>724</v>
      </c>
      <c r="C17" s="524">
        <f>'All. 9'!$C$11</f>
        <v>8</v>
      </c>
      <c r="D17" s="524">
        <f>'All. 9'!$C$11</f>
        <v>8</v>
      </c>
      <c r="E17" s="524">
        <f>'All. 9'!$C$11</f>
        <v>8</v>
      </c>
      <c r="F17" s="524">
        <f>'All. 9'!$C$11</f>
        <v>8</v>
      </c>
      <c r="G17" s="524">
        <f>'All. 9'!$C$11</f>
        <v>8</v>
      </c>
      <c r="H17" s="524">
        <f>'All. 9'!$C$11</f>
        <v>8</v>
      </c>
      <c r="I17" s="524">
        <f>'All. 9'!$C$11</f>
        <v>8</v>
      </c>
      <c r="J17" s="524">
        <f>'All. 9'!$C$11</f>
        <v>8</v>
      </c>
      <c r="K17" s="524">
        <f>'All. 9'!$C$11</f>
        <v>8</v>
      </c>
      <c r="L17" s="524">
        <f>'All. 9'!$C$11</f>
        <v>8</v>
      </c>
      <c r="M17" s="524">
        <f>'All. 9'!$C$11</f>
        <v>8</v>
      </c>
      <c r="N17" s="524">
        <f>'All. 9'!$C$11</f>
        <v>8</v>
      </c>
      <c r="O17" s="505"/>
    </row>
    <row r="18" spans="2:17" ht="17" thickBot="1" x14ac:dyDescent="0.25">
      <c r="B18" s="415" t="s">
        <v>709</v>
      </c>
      <c r="C18" s="271">
        <f>(C12+C13+C14)*C15*C16*C17</f>
        <v>1224</v>
      </c>
      <c r="D18" s="271">
        <f t="shared" ref="D18:N18" si="0">(D12+D13+D14)*D15*D16*D17</f>
        <v>1368</v>
      </c>
      <c r="E18" s="271">
        <f t="shared" si="0"/>
        <v>1584</v>
      </c>
      <c r="F18" s="271">
        <f t="shared" si="0"/>
        <v>1440</v>
      </c>
      <c r="G18" s="271">
        <f t="shared" si="0"/>
        <v>1440</v>
      </c>
      <c r="H18" s="271">
        <f t="shared" si="0"/>
        <v>1512</v>
      </c>
      <c r="I18" s="271">
        <f t="shared" si="0"/>
        <v>1332</v>
      </c>
      <c r="J18" s="271">
        <f t="shared" si="0"/>
        <v>792</v>
      </c>
      <c r="K18" s="271">
        <f t="shared" si="0"/>
        <v>1512</v>
      </c>
      <c r="L18" s="271">
        <f t="shared" si="0"/>
        <v>1440</v>
      </c>
      <c r="M18" s="271">
        <f t="shared" si="0"/>
        <v>1440</v>
      </c>
      <c r="N18" s="271">
        <f t="shared" si="0"/>
        <v>612</v>
      </c>
      <c r="O18" s="501">
        <f>SUM(C18:N18)</f>
        <v>15696</v>
      </c>
    </row>
    <row r="19" spans="2:17" ht="17" thickBot="1" x14ac:dyDescent="0.25">
      <c r="B19" s="416" t="s">
        <v>710</v>
      </c>
      <c r="C19" s="276">
        <f>C18-C10</f>
        <v>73.821957446808483</v>
      </c>
      <c r="D19" s="276">
        <f t="shared" ref="D19:O19" si="1">D18-D10</f>
        <v>65.497691523552476</v>
      </c>
      <c r="E19" s="276">
        <f t="shared" si="1"/>
        <v>123.51083450773967</v>
      </c>
      <c r="F19" s="276">
        <f t="shared" si="1"/>
        <v>98.125617021276639</v>
      </c>
      <c r="G19" s="276">
        <f t="shared" si="1"/>
        <v>98.125617021276639</v>
      </c>
      <c r="H19" s="276">
        <f t="shared" si="1"/>
        <v>106.22683687943254</v>
      </c>
      <c r="I19" s="276">
        <f t="shared" si="1"/>
        <v>96.093503546099328</v>
      </c>
      <c r="J19" s="276">
        <f t="shared" si="1"/>
        <v>25.214638297872398</v>
      </c>
      <c r="K19" s="276">
        <f t="shared" si="1"/>
        <v>190.27698327289681</v>
      </c>
      <c r="L19" s="276">
        <f t="shared" si="1"/>
        <v>274.12011864689202</v>
      </c>
      <c r="M19" s="276">
        <f t="shared" si="1"/>
        <v>98.125617021276639</v>
      </c>
      <c r="N19" s="276">
        <f t="shared" si="1"/>
        <v>15.081304964538958</v>
      </c>
      <c r="O19" s="286">
        <f t="shared" si="1"/>
        <v>1264.2207201496603</v>
      </c>
    </row>
    <row r="20" spans="2:17" ht="16" x14ac:dyDescent="0.2">
      <c r="B20" s="415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8"/>
    </row>
    <row r="21" spans="2:17" ht="16" x14ac:dyDescent="0.2">
      <c r="B21" s="510" t="s">
        <v>711</v>
      </c>
      <c r="C21" s="511">
        <f>'Tab. 12'!C22</f>
        <v>53085.140425531914</v>
      </c>
      <c r="D21" s="511">
        <f>'Tab. 12'!D22</f>
        <v>60115.491160451427</v>
      </c>
      <c r="E21" s="511">
        <f>'Tab. 12'!E22</f>
        <v>67407.192253488931</v>
      </c>
      <c r="F21" s="511">
        <f>'Tab. 12'!F22</f>
        <v>61932.663829787234</v>
      </c>
      <c r="G21" s="511">
        <f>'Tab. 12'!G22</f>
        <v>61932.663829787234</v>
      </c>
      <c r="H21" s="511">
        <f>'Tab. 12'!H22</f>
        <v>64881.83829787228</v>
      </c>
      <c r="I21" s="511">
        <f>'Tab. 12'!I22</f>
        <v>57041.838297872338</v>
      </c>
      <c r="J21" s="511">
        <f>'Tab. 12'!J22</f>
        <v>35390.093617021274</v>
      </c>
      <c r="K21" s="511">
        <f>'Tab. 12'!K22</f>
        <v>61002.600772020145</v>
      </c>
      <c r="L21" s="511">
        <f>'Tab. 12'!L22</f>
        <v>53809.840677835746</v>
      </c>
      <c r="M21" s="511">
        <f>'Tab. 12'!M22</f>
        <v>61932.663829787227</v>
      </c>
      <c r="N21" s="511">
        <f>'Tab. 12'!N22</f>
        <v>27550.093617021277</v>
      </c>
      <c r="O21" s="512">
        <f>SUM(C21:N21)</f>
        <v>666082.12060847704</v>
      </c>
      <c r="Q21" s="507"/>
    </row>
    <row r="22" spans="2:17" ht="16" x14ac:dyDescent="0.2">
      <c r="B22" s="415" t="s">
        <v>725</v>
      </c>
      <c r="C22" s="271">
        <f>'All. 8'!$D$10/60*C21</f>
        <v>1150.1780425531915</v>
      </c>
      <c r="D22" s="271">
        <f>'All. 8'!$D$10/60*D21</f>
        <v>1302.5023084764475</v>
      </c>
      <c r="E22" s="271">
        <f>'All. 8'!$D$10/60*E21</f>
        <v>1460.4891654922603</v>
      </c>
      <c r="F22" s="271">
        <f>'All. 8'!$D$10/60*F21</f>
        <v>1341.8743829787234</v>
      </c>
      <c r="G22" s="271">
        <f>'All. 8'!$D$10/60*G21</f>
        <v>1341.8743829787234</v>
      </c>
      <c r="H22" s="271">
        <f>'All. 8'!$D$10/60*H21</f>
        <v>1405.7731631205661</v>
      </c>
      <c r="I22" s="271">
        <f>'All. 8'!$D$10/60*I21</f>
        <v>1235.9064964539007</v>
      </c>
      <c r="J22" s="271">
        <f>'All. 8'!$D$10/60*J21</f>
        <v>766.7853617021276</v>
      </c>
      <c r="K22" s="271">
        <f>'All. 8'!$D$10/60*K21</f>
        <v>1321.7230167271032</v>
      </c>
      <c r="L22" s="271">
        <f>'All. 8'!$D$10/60*L21</f>
        <v>1165.879881353108</v>
      </c>
      <c r="M22" s="271">
        <f>'All. 8'!$D$10/60*M21</f>
        <v>1341.8743829787234</v>
      </c>
      <c r="N22" s="271">
        <f>'All. 8'!$D$10/60*N21</f>
        <v>596.91869503546104</v>
      </c>
      <c r="O22" s="501">
        <f>SUM(C22:N22)</f>
        <v>14431.779279850338</v>
      </c>
    </row>
    <row r="23" spans="2:17" ht="16" x14ac:dyDescent="0.2">
      <c r="B23" s="415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8"/>
    </row>
    <row r="24" spans="2:17" ht="16" x14ac:dyDescent="0.2">
      <c r="B24" s="415" t="s">
        <v>712</v>
      </c>
      <c r="C24" s="506">
        <f t="shared" ref="C24:N24" si="2">C18</f>
        <v>1224</v>
      </c>
      <c r="D24" s="506">
        <f t="shared" si="2"/>
        <v>1368</v>
      </c>
      <c r="E24" s="506">
        <f t="shared" si="2"/>
        <v>1584</v>
      </c>
      <c r="F24" s="506">
        <f t="shared" si="2"/>
        <v>1440</v>
      </c>
      <c r="G24" s="506">
        <f t="shared" si="2"/>
        <v>1440</v>
      </c>
      <c r="H24" s="506">
        <f t="shared" si="2"/>
        <v>1512</v>
      </c>
      <c r="I24" s="506">
        <f t="shared" si="2"/>
        <v>1332</v>
      </c>
      <c r="J24" s="506">
        <f t="shared" si="2"/>
        <v>792</v>
      </c>
      <c r="K24" s="506">
        <f t="shared" si="2"/>
        <v>1512</v>
      </c>
      <c r="L24" s="506">
        <f t="shared" si="2"/>
        <v>1440</v>
      </c>
      <c r="M24" s="506">
        <f t="shared" si="2"/>
        <v>1440</v>
      </c>
      <c r="N24" s="506">
        <f t="shared" si="2"/>
        <v>612</v>
      </c>
      <c r="O24" s="503">
        <f>SUM(C24:N24)</f>
        <v>15696</v>
      </c>
    </row>
    <row r="25" spans="2:17" ht="16" x14ac:dyDescent="0.2">
      <c r="B25" s="415" t="s">
        <v>713</v>
      </c>
      <c r="C25" s="506"/>
      <c r="D25" s="509"/>
      <c r="E25" s="502"/>
      <c r="F25" s="502"/>
      <c r="G25" s="502"/>
      <c r="H25" s="502"/>
      <c r="I25" s="502"/>
      <c r="J25" s="502"/>
      <c r="K25" s="502"/>
      <c r="L25" s="502"/>
      <c r="M25" s="502"/>
      <c r="N25" s="502"/>
      <c r="O25" s="503">
        <f>SUM(C25:N25)</f>
        <v>0</v>
      </c>
    </row>
    <row r="26" spans="2:17" ht="17" thickBot="1" x14ac:dyDescent="0.25">
      <c r="B26" s="415" t="s">
        <v>714</v>
      </c>
      <c r="C26" s="506">
        <f>C24+C25</f>
        <v>1224</v>
      </c>
      <c r="D26" s="506">
        <f t="shared" ref="D26:N26" si="3">D24+D25</f>
        <v>1368</v>
      </c>
      <c r="E26" s="506">
        <f t="shared" si="3"/>
        <v>1584</v>
      </c>
      <c r="F26" s="506">
        <f t="shared" si="3"/>
        <v>1440</v>
      </c>
      <c r="G26" s="506">
        <f t="shared" si="3"/>
        <v>1440</v>
      </c>
      <c r="H26" s="506">
        <f t="shared" si="3"/>
        <v>1512</v>
      </c>
      <c r="I26" s="506">
        <f t="shared" si="3"/>
        <v>1332</v>
      </c>
      <c r="J26" s="506">
        <f t="shared" si="3"/>
        <v>792</v>
      </c>
      <c r="K26" s="506">
        <f t="shared" si="3"/>
        <v>1512</v>
      </c>
      <c r="L26" s="506">
        <f t="shared" si="3"/>
        <v>1440</v>
      </c>
      <c r="M26" s="506">
        <f t="shared" si="3"/>
        <v>1440</v>
      </c>
      <c r="N26" s="506">
        <f t="shared" si="3"/>
        <v>612</v>
      </c>
      <c r="O26" s="503">
        <f>SUM(C26:N26)</f>
        <v>15696</v>
      </c>
    </row>
    <row r="27" spans="2:17" ht="17" thickBot="1" x14ac:dyDescent="0.25">
      <c r="B27" s="416" t="s">
        <v>710</v>
      </c>
      <c r="C27" s="276">
        <f>C26-C22</f>
        <v>73.821957446808483</v>
      </c>
      <c r="D27" s="276">
        <f t="shared" ref="D27:N27" si="4">D26-D22</f>
        <v>65.497691523552476</v>
      </c>
      <c r="E27" s="276">
        <f t="shared" si="4"/>
        <v>123.51083450773967</v>
      </c>
      <c r="F27" s="276">
        <f t="shared" si="4"/>
        <v>98.125617021276639</v>
      </c>
      <c r="G27" s="276">
        <f t="shared" si="4"/>
        <v>98.125617021276639</v>
      </c>
      <c r="H27" s="276">
        <f t="shared" si="4"/>
        <v>106.2268368794339</v>
      </c>
      <c r="I27" s="276">
        <f t="shared" si="4"/>
        <v>96.093503546099328</v>
      </c>
      <c r="J27" s="276">
        <f t="shared" si="4"/>
        <v>25.214638297872398</v>
      </c>
      <c r="K27" s="276">
        <f t="shared" si="4"/>
        <v>190.27698327289681</v>
      </c>
      <c r="L27" s="276">
        <f t="shared" si="4"/>
        <v>274.12011864689202</v>
      </c>
      <c r="M27" s="276">
        <f t="shared" si="4"/>
        <v>98.125617021276639</v>
      </c>
      <c r="N27" s="276">
        <f t="shared" si="4"/>
        <v>15.081304964538958</v>
      </c>
      <c r="O27" s="286">
        <f>SUM(C27:N27)</f>
        <v>1264.220720149664</v>
      </c>
    </row>
    <row r="28" spans="2:17" ht="16" x14ac:dyDescent="0.2">
      <c r="B28" s="216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8"/>
    </row>
    <row r="29" spans="2:17" ht="16" x14ac:dyDescent="0.2">
      <c r="B29" s="500" t="s">
        <v>93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8"/>
    </row>
    <row r="30" spans="2:17" ht="16" x14ac:dyDescent="0.2">
      <c r="B30" s="415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8"/>
    </row>
    <row r="31" spans="2:17" ht="16" x14ac:dyDescent="0.2">
      <c r="B31" s="415" t="s">
        <v>706</v>
      </c>
      <c r="C31" s="271">
        <f>'Tab 5'!C28</f>
        <v>3608.3732687165466</v>
      </c>
      <c r="D31" s="271">
        <f>'Tab 5'!D28</f>
        <v>3741.1687639395996</v>
      </c>
      <c r="E31" s="271">
        <f>'Tab 5'!E28</f>
        <v>3919.3196574605463</v>
      </c>
      <c r="F31" s="271">
        <f>'Tab 5'!F28</f>
        <v>3919.3196574605354</v>
      </c>
      <c r="G31" s="271">
        <f>'Tab 5'!G28</f>
        <v>2503.4253543994528</v>
      </c>
      <c r="H31" s="271">
        <f>'Tab 5'!H28</f>
        <v>4551.6595744680844</v>
      </c>
      <c r="I31" s="271">
        <f>'Tab 5'!I28</f>
        <v>4001.6595744680844</v>
      </c>
      <c r="J31" s="271">
        <f>'Tab 5'!J28</f>
        <v>2482.7234042553191</v>
      </c>
      <c r="K31" s="271">
        <f>'Tab 5'!K28</f>
        <v>3008.4665511662315</v>
      </c>
      <c r="L31" s="271">
        <f>'Tab 5'!L28</f>
        <v>4344.765957446808</v>
      </c>
      <c r="M31" s="271">
        <f>'Tab 5'!M28</f>
        <v>4344.765957446808</v>
      </c>
      <c r="N31" s="271">
        <f>'Tab 5'!N28</f>
        <v>1932.7234042553191</v>
      </c>
      <c r="O31" s="501">
        <f>SUM(C31:N31)</f>
        <v>42358.371125483332</v>
      </c>
    </row>
    <row r="32" spans="2:17" ht="16" x14ac:dyDescent="0.2">
      <c r="B32" s="415" t="s">
        <v>720</v>
      </c>
      <c r="C32" s="271">
        <f>'All. 8'!$D$17/60*C31</f>
        <v>132.30701985294004</v>
      </c>
      <c r="D32" s="271">
        <f>'All. 8'!$D$17/60*D31</f>
        <v>137.17618801111865</v>
      </c>
      <c r="E32" s="271">
        <f>'All. 8'!$D$17/60*E31</f>
        <v>143.70838744022004</v>
      </c>
      <c r="F32" s="271">
        <f>'All. 8'!$D$17/60*F31</f>
        <v>143.70838744021964</v>
      </c>
      <c r="G32" s="271">
        <f>'All. 8'!$D$17/60*G31</f>
        <v>91.792262994646606</v>
      </c>
      <c r="H32" s="271">
        <f>'All. 8'!$D$17/60*H31</f>
        <v>166.89418439716309</v>
      </c>
      <c r="I32" s="271">
        <f>'All. 8'!$D$17/60*I31</f>
        <v>146.72751773049643</v>
      </c>
      <c r="J32" s="271">
        <f>'All. 8'!$D$17/60*J31</f>
        <v>91.033191489361698</v>
      </c>
      <c r="K32" s="271">
        <f>'All. 8'!$D$17/60*K31</f>
        <v>110.31044020942849</v>
      </c>
      <c r="L32" s="271">
        <f>'All. 8'!$D$17/60*L31</f>
        <v>159.30808510638295</v>
      </c>
      <c r="M32" s="271">
        <f>'All. 8'!$D$17/60*M31</f>
        <v>159.30808510638295</v>
      </c>
      <c r="N32" s="271">
        <f>'All. 8'!$D$17/60*N31</f>
        <v>70.866524822695041</v>
      </c>
      <c r="O32" s="501">
        <f>SUM(C32:N32)</f>
        <v>1553.1402746010558</v>
      </c>
    </row>
    <row r="33" spans="2:15" ht="16" x14ac:dyDescent="0.2">
      <c r="B33" s="415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8"/>
    </row>
    <row r="34" spans="2:15" ht="16" x14ac:dyDescent="0.2">
      <c r="B34" s="415" t="s">
        <v>721</v>
      </c>
      <c r="C34" s="502">
        <f>'Tab. 11'!C8</f>
        <v>18</v>
      </c>
      <c r="D34" s="502">
        <f>'Tab. 11'!D8</f>
        <v>20</v>
      </c>
      <c r="E34" s="502">
        <f>'Tab. 11'!E8</f>
        <v>23</v>
      </c>
      <c r="F34" s="502">
        <f>'Tab. 11'!F8</f>
        <v>21</v>
      </c>
      <c r="G34" s="502">
        <f>'Tab. 11'!G8</f>
        <v>21</v>
      </c>
      <c r="H34" s="502">
        <f>'Tab. 11'!H8</f>
        <v>22</v>
      </c>
      <c r="I34" s="502">
        <f>'Tab. 11'!I8</f>
        <v>22</v>
      </c>
      <c r="J34" s="502">
        <f>'Tab. 11'!J8</f>
        <v>12</v>
      </c>
      <c r="K34" s="502">
        <f>'Tab. 11'!K8</f>
        <v>22</v>
      </c>
      <c r="L34" s="502">
        <f>'Tab. 11'!L8</f>
        <v>21</v>
      </c>
      <c r="M34" s="502">
        <f>'Tab. 11'!M8</f>
        <v>21</v>
      </c>
      <c r="N34" s="502">
        <f>'Tab. 11'!N8</f>
        <v>12</v>
      </c>
      <c r="O34" s="503">
        <f>SUM(C34:N34)</f>
        <v>235</v>
      </c>
    </row>
    <row r="35" spans="2:15" ht="16" x14ac:dyDescent="0.2">
      <c r="B35" s="415" t="s">
        <v>722</v>
      </c>
      <c r="C35" s="524">
        <f>-'All. 9'!$D$9/12</f>
        <v>-1</v>
      </c>
      <c r="D35" s="524">
        <f>-'All. 9'!$D$9/12</f>
        <v>-1</v>
      </c>
      <c r="E35" s="524">
        <f>-'All. 9'!$D$9/12</f>
        <v>-1</v>
      </c>
      <c r="F35" s="524">
        <f>-'All. 9'!$D$9/12</f>
        <v>-1</v>
      </c>
      <c r="G35" s="524">
        <f>-'All. 9'!$D$9/12</f>
        <v>-1</v>
      </c>
      <c r="H35" s="524">
        <f>-'All. 9'!$D$9/12</f>
        <v>-1</v>
      </c>
      <c r="I35" s="524">
        <f>-'All. 9'!$D$9/12</f>
        <v>-1</v>
      </c>
      <c r="J35" s="524">
        <f>-'All. 9'!$D$9/12</f>
        <v>-1</v>
      </c>
      <c r="K35" s="524">
        <f>-'All. 9'!$D$9/12</f>
        <v>-1</v>
      </c>
      <c r="L35" s="524">
        <f>-'All. 9'!$D$9/12</f>
        <v>-1</v>
      </c>
      <c r="M35" s="524">
        <f>-'All. 9'!$D$9/12</f>
        <v>-1</v>
      </c>
      <c r="N35" s="524">
        <f>-'All. 9'!$D$9/12</f>
        <v>-1</v>
      </c>
      <c r="O35" s="508">
        <f>SUM(C35:N35)</f>
        <v>-12</v>
      </c>
    </row>
    <row r="36" spans="2:15" ht="16" x14ac:dyDescent="0.2">
      <c r="B36" s="415" t="s">
        <v>5</v>
      </c>
      <c r="C36" s="502"/>
      <c r="D36" s="502"/>
      <c r="E36" s="502"/>
      <c r="F36" s="502"/>
      <c r="G36" s="502"/>
      <c r="H36" s="502"/>
      <c r="I36" s="504">
        <f>'All. 11'!$D$8/2</f>
        <v>-2.5</v>
      </c>
      <c r="J36" s="502"/>
      <c r="K36" s="502"/>
      <c r="L36" s="502"/>
      <c r="M36" s="502"/>
      <c r="N36" s="504">
        <f>'All. 11'!$D$8/2</f>
        <v>-2.5</v>
      </c>
      <c r="O36" s="503">
        <f>SUM(C36:N36)</f>
        <v>-5</v>
      </c>
    </row>
    <row r="37" spans="2:15" ht="16" x14ac:dyDescent="0.2">
      <c r="B37" s="415" t="s">
        <v>723</v>
      </c>
      <c r="C37" s="524">
        <f>'All. 9'!$D$7</f>
        <v>1</v>
      </c>
      <c r="D37" s="524">
        <f>'All. 9'!$D$7</f>
        <v>1</v>
      </c>
      <c r="E37" s="524">
        <f>'All. 9'!$D$7</f>
        <v>1</v>
      </c>
      <c r="F37" s="524">
        <f>'All. 9'!$D$7</f>
        <v>1</v>
      </c>
      <c r="G37" s="524">
        <f>'All. 9'!$D$7</f>
        <v>1</v>
      </c>
      <c r="H37" s="524">
        <f>'All. 9'!$D$7</f>
        <v>1</v>
      </c>
      <c r="I37" s="524">
        <f>'All. 9'!$D$7</f>
        <v>1</v>
      </c>
      <c r="J37" s="524">
        <f>'All. 9'!$D$7</f>
        <v>1</v>
      </c>
      <c r="K37" s="524">
        <f>'All. 9'!$D$7</f>
        <v>1</v>
      </c>
      <c r="L37" s="524">
        <f>'All. 9'!$D$7</f>
        <v>1</v>
      </c>
      <c r="M37" s="524">
        <f>'All. 9'!$D$7</f>
        <v>1</v>
      </c>
      <c r="N37" s="524">
        <f>'All. 9'!$D$7</f>
        <v>1</v>
      </c>
      <c r="O37" s="505"/>
    </row>
    <row r="38" spans="2:15" ht="16" x14ac:dyDescent="0.2">
      <c r="B38" s="415" t="s">
        <v>8</v>
      </c>
      <c r="C38" s="524">
        <f>'All. 9'!$D$10</f>
        <v>2</v>
      </c>
      <c r="D38" s="524">
        <f>'All. 9'!$D$10</f>
        <v>2</v>
      </c>
      <c r="E38" s="524">
        <f>'All. 9'!$D$10</f>
        <v>2</v>
      </c>
      <c r="F38" s="524">
        <f>'All. 9'!$D$10</f>
        <v>2</v>
      </c>
      <c r="G38" s="524">
        <f>'All. 9'!$D$10</f>
        <v>2</v>
      </c>
      <c r="H38" s="524">
        <f>'All. 9'!$D$10</f>
        <v>2</v>
      </c>
      <c r="I38" s="524">
        <f>'All. 9'!$D$10</f>
        <v>2</v>
      </c>
      <c r="J38" s="524">
        <f>'All. 9'!$D$10</f>
        <v>2</v>
      </c>
      <c r="K38" s="524">
        <f>'All. 9'!$D$10</f>
        <v>2</v>
      </c>
      <c r="L38" s="524">
        <f>'All. 9'!$D$10</f>
        <v>2</v>
      </c>
      <c r="M38" s="524">
        <f>'All. 9'!$D$10</f>
        <v>2</v>
      </c>
      <c r="N38" s="524">
        <f>'All. 9'!$D$10</f>
        <v>2</v>
      </c>
      <c r="O38" s="505"/>
    </row>
    <row r="39" spans="2:15" ht="16" x14ac:dyDescent="0.2">
      <c r="B39" s="415" t="s">
        <v>724</v>
      </c>
      <c r="C39" s="524">
        <f>'All. 9'!$D$11</f>
        <v>8</v>
      </c>
      <c r="D39" s="524">
        <f>'All. 9'!$D$11</f>
        <v>8</v>
      </c>
      <c r="E39" s="524">
        <f>'All. 9'!$D$11</f>
        <v>8</v>
      </c>
      <c r="F39" s="524">
        <f>'All. 9'!$D$11</f>
        <v>8</v>
      </c>
      <c r="G39" s="524">
        <f>'All. 9'!$D$11</f>
        <v>8</v>
      </c>
      <c r="H39" s="524">
        <f>'All. 9'!$D$11</f>
        <v>8</v>
      </c>
      <c r="I39" s="524">
        <f>'All. 9'!$D$11</f>
        <v>8</v>
      </c>
      <c r="J39" s="524">
        <f>'All. 9'!$D$11</f>
        <v>8</v>
      </c>
      <c r="K39" s="524">
        <f>'All. 9'!$D$11</f>
        <v>8</v>
      </c>
      <c r="L39" s="524">
        <f>'All. 9'!$D$11</f>
        <v>8</v>
      </c>
      <c r="M39" s="524">
        <f>'All. 9'!$D$11</f>
        <v>8</v>
      </c>
      <c r="N39" s="524">
        <f>'All. 9'!$D$11</f>
        <v>8</v>
      </c>
      <c r="O39" s="505"/>
    </row>
    <row r="40" spans="2:15" ht="17" thickBot="1" x14ac:dyDescent="0.25">
      <c r="B40" s="415" t="s">
        <v>709</v>
      </c>
      <c r="C40" s="271">
        <f>(C34+C35+C36)*C37*C38*C39</f>
        <v>272</v>
      </c>
      <c r="D40" s="271">
        <f t="shared" ref="D40:N40" si="5">(D34+D35+D36)*D37*D38*D39</f>
        <v>304</v>
      </c>
      <c r="E40" s="271">
        <f t="shared" si="5"/>
        <v>352</v>
      </c>
      <c r="F40" s="271">
        <f t="shared" si="5"/>
        <v>320</v>
      </c>
      <c r="G40" s="271">
        <f t="shared" si="5"/>
        <v>320</v>
      </c>
      <c r="H40" s="271">
        <f t="shared" si="5"/>
        <v>336</v>
      </c>
      <c r="I40" s="271">
        <f t="shared" si="5"/>
        <v>296</v>
      </c>
      <c r="J40" s="271">
        <f t="shared" si="5"/>
        <v>176</v>
      </c>
      <c r="K40" s="271">
        <f t="shared" si="5"/>
        <v>336</v>
      </c>
      <c r="L40" s="271">
        <f t="shared" si="5"/>
        <v>320</v>
      </c>
      <c r="M40" s="271">
        <f t="shared" si="5"/>
        <v>320</v>
      </c>
      <c r="N40" s="271">
        <f t="shared" si="5"/>
        <v>136</v>
      </c>
      <c r="O40" s="501">
        <f>SUM(C40:N40)</f>
        <v>3488</v>
      </c>
    </row>
    <row r="41" spans="2:15" ht="17" thickBot="1" x14ac:dyDescent="0.25">
      <c r="B41" s="416" t="s">
        <v>710</v>
      </c>
      <c r="C41" s="276">
        <f>C40-C32</f>
        <v>139.69298014705996</v>
      </c>
      <c r="D41" s="276">
        <f t="shared" ref="D41:O41" si="6">D40-D32</f>
        <v>166.82381198888135</v>
      </c>
      <c r="E41" s="276">
        <f t="shared" si="6"/>
        <v>208.29161255977996</v>
      </c>
      <c r="F41" s="276">
        <f t="shared" si="6"/>
        <v>176.29161255978036</v>
      </c>
      <c r="G41" s="276">
        <f t="shared" si="6"/>
        <v>228.20773700535341</v>
      </c>
      <c r="H41" s="276">
        <f t="shared" si="6"/>
        <v>169.10581560283691</v>
      </c>
      <c r="I41" s="276">
        <f t="shared" si="6"/>
        <v>149.27248226950357</v>
      </c>
      <c r="J41" s="276">
        <f t="shared" si="6"/>
        <v>84.966808510638302</v>
      </c>
      <c r="K41" s="276">
        <f t="shared" si="6"/>
        <v>225.68955979057151</v>
      </c>
      <c r="L41" s="276">
        <f t="shared" si="6"/>
        <v>160.69191489361705</v>
      </c>
      <c r="M41" s="276">
        <f t="shared" si="6"/>
        <v>160.69191489361705</v>
      </c>
      <c r="N41" s="276">
        <f t="shared" si="6"/>
        <v>65.133475177304959</v>
      </c>
      <c r="O41" s="286">
        <f t="shared" si="6"/>
        <v>1934.8597253989442</v>
      </c>
    </row>
    <row r="42" spans="2:15" ht="17" customHeight="1" x14ac:dyDescent="0.2">
      <c r="B42" s="415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8"/>
    </row>
    <row r="43" spans="2:15" ht="16" x14ac:dyDescent="0.2">
      <c r="B43" s="510" t="s">
        <v>711</v>
      </c>
      <c r="C43" s="511">
        <f>'Tab. 12'!C52</f>
        <v>3608.3732687165466</v>
      </c>
      <c r="D43" s="511">
        <f>'Tab. 12'!D52</f>
        <v>3741.1687639396068</v>
      </c>
      <c r="E43" s="511">
        <f>'Tab. 12'!E52</f>
        <v>3919.3196574605463</v>
      </c>
      <c r="F43" s="511">
        <f>'Tab. 12'!F52</f>
        <v>3919.3196574605317</v>
      </c>
      <c r="G43" s="511">
        <f>'Tab. 12'!G52</f>
        <v>2503.4253543994564</v>
      </c>
      <c r="H43" s="511">
        <f>'Tab. 12'!H52</f>
        <v>4551.6595744680817</v>
      </c>
      <c r="I43" s="511">
        <f>'Tab. 12'!I52</f>
        <v>4001.6595744680844</v>
      </c>
      <c r="J43" s="511">
        <f>'Tab. 12'!J52</f>
        <v>2482.7234042553191</v>
      </c>
      <c r="K43" s="511">
        <f>'Tab. 12'!K52</f>
        <v>3008.4665511662315</v>
      </c>
      <c r="L43" s="511">
        <f>'Tab. 12'!L52</f>
        <v>4344.765957446808</v>
      </c>
      <c r="M43" s="511">
        <f>'Tab. 12'!M52</f>
        <v>4344.765957446808</v>
      </c>
      <c r="N43" s="511">
        <f>'Tab. 12'!N52</f>
        <v>1932.7234042553191</v>
      </c>
      <c r="O43" s="512">
        <f>SUM(C43:N43)</f>
        <v>42358.371125483332</v>
      </c>
    </row>
    <row r="44" spans="2:15" ht="16" x14ac:dyDescent="0.2">
      <c r="B44" s="415" t="s">
        <v>725</v>
      </c>
      <c r="C44" s="271">
        <f>'All. 8'!$D$17/60*C43</f>
        <v>132.30701985294004</v>
      </c>
      <c r="D44" s="271">
        <f>'All. 8'!$D$17/60*D43</f>
        <v>137.17618801111891</v>
      </c>
      <c r="E44" s="271">
        <f>'All. 8'!$D$17/60*E43</f>
        <v>143.70838744022004</v>
      </c>
      <c r="F44" s="271">
        <f>'All. 8'!$D$17/60*F43</f>
        <v>143.7083874402195</v>
      </c>
      <c r="G44" s="271">
        <f>'All. 8'!$D$17/60*G43</f>
        <v>91.792262994646734</v>
      </c>
      <c r="H44" s="271">
        <f>'All. 8'!$D$17/60*H43</f>
        <v>166.894184397163</v>
      </c>
      <c r="I44" s="271">
        <f>'All. 8'!$D$17/60*I43</f>
        <v>146.72751773049643</v>
      </c>
      <c r="J44" s="271">
        <f>'All. 8'!$D$17/60*J43</f>
        <v>91.033191489361698</v>
      </c>
      <c r="K44" s="271">
        <f>'All. 8'!$D$17/60*K43</f>
        <v>110.31044020942849</v>
      </c>
      <c r="L44" s="271">
        <f>'All. 8'!$D$17/60*L43</f>
        <v>159.30808510638295</v>
      </c>
      <c r="M44" s="271">
        <f>'All. 8'!$D$17/60*M43</f>
        <v>159.30808510638295</v>
      </c>
      <c r="N44" s="271">
        <f>'All. 8'!$D$17/60*N43</f>
        <v>70.866524822695041</v>
      </c>
      <c r="O44" s="501">
        <f>SUM(C44:N44)</f>
        <v>1553.1402746010558</v>
      </c>
    </row>
    <row r="45" spans="2:15" ht="16" x14ac:dyDescent="0.2">
      <c r="B45" s="415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8"/>
    </row>
    <row r="46" spans="2:15" ht="16" x14ac:dyDescent="0.2">
      <c r="B46" s="415" t="s">
        <v>712</v>
      </c>
      <c r="C46" s="506">
        <f t="shared" ref="C46:N46" si="7">C40</f>
        <v>272</v>
      </c>
      <c r="D46" s="506">
        <f t="shared" si="7"/>
        <v>304</v>
      </c>
      <c r="E46" s="506">
        <f t="shared" si="7"/>
        <v>352</v>
      </c>
      <c r="F46" s="506">
        <f t="shared" si="7"/>
        <v>320</v>
      </c>
      <c r="G46" s="506">
        <f t="shared" si="7"/>
        <v>320</v>
      </c>
      <c r="H46" s="506">
        <f t="shared" si="7"/>
        <v>336</v>
      </c>
      <c r="I46" s="506">
        <f t="shared" si="7"/>
        <v>296</v>
      </c>
      <c r="J46" s="506">
        <f t="shared" si="7"/>
        <v>176</v>
      </c>
      <c r="K46" s="506">
        <f t="shared" si="7"/>
        <v>336</v>
      </c>
      <c r="L46" s="506">
        <f t="shared" si="7"/>
        <v>320</v>
      </c>
      <c r="M46" s="506">
        <f t="shared" si="7"/>
        <v>320</v>
      </c>
      <c r="N46" s="506">
        <f t="shared" si="7"/>
        <v>136</v>
      </c>
      <c r="O46" s="503">
        <f>SUM(C46:N46)</f>
        <v>3488</v>
      </c>
    </row>
    <row r="47" spans="2:15" ht="16" x14ac:dyDescent="0.2">
      <c r="B47" s="415" t="s">
        <v>713</v>
      </c>
      <c r="C47" s="506"/>
      <c r="D47" s="509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3">
        <f>SUM(C47:N47)</f>
        <v>0</v>
      </c>
    </row>
    <row r="48" spans="2:15" ht="17" thickBot="1" x14ac:dyDescent="0.25">
      <c r="B48" s="415" t="s">
        <v>714</v>
      </c>
      <c r="C48" s="506">
        <f>C46+C47</f>
        <v>272</v>
      </c>
      <c r="D48" s="506">
        <f t="shared" ref="D48:N48" si="8">D46+D47</f>
        <v>304</v>
      </c>
      <c r="E48" s="506">
        <f t="shared" si="8"/>
        <v>352</v>
      </c>
      <c r="F48" s="506">
        <f t="shared" si="8"/>
        <v>320</v>
      </c>
      <c r="G48" s="506">
        <f t="shared" si="8"/>
        <v>320</v>
      </c>
      <c r="H48" s="506">
        <f t="shared" si="8"/>
        <v>336</v>
      </c>
      <c r="I48" s="506">
        <f t="shared" si="8"/>
        <v>296</v>
      </c>
      <c r="J48" s="506">
        <f t="shared" si="8"/>
        <v>176</v>
      </c>
      <c r="K48" s="506">
        <f t="shared" si="8"/>
        <v>336</v>
      </c>
      <c r="L48" s="506">
        <f t="shared" si="8"/>
        <v>320</v>
      </c>
      <c r="M48" s="506">
        <f t="shared" si="8"/>
        <v>320</v>
      </c>
      <c r="N48" s="506">
        <f t="shared" si="8"/>
        <v>136</v>
      </c>
      <c r="O48" s="503">
        <f>SUM(C48:N48)</f>
        <v>3488</v>
      </c>
    </row>
    <row r="49" spans="2:15" ht="17" thickBot="1" x14ac:dyDescent="0.25">
      <c r="B49" s="416" t="s">
        <v>710</v>
      </c>
      <c r="C49" s="276">
        <f>C48-C44</f>
        <v>139.69298014705996</v>
      </c>
      <c r="D49" s="276">
        <f t="shared" ref="D49:N49" si="9">D48-D44</f>
        <v>166.82381198888109</v>
      </c>
      <c r="E49" s="276">
        <f t="shared" si="9"/>
        <v>208.29161255977996</v>
      </c>
      <c r="F49" s="276">
        <f t="shared" si="9"/>
        <v>176.2916125597805</v>
      </c>
      <c r="G49" s="276">
        <f t="shared" si="9"/>
        <v>228.20773700535327</v>
      </c>
      <c r="H49" s="276">
        <f t="shared" si="9"/>
        <v>169.105815602837</v>
      </c>
      <c r="I49" s="276">
        <f t="shared" si="9"/>
        <v>149.27248226950357</v>
      </c>
      <c r="J49" s="276">
        <f t="shared" si="9"/>
        <v>84.966808510638302</v>
      </c>
      <c r="K49" s="276">
        <f t="shared" si="9"/>
        <v>225.68955979057151</v>
      </c>
      <c r="L49" s="276">
        <f t="shared" si="9"/>
        <v>160.69191489361705</v>
      </c>
      <c r="M49" s="276">
        <f t="shared" si="9"/>
        <v>160.69191489361705</v>
      </c>
      <c r="N49" s="276">
        <f t="shared" si="9"/>
        <v>65.133475177304959</v>
      </c>
      <c r="O49" s="286">
        <f>SUM(C49:N49)</f>
        <v>1934.8597253989442</v>
      </c>
    </row>
    <row r="50" spans="2:15" hidden="1" x14ac:dyDescent="0.15">
      <c r="B50" s="513"/>
      <c r="C50" s="514"/>
      <c r="D50" s="514"/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5"/>
    </row>
    <row r="51" spans="2:15" hidden="1" x14ac:dyDescent="0.15">
      <c r="B51" s="516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517"/>
    </row>
    <row r="52" spans="2:15" hidden="1" x14ac:dyDescent="0.15">
      <c r="B52" s="518" t="s">
        <v>716</v>
      </c>
      <c r="C52" s="2">
        <f>+C31</f>
        <v>3608.3732687165466</v>
      </c>
      <c r="D52" s="2">
        <f t="shared" ref="D52:N52" si="10">+D31+C52</f>
        <v>7349.5420326561461</v>
      </c>
      <c r="E52" s="2">
        <f t="shared" si="10"/>
        <v>11268.861690116693</v>
      </c>
      <c r="F52" s="2">
        <f t="shared" si="10"/>
        <v>15188.181347577229</v>
      </c>
      <c r="G52" s="2">
        <f t="shared" si="10"/>
        <v>17691.606701976682</v>
      </c>
      <c r="H52" s="2">
        <f t="shared" si="10"/>
        <v>22243.266276444767</v>
      </c>
      <c r="I52" s="2">
        <f t="shared" si="10"/>
        <v>26244.925850912852</v>
      </c>
      <c r="J52" s="2">
        <f t="shared" si="10"/>
        <v>28727.649255168173</v>
      </c>
      <c r="K52" s="2">
        <f t="shared" si="10"/>
        <v>31736.115806334405</v>
      </c>
      <c r="L52" s="2">
        <f t="shared" si="10"/>
        <v>36080.88176378121</v>
      </c>
      <c r="M52" s="2">
        <f t="shared" si="10"/>
        <v>40425.647721228015</v>
      </c>
      <c r="N52" s="2">
        <f t="shared" si="10"/>
        <v>42358.371125483332</v>
      </c>
      <c r="O52" s="517"/>
    </row>
    <row r="53" spans="2:15" hidden="1" x14ac:dyDescent="0.15">
      <c r="B53" s="519" t="s">
        <v>717</v>
      </c>
      <c r="C53" s="2" t="e">
        <f>+#REF!</f>
        <v>#REF!</v>
      </c>
      <c r="D53" s="2" t="e">
        <f>+C53+#REF!</f>
        <v>#REF!</v>
      </c>
      <c r="E53" s="2" t="e">
        <f>+D53+#REF!</f>
        <v>#REF!</v>
      </c>
      <c r="F53" s="2" t="e">
        <f>+E53+#REF!</f>
        <v>#REF!</v>
      </c>
      <c r="G53" s="2" t="e">
        <f>+F53+#REF!</f>
        <v>#REF!</v>
      </c>
      <c r="H53" s="2" t="e">
        <f>+G53+#REF!</f>
        <v>#REF!</v>
      </c>
      <c r="I53" s="2" t="e">
        <f>+H53+#REF!</f>
        <v>#REF!</v>
      </c>
      <c r="J53" s="2" t="e">
        <f>+I53+#REF!</f>
        <v>#REF!</v>
      </c>
      <c r="K53" s="2" t="e">
        <f>+J53+#REF!</f>
        <v>#REF!</v>
      </c>
      <c r="L53" s="2" t="e">
        <f>+K53+#REF!</f>
        <v>#REF!</v>
      </c>
      <c r="M53" s="2" t="e">
        <f>+L53+#REF!</f>
        <v>#REF!</v>
      </c>
      <c r="N53" s="2" t="e">
        <f>+M53+#REF!</f>
        <v>#REF!</v>
      </c>
      <c r="O53" s="517"/>
    </row>
    <row r="54" spans="2:15" hidden="1" x14ac:dyDescent="0.15">
      <c r="B54" s="516"/>
      <c r="C54" s="2">
        <f>+C43</f>
        <v>3608.3732687165466</v>
      </c>
      <c r="D54" s="2">
        <f>+D43+C43</f>
        <v>7349.5420326561534</v>
      </c>
      <c r="E54" s="2">
        <f>+E43+D54</f>
        <v>11268.861690116701</v>
      </c>
      <c r="F54" s="2">
        <f t="shared" ref="F54:N54" si="11">+F43+E54</f>
        <v>15188.181347577232</v>
      </c>
      <c r="G54" s="2">
        <f t="shared" si="11"/>
        <v>17691.606701976689</v>
      </c>
      <c r="H54" s="2">
        <f t="shared" si="11"/>
        <v>22243.26627644477</v>
      </c>
      <c r="I54" s="2">
        <f t="shared" si="11"/>
        <v>26244.925850912856</v>
      </c>
      <c r="J54" s="2">
        <f t="shared" si="11"/>
        <v>28727.649255168173</v>
      </c>
      <c r="K54" s="2">
        <f t="shared" si="11"/>
        <v>31736.115806334405</v>
      </c>
      <c r="L54" s="2">
        <f t="shared" si="11"/>
        <v>36080.88176378121</v>
      </c>
      <c r="M54" s="2">
        <f t="shared" si="11"/>
        <v>40425.647721228015</v>
      </c>
      <c r="N54" s="2">
        <f t="shared" si="11"/>
        <v>42358.371125483332</v>
      </c>
      <c r="O54" s="517"/>
    </row>
    <row r="55" spans="2:15" hidden="1" x14ac:dyDescent="0.15">
      <c r="B55" s="51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517"/>
    </row>
    <row r="56" spans="2:15" ht="14" hidden="1" thickBot="1" x14ac:dyDescent="0.2">
      <c r="B56" s="520"/>
      <c r="C56" s="521" t="e">
        <f>+IF(C53&lt;C52,C52-C53,0)</f>
        <v>#REF!</v>
      </c>
      <c r="D56" s="521" t="e">
        <f>+IF(D53&lt;D52,D52-D53,0)</f>
        <v>#REF!</v>
      </c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3"/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7F09-A980-B342-A814-E5899E0130F2}">
  <dimension ref="B3:E25"/>
  <sheetViews>
    <sheetView showGridLines="0" topLeftCell="A5" zoomScale="200" zoomScaleNormal="200" workbookViewId="0">
      <selection activeCell="C25" sqref="C25"/>
    </sheetView>
  </sheetViews>
  <sheetFormatPr baseColWidth="10" defaultRowHeight="14" x14ac:dyDescent="0.2"/>
  <cols>
    <col min="1" max="1" width="10.83203125" style="3"/>
    <col min="2" max="2" width="26" style="3" customWidth="1"/>
    <col min="3" max="5" width="12.1640625" style="3" customWidth="1"/>
    <col min="6" max="16384" width="10.83203125" style="3"/>
  </cols>
  <sheetData>
    <row r="3" spans="2:3" x14ac:dyDescent="0.2">
      <c r="B3" s="3" t="s">
        <v>726</v>
      </c>
    </row>
    <row r="5" spans="2:3" x14ac:dyDescent="0.2">
      <c r="B5" s="526"/>
      <c r="C5" s="528" t="s">
        <v>99</v>
      </c>
    </row>
    <row r="6" spans="2:3" x14ac:dyDescent="0.2">
      <c r="B6" s="469"/>
      <c r="C6" s="445" t="s">
        <v>728</v>
      </c>
    </row>
    <row r="7" spans="2:3" x14ac:dyDescent="0.2">
      <c r="B7" s="527" t="s">
        <v>92</v>
      </c>
      <c r="C7" s="447"/>
    </row>
    <row r="8" spans="2:3" x14ac:dyDescent="0.2">
      <c r="B8" s="469" t="s">
        <v>43</v>
      </c>
      <c r="C8" s="529">
        <f>'Tab. 6'!F8</f>
        <v>108.74965</v>
      </c>
    </row>
    <row r="9" spans="2:3" x14ac:dyDescent="0.2">
      <c r="B9" s="469" t="s">
        <v>727</v>
      </c>
      <c r="C9" s="529">
        <f>C25*'All. 8'!D10</f>
        <v>0.40663326317397175</v>
      </c>
    </row>
    <row r="10" spans="2:3" x14ac:dyDescent="0.2">
      <c r="B10" s="530" t="s">
        <v>3</v>
      </c>
      <c r="C10" s="531">
        <f>SUM(C8:C9)</f>
        <v>109.15628326317398</v>
      </c>
    </row>
    <row r="11" spans="2:3" x14ac:dyDescent="0.2">
      <c r="B11" s="527" t="s">
        <v>93</v>
      </c>
      <c r="C11" s="447"/>
    </row>
    <row r="12" spans="2:3" x14ac:dyDescent="0.2">
      <c r="B12" s="469" t="s">
        <v>43</v>
      </c>
      <c r="C12" s="529">
        <f>'Tab. 6'!F17</f>
        <v>189</v>
      </c>
    </row>
    <row r="13" spans="2:3" x14ac:dyDescent="0.2">
      <c r="B13" s="469" t="s">
        <v>727</v>
      </c>
      <c r="C13" s="529">
        <f>D25*'All. 8'!D17</f>
        <v>0.68814859921749072</v>
      </c>
    </row>
    <row r="14" spans="2:3" x14ac:dyDescent="0.2">
      <c r="B14" s="530" t="s">
        <v>3</v>
      </c>
      <c r="C14" s="531">
        <f>SUM(C12:C13)</f>
        <v>189.6881485992175</v>
      </c>
    </row>
    <row r="17" spans="2:5" ht="15" thickBot="1" x14ac:dyDescent="0.25"/>
    <row r="18" spans="2:5" ht="15" thickBot="1" x14ac:dyDescent="0.25">
      <c r="B18" s="542" t="s">
        <v>729</v>
      </c>
      <c r="C18" s="543"/>
      <c r="D18" s="543"/>
      <c r="E18" s="544"/>
    </row>
    <row r="19" spans="2:5" x14ac:dyDescent="0.2">
      <c r="B19" s="426"/>
      <c r="C19" s="493" t="s">
        <v>696</v>
      </c>
      <c r="D19" s="493" t="s">
        <v>697</v>
      </c>
      <c r="E19" s="494" t="s">
        <v>82</v>
      </c>
    </row>
    <row r="20" spans="2:5" x14ac:dyDescent="0.2">
      <c r="B20" s="426" t="s">
        <v>730</v>
      </c>
      <c r="C20" s="532">
        <f>'Tab. 13'!O18</f>
        <v>15696</v>
      </c>
      <c r="D20" s="532">
        <f>'Tab. 13'!O40</f>
        <v>3488</v>
      </c>
      <c r="E20" s="533">
        <f>SUM(C20:D20)</f>
        <v>19184</v>
      </c>
    </row>
    <row r="21" spans="2:5" x14ac:dyDescent="0.2">
      <c r="B21" s="426" t="s">
        <v>731</v>
      </c>
      <c r="C21" s="532">
        <f>'Tab. 13'!O21</f>
        <v>666082.12060847704</v>
      </c>
      <c r="D21" s="532">
        <f>'Tab. 13'!O43</f>
        <v>42358.371125483332</v>
      </c>
      <c r="E21" s="533"/>
    </row>
    <row r="22" spans="2:5" x14ac:dyDescent="0.2">
      <c r="B22" s="426" t="s">
        <v>732</v>
      </c>
      <c r="C22" s="532">
        <f>'Tab. 13'!O22</f>
        <v>14431.779279850338</v>
      </c>
      <c r="D22" s="532">
        <f>'Tab. 13'!O44</f>
        <v>1553.1402746010558</v>
      </c>
      <c r="E22" s="533">
        <f>SUM(C22:D22)</f>
        <v>15984.919554451393</v>
      </c>
    </row>
    <row r="23" spans="2:5" x14ac:dyDescent="0.2">
      <c r="B23" s="426" t="s">
        <v>733</v>
      </c>
      <c r="C23" s="532"/>
      <c r="D23" s="532"/>
      <c r="E23" s="533"/>
    </row>
    <row r="24" spans="2:5" x14ac:dyDescent="0.2">
      <c r="B24" s="426" t="s">
        <v>734</v>
      </c>
      <c r="C24" s="433">
        <f>+$E$24/$E$22*C22</f>
        <v>270851.14624486404</v>
      </c>
      <c r="D24" s="433">
        <f>+$E$24/$E$22*D22</f>
        <v>29148.853755135962</v>
      </c>
      <c r="E24" s="534">
        <v>300000</v>
      </c>
    </row>
    <row r="25" spans="2:5" ht="15" thickBot="1" x14ac:dyDescent="0.25">
      <c r="B25" s="535" t="s">
        <v>735</v>
      </c>
      <c r="C25" s="536">
        <f>+E25</f>
        <v>0.31279481782613211</v>
      </c>
      <c r="D25" s="536">
        <f>+E25</f>
        <v>0.31279481782613211</v>
      </c>
      <c r="E25" s="537">
        <f>E24/(E22*60)</f>
        <v>0.31279481782613211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9F1E-C18E-9A46-BFD0-AB39E2F07778}">
  <dimension ref="B3:M30"/>
  <sheetViews>
    <sheetView showGridLines="0" zoomScale="200" zoomScaleNormal="200" workbookViewId="0">
      <pane ySplit="6" topLeftCell="A14" activePane="bottomLeft" state="frozen"/>
      <selection activeCell="B1" sqref="B1"/>
      <selection pane="bottomLeft" activeCell="E30" sqref="E30:F30"/>
    </sheetView>
  </sheetViews>
  <sheetFormatPr baseColWidth="10" defaultRowHeight="14" x14ac:dyDescent="0.15"/>
  <cols>
    <col min="1" max="1" width="10.83203125" style="548"/>
    <col min="2" max="2" width="26" style="548" customWidth="1"/>
    <col min="3" max="5" width="12.1640625" style="548" customWidth="1"/>
    <col min="6" max="6" width="13" style="548" customWidth="1"/>
    <col min="7" max="7" width="10.83203125" style="548"/>
    <col min="8" max="8" width="12.33203125" style="548" customWidth="1"/>
    <col min="9" max="9" width="1.5" style="548" customWidth="1"/>
    <col min="10" max="11" width="10.83203125" style="548"/>
    <col min="12" max="12" width="1.5" style="548" customWidth="1"/>
    <col min="13" max="16384" width="10.83203125" style="548"/>
  </cols>
  <sheetData>
    <row r="3" spans="2:13" x14ac:dyDescent="0.15">
      <c r="B3" s="548" t="s">
        <v>748</v>
      </c>
    </row>
    <row r="5" spans="2:13" ht="15" thickBot="1" x14ac:dyDescent="0.2"/>
    <row r="6" spans="2:13" ht="30" x14ac:dyDescent="0.15">
      <c r="B6" s="581"/>
      <c r="C6" s="606" t="s">
        <v>99</v>
      </c>
      <c r="D6" s="582" t="s">
        <v>753</v>
      </c>
      <c r="E6" s="583" t="s">
        <v>759</v>
      </c>
      <c r="F6" s="584" t="s">
        <v>760</v>
      </c>
      <c r="G6" s="585" t="s">
        <v>763</v>
      </c>
      <c r="H6" s="584" t="s">
        <v>764</v>
      </c>
      <c r="I6" s="586"/>
      <c r="J6" s="587" t="s">
        <v>761</v>
      </c>
      <c r="K6" s="588" t="s">
        <v>762</v>
      </c>
      <c r="M6" s="550" t="s">
        <v>82</v>
      </c>
    </row>
    <row r="7" spans="2:13" x14ac:dyDescent="0.15">
      <c r="B7" s="589"/>
      <c r="C7" s="551"/>
      <c r="D7" s="549" t="s">
        <v>754</v>
      </c>
      <c r="E7" s="569"/>
      <c r="F7" s="564"/>
      <c r="G7" s="563"/>
      <c r="H7" s="564">
        <f>'All. 10'!C18</f>
        <v>335000</v>
      </c>
      <c r="I7" s="565"/>
      <c r="J7" s="569">
        <f>'All. 10'!C19</f>
        <v>695557</v>
      </c>
      <c r="K7" s="590"/>
      <c r="M7" s="572">
        <f>SUM(E7:K7)</f>
        <v>1030557</v>
      </c>
    </row>
    <row r="8" spans="2:13" x14ac:dyDescent="0.15">
      <c r="B8" s="589"/>
      <c r="C8" s="551"/>
      <c r="D8" s="551" t="s">
        <v>758</v>
      </c>
      <c r="E8" s="570">
        <f>'All. 10'!C15</f>
        <v>3</v>
      </c>
      <c r="F8" s="566">
        <f>'All. 10'!C16</f>
        <v>1</v>
      </c>
      <c r="G8" s="565"/>
      <c r="H8" s="566"/>
      <c r="I8" s="565"/>
      <c r="J8" s="570"/>
      <c r="K8" s="591"/>
      <c r="M8" s="572">
        <f t="shared" ref="M8" si="0">SUM(E8:K8)</f>
        <v>4</v>
      </c>
    </row>
    <row r="9" spans="2:13" x14ac:dyDescent="0.15">
      <c r="B9" s="589"/>
      <c r="C9" s="551"/>
      <c r="D9" s="558" t="s">
        <v>755</v>
      </c>
      <c r="E9" s="571">
        <f>'All. 10'!C7</f>
        <v>3000</v>
      </c>
      <c r="F9" s="568">
        <f>'All. 10'!C8</f>
        <v>1000</v>
      </c>
      <c r="G9" s="567">
        <f>+E9+F9</f>
        <v>4000</v>
      </c>
      <c r="H9" s="568">
        <f>'All. 10'!C9</f>
        <v>10000</v>
      </c>
      <c r="I9" s="565"/>
      <c r="J9" s="571"/>
      <c r="K9" s="592">
        <f>'All. 10'!C6</f>
        <v>5000</v>
      </c>
      <c r="M9" s="573">
        <f>SUM(G9:K9)</f>
        <v>19000</v>
      </c>
    </row>
    <row r="10" spans="2:13" x14ac:dyDescent="0.15">
      <c r="B10" s="593"/>
      <c r="C10" s="551"/>
      <c r="D10" s="551"/>
      <c r="E10" s="559"/>
      <c r="F10" s="561"/>
      <c r="G10" s="560"/>
      <c r="H10" s="561"/>
      <c r="I10" s="560"/>
      <c r="J10" s="559"/>
      <c r="K10" s="594"/>
    </row>
    <row r="11" spans="2:13" x14ac:dyDescent="0.15">
      <c r="B11" s="593" t="s">
        <v>193</v>
      </c>
      <c r="C11" s="552">
        <f>SUMIF(Tabella2[Funzioni],'Tab. 15'!$B11,Tabella2[Costo totale])</f>
        <v>90358.727246166673</v>
      </c>
      <c r="D11" s="551"/>
      <c r="E11" s="559"/>
      <c r="F11" s="561"/>
      <c r="G11" s="574">
        <f>+C11</f>
        <v>90358.727246166673</v>
      </c>
      <c r="H11" s="561"/>
      <c r="I11" s="560"/>
      <c r="J11" s="559"/>
      <c r="K11" s="594"/>
    </row>
    <row r="12" spans="2:13" x14ac:dyDescent="0.15">
      <c r="B12" s="593" t="s">
        <v>194</v>
      </c>
      <c r="C12" s="552">
        <f>SUMIF(Tabella2[Funzioni],'Tab. 15'!$B12,Tabella2[Costo totale])</f>
        <v>41166.929499055565</v>
      </c>
      <c r="D12" s="553"/>
      <c r="E12" s="559"/>
      <c r="F12" s="561"/>
      <c r="G12" s="574">
        <f>+C12</f>
        <v>41166.929499055565</v>
      </c>
      <c r="H12" s="561"/>
      <c r="I12" s="560"/>
      <c r="J12" s="559"/>
      <c r="K12" s="594"/>
    </row>
    <row r="13" spans="2:13" x14ac:dyDescent="0.15">
      <c r="B13" s="593" t="s">
        <v>304</v>
      </c>
      <c r="C13" s="552">
        <f>SUMIF(Tabella2[Funzioni],'Tab. 15'!$B13,Tabella2[Costo totale])</f>
        <v>35742.366690203708</v>
      </c>
      <c r="D13" s="553"/>
      <c r="E13" s="559"/>
      <c r="F13" s="561"/>
      <c r="G13" s="560"/>
      <c r="H13" s="575">
        <f>+C13</f>
        <v>35742.366690203708</v>
      </c>
      <c r="I13" s="560"/>
      <c r="J13" s="559"/>
      <c r="K13" s="594"/>
    </row>
    <row r="14" spans="2:13" x14ac:dyDescent="0.15">
      <c r="B14" s="593" t="s">
        <v>308</v>
      </c>
      <c r="C14" s="552">
        <f>SUMIF(Tabella2[Funzioni],'Tab. 15'!$B14,Tabella2[Costo totale])</f>
        <v>372741.48997968523</v>
      </c>
      <c r="D14" s="553" t="s">
        <v>754</v>
      </c>
      <c r="E14" s="559"/>
      <c r="F14" s="561"/>
      <c r="G14" s="560"/>
      <c r="H14" s="575">
        <f>+C14/$M$7*H$7</f>
        <v>121165.93176621434</v>
      </c>
      <c r="I14" s="560"/>
      <c r="J14" s="576">
        <f>+C14/$M$7*J$7</f>
        <v>251575.55821347088</v>
      </c>
      <c r="K14" s="594"/>
    </row>
    <row r="15" spans="2:13" x14ac:dyDescent="0.15">
      <c r="B15" s="593" t="s">
        <v>325</v>
      </c>
      <c r="C15" s="552">
        <f>SUMIF(Tabella2[Funzioni],'Tab. 15'!$B15,Tabella2[Costo totale])</f>
        <v>36563.144137481482</v>
      </c>
      <c r="D15" s="553" t="s">
        <v>754</v>
      </c>
      <c r="E15" s="559"/>
      <c r="F15" s="561"/>
      <c r="G15" s="560"/>
      <c r="H15" s="575">
        <f t="shared" ref="H15:H18" si="1">+C15/$M$7*H$7</f>
        <v>11885.469009532027</v>
      </c>
      <c r="I15" s="560"/>
      <c r="J15" s="576">
        <f t="shared" ref="J15:J18" si="2">+C15/$M$7*J$7</f>
        <v>24677.675127949457</v>
      </c>
      <c r="K15" s="594"/>
    </row>
    <row r="16" spans="2:13" x14ac:dyDescent="0.15">
      <c r="B16" s="593" t="s">
        <v>326</v>
      </c>
      <c r="C16" s="552">
        <f>SUMIF(Tabella2[Funzioni],'Tab. 15'!$B16,Tabella2[Costo totale])</f>
        <v>79435.543209370371</v>
      </c>
      <c r="D16" s="553" t="s">
        <v>754</v>
      </c>
      <c r="E16" s="559"/>
      <c r="F16" s="561"/>
      <c r="G16" s="560"/>
      <c r="H16" s="575">
        <f t="shared" si="1"/>
        <v>25821.868150077167</v>
      </c>
      <c r="I16" s="560"/>
      <c r="J16" s="576">
        <f t="shared" si="2"/>
        <v>53613.6750592932</v>
      </c>
      <c r="K16" s="594"/>
    </row>
    <row r="17" spans="2:11" x14ac:dyDescent="0.15">
      <c r="B17" s="593" t="s">
        <v>331</v>
      </c>
      <c r="C17" s="552">
        <f>SUMIF(Tabella2[Funzioni],'Tab. 15'!$B17,Tabella2[Costo totale])</f>
        <v>39990.787047962964</v>
      </c>
      <c r="D17" s="553" t="s">
        <v>754</v>
      </c>
      <c r="E17" s="559"/>
      <c r="F17" s="561"/>
      <c r="G17" s="560"/>
      <c r="H17" s="575">
        <f t="shared" si="1"/>
        <v>12999.68236697979</v>
      </c>
      <c r="I17" s="560"/>
      <c r="J17" s="576">
        <f t="shared" si="2"/>
        <v>26991.104680983171</v>
      </c>
      <c r="K17" s="594"/>
    </row>
    <row r="18" spans="2:11" x14ac:dyDescent="0.15">
      <c r="B18" s="593" t="s">
        <v>569</v>
      </c>
      <c r="C18" s="552">
        <f>SUMIF(Tabella2[Funzioni],'Tab. 15'!$B18,Tabella2[Costo totale])</f>
        <v>26510.408470425922</v>
      </c>
      <c r="D18" s="553" t="s">
        <v>754</v>
      </c>
      <c r="E18" s="559"/>
      <c r="F18" s="561"/>
      <c r="G18" s="560"/>
      <c r="H18" s="575">
        <f t="shared" si="1"/>
        <v>8617.6570898967093</v>
      </c>
      <c r="I18" s="560"/>
      <c r="J18" s="576">
        <f t="shared" si="2"/>
        <v>17892.751380529211</v>
      </c>
      <c r="K18" s="594"/>
    </row>
    <row r="19" spans="2:11" s="554" customFormat="1" x14ac:dyDescent="0.15">
      <c r="B19" s="595" t="s">
        <v>751</v>
      </c>
      <c r="C19" s="555">
        <f>SUM(C11:C18)</f>
        <v>722509.39628035191</v>
      </c>
      <c r="D19" s="556"/>
      <c r="E19" s="577">
        <f t="shared" ref="E19:H19" si="3">SUM(E11:E18)</f>
        <v>0</v>
      </c>
      <c r="F19" s="578">
        <f t="shared" si="3"/>
        <v>0</v>
      </c>
      <c r="G19" s="611">
        <f t="shared" si="3"/>
        <v>131525.65674522222</v>
      </c>
      <c r="H19" s="612">
        <f t="shared" si="3"/>
        <v>216232.97507290376</v>
      </c>
      <c r="I19" s="562"/>
      <c r="J19" s="577">
        <f t="shared" ref="J19" si="4">SUM(J11:J18)</f>
        <v>374750.76446222595</v>
      </c>
      <c r="K19" s="596">
        <f t="shared" ref="K19" si="5">SUM(K11:K18)</f>
        <v>0</v>
      </c>
    </row>
    <row r="20" spans="2:11" x14ac:dyDescent="0.15">
      <c r="B20" s="593"/>
      <c r="C20" s="557"/>
      <c r="D20" s="553"/>
      <c r="E20" s="559"/>
      <c r="F20" s="561"/>
      <c r="G20" s="560"/>
      <c r="H20" s="561"/>
      <c r="I20" s="560"/>
      <c r="J20" s="559"/>
      <c r="K20" s="594"/>
    </row>
    <row r="21" spans="2:11" x14ac:dyDescent="0.15">
      <c r="B21" s="593" t="s">
        <v>598</v>
      </c>
      <c r="C21" s="552">
        <f>+'All. 6'!C5</f>
        <v>125000</v>
      </c>
      <c r="D21" s="553" t="s">
        <v>755</v>
      </c>
      <c r="E21" s="559"/>
      <c r="F21" s="561"/>
      <c r="G21" s="579">
        <f>$C21/$M$9*G$9</f>
        <v>26315.78947368421</v>
      </c>
      <c r="H21" s="580">
        <f>$C21/$M$9*H$9</f>
        <v>65789.473684210519</v>
      </c>
      <c r="I21" s="579"/>
      <c r="J21" s="576"/>
      <c r="K21" s="597">
        <f>$C21/$M$9*K$9</f>
        <v>32894.73684210526</v>
      </c>
    </row>
    <row r="22" spans="2:11" x14ac:dyDescent="0.15">
      <c r="B22" s="593" t="s">
        <v>599</v>
      </c>
      <c r="C22" s="552">
        <f>+'All. 6'!C6</f>
        <v>150000</v>
      </c>
      <c r="D22" s="553" t="s">
        <v>755</v>
      </c>
      <c r="E22" s="559"/>
      <c r="F22" s="561"/>
      <c r="G22" s="579">
        <f>$C22/$M$9*G$9</f>
        <v>31578.94736842105</v>
      </c>
      <c r="H22" s="580">
        <f>$C22/$M$9*H$9</f>
        <v>78947.368421052626</v>
      </c>
      <c r="I22" s="579"/>
      <c r="J22" s="576"/>
      <c r="K22" s="597">
        <f>$C22/$M$9*K$9</f>
        <v>39473.684210526313</v>
      </c>
    </row>
    <row r="23" spans="2:11" x14ac:dyDescent="0.15">
      <c r="B23" s="593" t="s">
        <v>600</v>
      </c>
      <c r="C23" s="552">
        <f>+'All. 6'!C7</f>
        <v>860000</v>
      </c>
      <c r="D23" s="553" t="s">
        <v>756</v>
      </c>
      <c r="E23" s="559"/>
      <c r="F23" s="561"/>
      <c r="G23" s="579">
        <f>($C$23-$K$23)/SUM($G$9:$H$9)*G9</f>
        <v>160000</v>
      </c>
      <c r="H23" s="580">
        <f>($C$23-$K$23)/SUM($G$9:$H$9)*H9</f>
        <v>400000</v>
      </c>
      <c r="I23" s="579"/>
      <c r="J23" s="576"/>
      <c r="K23" s="597">
        <f>60*K9</f>
        <v>300000</v>
      </c>
    </row>
    <row r="24" spans="2:11" x14ac:dyDescent="0.15">
      <c r="B24" s="593" t="s">
        <v>601</v>
      </c>
      <c r="C24" s="552">
        <f>+'All. 6'!C8</f>
        <v>1151250</v>
      </c>
      <c r="D24" s="553" t="s">
        <v>757</v>
      </c>
      <c r="E24" s="576">
        <f>'All. 7'!I27</f>
        <v>851250</v>
      </c>
      <c r="F24" s="580">
        <f>+'All. 7'!I26</f>
        <v>300000</v>
      </c>
      <c r="G24" s="579"/>
      <c r="H24" s="580"/>
      <c r="I24" s="579"/>
      <c r="J24" s="576"/>
      <c r="K24" s="597"/>
    </row>
    <row r="25" spans="2:11" x14ac:dyDescent="0.15">
      <c r="B25" s="593" t="s">
        <v>602</v>
      </c>
      <c r="C25" s="552">
        <f>+'All. 6'!C9</f>
        <v>72500</v>
      </c>
      <c r="D25" s="553"/>
      <c r="E25" s="559"/>
      <c r="F25" s="561"/>
      <c r="G25" s="579">
        <f>+'All. 7'!M36-'Tab. 15'!E24-'Tab. 15'!F24</f>
        <v>72500</v>
      </c>
      <c r="H25" s="580"/>
      <c r="I25" s="579"/>
      <c r="J25" s="576"/>
      <c r="K25" s="597"/>
    </row>
    <row r="26" spans="2:11" x14ac:dyDescent="0.15">
      <c r="B26" s="593" t="s">
        <v>603</v>
      </c>
      <c r="C26" s="552">
        <f>+'All. 6'!C10</f>
        <v>484830</v>
      </c>
      <c r="D26" s="553" t="s">
        <v>758</v>
      </c>
      <c r="E26" s="576">
        <f>+'All. 6'!$C$41/$M$8*E8</f>
        <v>90000</v>
      </c>
      <c r="F26" s="580">
        <f>+'All. 6'!$C$41/$M$8*F8</f>
        <v>30000</v>
      </c>
      <c r="G26" s="579">
        <f>'All. 6'!C40</f>
        <v>5000</v>
      </c>
      <c r="H26" s="580"/>
      <c r="I26" s="579"/>
      <c r="J26" s="576">
        <f>'All. 6'!C42</f>
        <v>359830</v>
      </c>
      <c r="K26" s="597"/>
    </row>
    <row r="27" spans="2:11" x14ac:dyDescent="0.15">
      <c r="B27" s="593" t="s">
        <v>605</v>
      </c>
      <c r="C27" s="552">
        <f>+'All. 6'!C12</f>
        <v>48000</v>
      </c>
      <c r="D27" s="553" t="s">
        <v>758</v>
      </c>
      <c r="E27" s="576">
        <f>$C$27/$M$8*E8</f>
        <v>36000</v>
      </c>
      <c r="F27" s="580">
        <f>$C$27/$M$8*F8</f>
        <v>12000</v>
      </c>
      <c r="G27" s="579"/>
      <c r="H27" s="580"/>
      <c r="I27" s="579"/>
      <c r="J27" s="576"/>
      <c r="K27" s="597"/>
    </row>
    <row r="28" spans="2:11" x14ac:dyDescent="0.15">
      <c r="B28" s="595" t="s">
        <v>752</v>
      </c>
      <c r="C28" s="555">
        <f>SUM(C21:C27)</f>
        <v>2891580</v>
      </c>
      <c r="D28" s="553"/>
      <c r="E28" s="577">
        <f>SUM(E21:E27)</f>
        <v>977250</v>
      </c>
      <c r="F28" s="578">
        <f t="shared" ref="F28:H28" si="6">SUM(F21:F27)</f>
        <v>342000</v>
      </c>
      <c r="G28" s="615">
        <f t="shared" si="6"/>
        <v>295394.73684210528</v>
      </c>
      <c r="H28" s="616">
        <f t="shared" si="6"/>
        <v>544736.84210526315</v>
      </c>
      <c r="I28" s="562"/>
      <c r="J28" s="577">
        <f t="shared" ref="J28" si="7">SUM(J21:J27)</f>
        <v>359830</v>
      </c>
      <c r="K28" s="596">
        <f t="shared" ref="K28" si="8">SUM(K21:K27)</f>
        <v>372368.42105263157</v>
      </c>
    </row>
    <row r="29" spans="2:11" x14ac:dyDescent="0.15">
      <c r="B29" s="593"/>
      <c r="C29" s="551"/>
      <c r="D29" s="551"/>
      <c r="E29" s="559"/>
      <c r="F29" s="561"/>
      <c r="G29" s="579"/>
      <c r="H29" s="580"/>
      <c r="I29" s="579"/>
      <c r="J29" s="576"/>
      <c r="K29" s="597"/>
    </row>
    <row r="30" spans="2:11" ht="15" thickBot="1" x14ac:dyDescent="0.2">
      <c r="B30" s="598" t="s">
        <v>3</v>
      </c>
      <c r="C30" s="599">
        <f>C19+C28</f>
        <v>3614089.396280352</v>
      </c>
      <c r="D30" s="600"/>
      <c r="E30" s="607">
        <f>E19+E28</f>
        <v>977250</v>
      </c>
      <c r="F30" s="608">
        <f t="shared" ref="F30:K30" si="9">F19+F28</f>
        <v>342000</v>
      </c>
      <c r="G30" s="603">
        <f t="shared" si="9"/>
        <v>426920.3935873275</v>
      </c>
      <c r="H30" s="602">
        <f t="shared" si="9"/>
        <v>760969.81717816694</v>
      </c>
      <c r="I30" s="604"/>
      <c r="J30" s="601">
        <f t="shared" si="9"/>
        <v>734580.76446222595</v>
      </c>
      <c r="K30" s="605">
        <f t="shared" si="9"/>
        <v>372368.42105263157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8E6B-0574-6243-9BBE-308EECCDE9B1}">
  <dimension ref="B3:H48"/>
  <sheetViews>
    <sheetView showGridLines="0" topLeftCell="A15" zoomScale="200" zoomScaleNormal="200" workbookViewId="0">
      <selection activeCell="G21" sqref="G21:H21"/>
    </sheetView>
  </sheetViews>
  <sheetFormatPr baseColWidth="10" defaultRowHeight="14" x14ac:dyDescent="0.2"/>
  <cols>
    <col min="1" max="1" width="10.83203125" style="3"/>
    <col min="2" max="2" width="26" style="3" customWidth="1"/>
    <col min="3" max="5" width="12.1640625" style="3" customWidth="1"/>
    <col min="6" max="16384" width="10.83203125" style="3"/>
  </cols>
  <sheetData>
    <row r="3" spans="2:3" x14ac:dyDescent="0.2">
      <c r="B3" s="3" t="s">
        <v>747</v>
      </c>
    </row>
    <row r="5" spans="2:3" x14ac:dyDescent="0.2">
      <c r="B5" s="526"/>
      <c r="C5" s="528" t="s">
        <v>99</v>
      </c>
    </row>
    <row r="6" spans="2:3" x14ac:dyDescent="0.2">
      <c r="B6" s="469"/>
      <c r="C6" s="445" t="s">
        <v>728</v>
      </c>
    </row>
    <row r="7" spans="2:3" x14ac:dyDescent="0.2">
      <c r="B7" s="527" t="s">
        <v>92</v>
      </c>
      <c r="C7" s="447"/>
    </row>
    <row r="8" spans="2:3" x14ac:dyDescent="0.2">
      <c r="B8" s="469" t="s">
        <v>43</v>
      </c>
      <c r="C8" s="529">
        <f>'Tab. 6'!F8</f>
        <v>108.74965</v>
      </c>
    </row>
    <row r="9" spans="2:3" x14ac:dyDescent="0.2">
      <c r="B9" s="469" t="s">
        <v>767</v>
      </c>
      <c r="C9" s="529">
        <f>'All. 8'!C10*'Tab. 16'!C23+'All. 8'!D10*'Tab. 16'!C36</f>
        <v>4.7798531561350268</v>
      </c>
    </row>
    <row r="10" spans="2:3" x14ac:dyDescent="0.2">
      <c r="B10" s="530" t="s">
        <v>3</v>
      </c>
      <c r="C10" s="531">
        <f>SUM(C8:C9)</f>
        <v>113.52950315613504</v>
      </c>
    </row>
    <row r="11" spans="2:3" x14ac:dyDescent="0.2">
      <c r="B11" s="527" t="s">
        <v>93</v>
      </c>
      <c r="C11" s="447"/>
    </row>
    <row r="12" spans="2:3" x14ac:dyDescent="0.2">
      <c r="B12" s="469" t="s">
        <v>43</v>
      </c>
      <c r="C12" s="529">
        <f>'Tab. 6'!F17</f>
        <v>189</v>
      </c>
    </row>
    <row r="13" spans="2:3" x14ac:dyDescent="0.2">
      <c r="B13" s="469" t="s">
        <v>767</v>
      </c>
      <c r="C13" s="529">
        <f>'All. 8'!C17*'Tab. 16'!D23+'All. 8'!D17*'Tab. 16'!D36</f>
        <v>8.8464260347939145</v>
      </c>
    </row>
    <row r="14" spans="2:3" x14ac:dyDescent="0.2">
      <c r="B14" s="530" t="s">
        <v>3</v>
      </c>
      <c r="C14" s="531">
        <f>SUM(C12:C13)</f>
        <v>197.84642603479392</v>
      </c>
    </row>
    <row r="17" spans="2:8" ht="15" thickBot="1" x14ac:dyDescent="0.25"/>
    <row r="18" spans="2:8" ht="15" thickBot="1" x14ac:dyDescent="0.25">
      <c r="B18" s="542" t="s">
        <v>736</v>
      </c>
      <c r="C18" s="543"/>
      <c r="D18" s="543"/>
      <c r="E18" s="544"/>
    </row>
    <row r="19" spans="2:8" x14ac:dyDescent="0.2">
      <c r="B19" s="545"/>
      <c r="C19" s="546" t="s">
        <v>696</v>
      </c>
      <c r="D19" s="546" t="s">
        <v>697</v>
      </c>
      <c r="E19" s="547" t="s">
        <v>82</v>
      </c>
    </row>
    <row r="20" spans="2:8" x14ac:dyDescent="0.2">
      <c r="B20" s="426" t="s">
        <v>730</v>
      </c>
      <c r="C20" s="532">
        <f>'Tab. 12'!O27</f>
        <v>169627.00044968733</v>
      </c>
      <c r="D20" s="532">
        <f>+'Tab. 12'!O57</f>
        <v>19008</v>
      </c>
      <c r="E20" s="533">
        <f>SUM(C20:D20)</f>
        <v>188635.00044968733</v>
      </c>
    </row>
    <row r="21" spans="2:8" x14ac:dyDescent="0.2">
      <c r="B21" s="426" t="s">
        <v>737</v>
      </c>
      <c r="C21" s="433">
        <f>SUMIF(Tabella2[linea],'Tab. 16'!C$19,Tabella2[Costo totale])</f>
        <v>2327867.9765589996</v>
      </c>
      <c r="D21" s="433">
        <f>SUMIF(Tabella2[linea],'Tab. 16'!D$19,Tabella2[Costo totale])</f>
        <v>249539.0459073518</v>
      </c>
      <c r="E21" s="427">
        <f>SUM(C21:D21)</f>
        <v>2577407.0224663513</v>
      </c>
      <c r="G21" s="738"/>
      <c r="H21" s="736"/>
    </row>
    <row r="22" spans="2:8" x14ac:dyDescent="0.2">
      <c r="B22" s="426" t="s">
        <v>743</v>
      </c>
      <c r="C22" s="539">
        <f>C21/C20</f>
        <v>13.723451870207793</v>
      </c>
      <c r="D22" s="539">
        <f t="shared" ref="D22" si="0">D21/D20</f>
        <v>13.128106371388457</v>
      </c>
      <c r="E22" s="540"/>
    </row>
    <row r="23" spans="2:8" x14ac:dyDescent="0.2">
      <c r="B23" s="426" t="s">
        <v>744</v>
      </c>
      <c r="C23" s="538">
        <f>C21/(C20*60)</f>
        <v>0.22872419783679654</v>
      </c>
      <c r="D23" s="538">
        <f t="shared" ref="D23" si="1">D21/(D20*60)</f>
        <v>0.21880177285647429</v>
      </c>
      <c r="E23" s="541"/>
    </row>
    <row r="24" spans="2:8" x14ac:dyDescent="0.2">
      <c r="B24" s="426"/>
      <c r="C24" s="432"/>
      <c r="D24" s="432"/>
      <c r="E24" s="456"/>
    </row>
    <row r="25" spans="2:8" x14ac:dyDescent="0.2">
      <c r="B25" s="426" t="s">
        <v>738</v>
      </c>
      <c r="C25" s="532">
        <f>'Tab. 12'!O9</f>
        <v>666082.12060847704</v>
      </c>
      <c r="D25" s="532">
        <f>'Tab. 12'!O52</f>
        <v>42358.371125483332</v>
      </c>
      <c r="E25" s="533">
        <f t="shared" ref="E25:E26" si="2">SUM(C25:D25)</f>
        <v>708440.49173396034</v>
      </c>
    </row>
    <row r="26" spans="2:8" x14ac:dyDescent="0.2">
      <c r="B26" s="426" t="s">
        <v>707</v>
      </c>
      <c r="C26" s="532">
        <f>'Tab. 12'!O23</f>
        <v>166520.53015211926</v>
      </c>
      <c r="D26" s="532">
        <f>'Tab. 12'!O53</f>
        <v>16943.348450193334</v>
      </c>
      <c r="E26" s="533">
        <f t="shared" si="2"/>
        <v>183463.87860231259</v>
      </c>
    </row>
    <row r="27" spans="2:8" x14ac:dyDescent="0.2">
      <c r="B27" s="426"/>
      <c r="C27" s="432"/>
      <c r="D27" s="432"/>
      <c r="E27" s="456"/>
    </row>
    <row r="28" spans="2:8" x14ac:dyDescent="0.2">
      <c r="B28" s="426" t="s">
        <v>739</v>
      </c>
      <c r="C28" s="433">
        <f>C22*C26</f>
        <v>2285236.4809440942</v>
      </c>
      <c r="D28" s="433">
        <f>D22*D26</f>
        <v>222434.08074163785</v>
      </c>
      <c r="E28" s="427">
        <f t="shared" ref="E28:E29" si="3">SUM(C28:D28)</f>
        <v>2507670.5616857321</v>
      </c>
    </row>
    <row r="29" spans="2:8" ht="15" thickBot="1" x14ac:dyDescent="0.25">
      <c r="B29" s="535" t="s">
        <v>740</v>
      </c>
      <c r="C29" s="460">
        <f>C22*(C20-C26)</f>
        <v>42631.495614905492</v>
      </c>
      <c r="D29" s="460">
        <f>D22*(D20-D26)</f>
        <v>27104.965165713937</v>
      </c>
      <c r="E29" s="463">
        <f t="shared" si="3"/>
        <v>69736.460780619425</v>
      </c>
    </row>
    <row r="30" spans="2:8" ht="15" thickBot="1" x14ac:dyDescent="0.25"/>
    <row r="31" spans="2:8" ht="15" thickBot="1" x14ac:dyDescent="0.25">
      <c r="B31" s="542" t="s">
        <v>741</v>
      </c>
      <c r="C31" s="543"/>
      <c r="D31" s="543"/>
      <c r="E31" s="544"/>
    </row>
    <row r="32" spans="2:8" x14ac:dyDescent="0.2">
      <c r="B32" s="545"/>
      <c r="C32" s="546" t="s">
        <v>696</v>
      </c>
      <c r="D32" s="546" t="s">
        <v>697</v>
      </c>
      <c r="E32" s="547" t="s">
        <v>82</v>
      </c>
    </row>
    <row r="33" spans="2:6" x14ac:dyDescent="0.2">
      <c r="B33" s="426" t="s">
        <v>730</v>
      </c>
      <c r="C33" s="532">
        <f>'Tab. 13'!O26</f>
        <v>15696</v>
      </c>
      <c r="D33" s="532">
        <f>+'Tab. 13'!O48</f>
        <v>3488</v>
      </c>
      <c r="E33" s="533">
        <f>SUM(C33:D33)</f>
        <v>19184</v>
      </c>
    </row>
    <row r="34" spans="2:6" x14ac:dyDescent="0.2">
      <c r="B34" s="426" t="s">
        <v>742</v>
      </c>
      <c r="C34" s="609">
        <f>'Tab. 15'!E30</f>
        <v>977250</v>
      </c>
      <c r="D34" s="609">
        <f>'Tab. 15'!F30</f>
        <v>342000</v>
      </c>
      <c r="E34" s="610">
        <f>SUM(C34:D34)</f>
        <v>1319250</v>
      </c>
    </row>
    <row r="35" spans="2:6" x14ac:dyDescent="0.2">
      <c r="B35" s="426" t="s">
        <v>746</v>
      </c>
      <c r="C35" s="539">
        <f>C34/C33</f>
        <v>62.261085626911317</v>
      </c>
      <c r="D35" s="539">
        <f t="shared" ref="D35" si="4">D34/D33</f>
        <v>98.050458715596335</v>
      </c>
      <c r="E35" s="540"/>
    </row>
    <row r="36" spans="2:6" x14ac:dyDescent="0.2">
      <c r="B36" s="426" t="s">
        <v>745</v>
      </c>
      <c r="C36" s="538">
        <f>C34/(C33*60)</f>
        <v>1.037684760448522</v>
      </c>
      <c r="D36" s="538">
        <f t="shared" ref="D36" si="5">D34/(D33*60)</f>
        <v>1.6341743119266054</v>
      </c>
      <c r="E36" s="541"/>
    </row>
    <row r="37" spans="2:6" x14ac:dyDescent="0.2">
      <c r="B37" s="426"/>
      <c r="C37" s="432"/>
      <c r="D37" s="432"/>
      <c r="E37" s="456"/>
    </row>
    <row r="38" spans="2:6" x14ac:dyDescent="0.2">
      <c r="B38" s="426" t="s">
        <v>738</v>
      </c>
      <c r="C38" s="532">
        <f>+C25</f>
        <v>666082.12060847704</v>
      </c>
      <c r="D38" s="532">
        <f>+D25</f>
        <v>42358.371125483332</v>
      </c>
      <c r="E38" s="533">
        <f t="shared" ref="E38:E39" si="6">SUM(C38:D38)</f>
        <v>708440.49173396034</v>
      </c>
    </row>
    <row r="39" spans="2:6" x14ac:dyDescent="0.2">
      <c r="B39" s="426" t="s">
        <v>707</v>
      </c>
      <c r="C39" s="532">
        <f>+'Tab. 13'!O22</f>
        <v>14431.779279850338</v>
      </c>
      <c r="D39" s="532">
        <f>+'Tab. 13'!O44</f>
        <v>1553.1402746010558</v>
      </c>
      <c r="E39" s="533">
        <f t="shared" si="6"/>
        <v>15984.919554451393</v>
      </c>
    </row>
    <row r="40" spans="2:6" x14ac:dyDescent="0.2">
      <c r="B40" s="426"/>
      <c r="C40" s="432"/>
      <c r="D40" s="432"/>
      <c r="E40" s="456"/>
    </row>
    <row r="41" spans="2:6" x14ac:dyDescent="0.2">
      <c r="B41" s="426" t="s">
        <v>749</v>
      </c>
      <c r="C41" s="433">
        <f>C35*C39</f>
        <v>898538.24549144646</v>
      </c>
      <c r="D41" s="433">
        <f>D35*D39</f>
        <v>152286.11637430076</v>
      </c>
      <c r="E41" s="427">
        <f t="shared" ref="E41:E42" si="7">SUM(C41:D41)</f>
        <v>1050824.3618657473</v>
      </c>
    </row>
    <row r="42" spans="2:6" ht="15" thickBot="1" x14ac:dyDescent="0.25">
      <c r="B42" s="535" t="s">
        <v>750</v>
      </c>
      <c r="C42" s="460">
        <f>C35*(C33-C39)</f>
        <v>78711.754508553611</v>
      </c>
      <c r="D42" s="460">
        <f>D35*(D33-D39)</f>
        <v>189713.88362569924</v>
      </c>
      <c r="E42" s="463">
        <f t="shared" si="7"/>
        <v>268425.63813425286</v>
      </c>
    </row>
    <row r="43" spans="2:6" ht="15" thickBot="1" x14ac:dyDescent="0.25"/>
    <row r="44" spans="2:6" ht="15" thickBot="1" x14ac:dyDescent="0.25">
      <c r="B44" s="619" t="s">
        <v>775</v>
      </c>
      <c r="C44" s="620">
        <f>+C29+C42</f>
        <v>121343.2501234591</v>
      </c>
      <c r="D44" s="620">
        <f t="shared" ref="D44:E44" si="8">+D29+D42</f>
        <v>216818.84879141318</v>
      </c>
      <c r="E44" s="621">
        <f t="shared" si="8"/>
        <v>338162.09891487227</v>
      </c>
    </row>
    <row r="46" spans="2:6" x14ac:dyDescent="0.2">
      <c r="E46" s="737"/>
      <c r="F46" s="736"/>
    </row>
    <row r="47" spans="2:6" x14ac:dyDescent="0.2">
      <c r="E47" s="737"/>
      <c r="F47" s="736"/>
    </row>
    <row r="48" spans="2:6" x14ac:dyDescent="0.2">
      <c r="F48" s="73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>
    <pageSetUpPr fitToPage="1"/>
  </sheetPr>
  <dimension ref="B1:S34"/>
  <sheetViews>
    <sheetView showGridLines="0" zoomScale="180" zoomScaleNormal="180" workbookViewId="0">
      <selection activeCell="E27" sqref="E27"/>
    </sheetView>
  </sheetViews>
  <sheetFormatPr baseColWidth="10" defaultRowHeight="16" x14ac:dyDescent="0.2"/>
  <cols>
    <col min="1" max="1" width="2" style="4" customWidth="1"/>
    <col min="2" max="2" width="18.83203125" style="4" customWidth="1"/>
    <col min="3" max="3" width="8.1640625" style="4" customWidth="1"/>
    <col min="4" max="4" width="7.5" style="4" customWidth="1"/>
    <col min="5" max="5" width="13.5" style="4" customWidth="1"/>
    <col min="6" max="6" width="7.83203125" style="4" bestFit="1" customWidth="1"/>
    <col min="7" max="7" width="7.5" style="4" customWidth="1"/>
    <col min="8" max="8" width="13.6640625" style="4" customWidth="1"/>
    <col min="9" max="10" width="7.5" style="4" customWidth="1"/>
    <col min="11" max="11" width="13.83203125" style="4" customWidth="1"/>
    <col min="12" max="12" width="11.33203125" style="4" customWidth="1"/>
    <col min="13" max="13" width="7.5" style="4" customWidth="1"/>
    <col min="14" max="14" width="14.5" style="4" customWidth="1"/>
    <col min="15" max="15" width="5" style="4" customWidth="1"/>
    <col min="16" max="19" width="8.1640625" style="4" customWidth="1"/>
    <col min="20" max="16384" width="10.83203125" style="4"/>
  </cols>
  <sheetData>
    <row r="1" spans="2:19" x14ac:dyDescent="0.2">
      <c r="B1" s="84" t="s">
        <v>129</v>
      </c>
    </row>
    <row r="2" spans="2:19" ht="17" thickBot="1" x14ac:dyDescent="0.25"/>
    <row r="3" spans="2:19" x14ac:dyDescent="0.2">
      <c r="B3" s="765"/>
      <c r="C3" s="779" t="s">
        <v>73</v>
      </c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8"/>
      <c r="P3" s="776" t="s">
        <v>98</v>
      </c>
      <c r="Q3" s="777"/>
      <c r="R3" s="777"/>
      <c r="S3" s="778"/>
    </row>
    <row r="4" spans="2:19" x14ac:dyDescent="0.2">
      <c r="B4" s="766"/>
      <c r="C4" s="772" t="s">
        <v>95</v>
      </c>
      <c r="D4" s="773"/>
      <c r="E4" s="774"/>
      <c r="F4" s="772" t="s">
        <v>96</v>
      </c>
      <c r="G4" s="773"/>
      <c r="H4" s="774"/>
      <c r="I4" s="772" t="s">
        <v>97</v>
      </c>
      <c r="J4" s="773"/>
      <c r="K4" s="774"/>
      <c r="L4" s="772" t="s">
        <v>3</v>
      </c>
      <c r="M4" s="773"/>
      <c r="N4" s="775"/>
      <c r="P4" s="97" t="s">
        <v>90</v>
      </c>
      <c r="Q4" s="98" t="s">
        <v>91</v>
      </c>
      <c r="R4" s="98" t="s">
        <v>71</v>
      </c>
      <c r="S4" s="224" t="s">
        <v>82</v>
      </c>
    </row>
    <row r="5" spans="2:19" x14ac:dyDescent="0.2">
      <c r="B5" s="767"/>
      <c r="C5" s="209" t="s">
        <v>94</v>
      </c>
      <c r="D5" s="210" t="s">
        <v>9</v>
      </c>
      <c r="E5" s="211" t="s">
        <v>37</v>
      </c>
      <c r="F5" s="209" t="s">
        <v>94</v>
      </c>
      <c r="G5" s="210" t="s">
        <v>9</v>
      </c>
      <c r="H5" s="211" t="s">
        <v>37</v>
      </c>
      <c r="I5" s="209" t="s">
        <v>94</v>
      </c>
      <c r="J5" s="210" t="s">
        <v>9</v>
      </c>
      <c r="K5" s="211" t="s">
        <v>37</v>
      </c>
      <c r="L5" s="209" t="s">
        <v>94</v>
      </c>
      <c r="M5" s="210" t="s">
        <v>9</v>
      </c>
      <c r="N5" s="215" t="s">
        <v>37</v>
      </c>
      <c r="P5" s="97" t="s">
        <v>37</v>
      </c>
      <c r="Q5" s="98" t="s">
        <v>37</v>
      </c>
      <c r="R5" s="98" t="s">
        <v>37</v>
      </c>
      <c r="S5" s="224" t="s">
        <v>37</v>
      </c>
    </row>
    <row r="6" spans="2:19" x14ac:dyDescent="0.2">
      <c r="B6" s="216" t="s">
        <v>92</v>
      </c>
      <c r="C6" s="212">
        <f>+E6/D6</f>
        <v>151632.33333333334</v>
      </c>
      <c r="D6" s="213">
        <f>+'Tab 0'!$B33</f>
        <v>180</v>
      </c>
      <c r="E6" s="214">
        <f>+E$8*P6</f>
        <v>27293820</v>
      </c>
      <c r="F6" s="212">
        <f>+H6/G6</f>
        <v>441371.11111111112</v>
      </c>
      <c r="G6" s="213">
        <f>+'Tab 0'!$B33</f>
        <v>180</v>
      </c>
      <c r="H6" s="214">
        <f>+H$8*Q6</f>
        <v>79446800</v>
      </c>
      <c r="I6" s="212">
        <f>+K6/J6</f>
        <v>5125.6000000000004</v>
      </c>
      <c r="J6" s="213">
        <f>+'Tab 0'!$B33</f>
        <v>180</v>
      </c>
      <c r="K6" s="214">
        <f>+K$8*R6</f>
        <v>922608</v>
      </c>
      <c r="L6" s="212">
        <f t="shared" ref="L6:N7" si="0">+C6+F6+I6</f>
        <v>598129.04444444447</v>
      </c>
      <c r="M6" s="213">
        <f>+N6/L6</f>
        <v>180</v>
      </c>
      <c r="N6" s="217">
        <f t="shared" si="0"/>
        <v>107663228</v>
      </c>
      <c r="P6" s="231">
        <f>+'Tab 0'!B37</f>
        <v>0.71</v>
      </c>
      <c r="Q6" s="228">
        <f>+'Tab 0'!C37</f>
        <v>1</v>
      </c>
      <c r="R6" s="228">
        <f>+'Tab 0'!D37</f>
        <v>0.09</v>
      </c>
      <c r="S6" s="225">
        <f>N6/N$8</f>
        <v>0.84019999999999995</v>
      </c>
    </row>
    <row r="7" spans="2:19" x14ac:dyDescent="0.2">
      <c r="B7" s="89" t="s">
        <v>93</v>
      </c>
      <c r="C7" s="39">
        <f>+E7/D7</f>
        <v>22296.360000000004</v>
      </c>
      <c r="D7" s="91">
        <f>+'Tab 0'!$B34</f>
        <v>500</v>
      </c>
      <c r="E7" s="69">
        <f>+E$8*P7</f>
        <v>11148180.000000002</v>
      </c>
      <c r="F7" s="39">
        <f>+H7/G7</f>
        <v>0</v>
      </c>
      <c r="G7" s="91">
        <f>+'Tab 0'!$B34</f>
        <v>500</v>
      </c>
      <c r="H7" s="69">
        <f>+H$8*Q7</f>
        <v>0</v>
      </c>
      <c r="I7" s="39">
        <f>+K7/J7</f>
        <v>18657.184000000001</v>
      </c>
      <c r="J7" s="91">
        <f>+'Tab 0'!$B34</f>
        <v>500</v>
      </c>
      <c r="K7" s="69">
        <f>+K$8*R7</f>
        <v>9328592</v>
      </c>
      <c r="L7" s="39">
        <f t="shared" si="0"/>
        <v>40953.544000000009</v>
      </c>
      <c r="M7" s="91">
        <f>+N7/L7</f>
        <v>499.99999999999989</v>
      </c>
      <c r="N7" s="218">
        <f t="shared" si="0"/>
        <v>20476772</v>
      </c>
      <c r="P7" s="231">
        <f>+'Tab 0'!B38</f>
        <v>0.29000000000000004</v>
      </c>
      <c r="Q7" s="228">
        <f>+'Tab 0'!C38</f>
        <v>0</v>
      </c>
      <c r="R7" s="228">
        <f>+'Tab 0'!D38</f>
        <v>0.91</v>
      </c>
      <c r="S7" s="225">
        <f>N7/N$8</f>
        <v>0.1598</v>
      </c>
    </row>
    <row r="8" spans="2:19" ht="17" thickBot="1" x14ac:dyDescent="0.25">
      <c r="B8" s="219" t="s">
        <v>3</v>
      </c>
      <c r="C8" s="220"/>
      <c r="D8" s="221"/>
      <c r="E8" s="222">
        <f>+'Tab 1'!C11</f>
        <v>38442000</v>
      </c>
      <c r="F8" s="220"/>
      <c r="G8" s="221"/>
      <c r="H8" s="222">
        <f>+'Tab 1'!D11</f>
        <v>79446800</v>
      </c>
      <c r="I8" s="220"/>
      <c r="J8" s="221"/>
      <c r="K8" s="222">
        <f>+'Tab 1'!E11</f>
        <v>10251200</v>
      </c>
      <c r="L8" s="220"/>
      <c r="M8" s="221"/>
      <c r="N8" s="223">
        <f>+E8+H8+K8</f>
        <v>128140000</v>
      </c>
      <c r="P8" s="230"/>
      <c r="Q8" s="226"/>
      <c r="R8" s="226"/>
      <c r="S8" s="227"/>
    </row>
    <row r="10" spans="2:19" ht="17" thickBot="1" x14ac:dyDescent="0.25"/>
    <row r="11" spans="2:19" x14ac:dyDescent="0.2">
      <c r="B11" s="765"/>
      <c r="C11" s="768" t="s">
        <v>99</v>
      </c>
      <c r="D11" s="769"/>
      <c r="E11" s="769"/>
      <c r="F11" s="769"/>
      <c r="G11" s="769"/>
      <c r="H11" s="769"/>
      <c r="I11" s="769"/>
      <c r="J11" s="769"/>
      <c r="K11" s="769"/>
      <c r="L11" s="769"/>
      <c r="M11" s="769"/>
      <c r="N11" s="770"/>
      <c r="P11" s="771" t="s">
        <v>98</v>
      </c>
      <c r="Q11" s="769"/>
      <c r="R11" s="769"/>
      <c r="S11" s="770"/>
    </row>
    <row r="12" spans="2:19" x14ac:dyDescent="0.2">
      <c r="B12" s="766"/>
      <c r="C12" s="772" t="s">
        <v>95</v>
      </c>
      <c r="D12" s="773"/>
      <c r="E12" s="774"/>
      <c r="F12" s="772" t="s">
        <v>96</v>
      </c>
      <c r="G12" s="773"/>
      <c r="H12" s="774"/>
      <c r="I12" s="772" t="s">
        <v>97</v>
      </c>
      <c r="J12" s="773"/>
      <c r="K12" s="774"/>
      <c r="L12" s="772" t="s">
        <v>3</v>
      </c>
      <c r="M12" s="773"/>
      <c r="N12" s="775"/>
      <c r="P12" s="97" t="s">
        <v>90</v>
      </c>
      <c r="Q12" s="98" t="s">
        <v>91</v>
      </c>
      <c r="R12" s="98" t="s">
        <v>71</v>
      </c>
      <c r="S12" s="224" t="s">
        <v>82</v>
      </c>
    </row>
    <row r="13" spans="2:19" x14ac:dyDescent="0.2">
      <c r="B13" s="767"/>
      <c r="C13" s="209" t="s">
        <v>94</v>
      </c>
      <c r="D13" s="210" t="s">
        <v>9</v>
      </c>
      <c r="E13" s="211" t="s">
        <v>37</v>
      </c>
      <c r="F13" s="209" t="s">
        <v>94</v>
      </c>
      <c r="G13" s="210" t="s">
        <v>9</v>
      </c>
      <c r="H13" s="211" t="s">
        <v>37</v>
      </c>
      <c r="I13" s="209" t="s">
        <v>94</v>
      </c>
      <c r="J13" s="210" t="s">
        <v>9</v>
      </c>
      <c r="K13" s="211" t="s">
        <v>37</v>
      </c>
      <c r="L13" s="209" t="s">
        <v>94</v>
      </c>
      <c r="M13" s="210" t="s">
        <v>9</v>
      </c>
      <c r="N13" s="215" t="s">
        <v>37</v>
      </c>
      <c r="P13" s="97" t="s">
        <v>37</v>
      </c>
      <c r="Q13" s="98" t="s">
        <v>37</v>
      </c>
      <c r="R13" s="98" t="s">
        <v>37</v>
      </c>
      <c r="S13" s="224" t="s">
        <v>37</v>
      </c>
    </row>
    <row r="14" spans="2:19" x14ac:dyDescent="0.2">
      <c r="B14" s="216" t="s">
        <v>92</v>
      </c>
      <c r="C14" s="212">
        <f>+E14/D14</f>
        <v>246271.12927419352</v>
      </c>
      <c r="D14" s="213">
        <f>+D6</f>
        <v>180</v>
      </c>
      <c r="E14" s="214">
        <f>+E$16*P14</f>
        <v>44328803.269354835</v>
      </c>
      <c r="F14" s="212">
        <f>+H14/G14</f>
        <v>432543.68888888886</v>
      </c>
      <c r="G14" s="213">
        <f>+G6</f>
        <v>180</v>
      </c>
      <c r="H14" s="214">
        <f>+H$16*Q14</f>
        <v>77857864</v>
      </c>
      <c r="I14" s="212">
        <f>+K14/J14</f>
        <v>3833.3333333333367</v>
      </c>
      <c r="J14" s="213">
        <f>+J6</f>
        <v>180</v>
      </c>
      <c r="K14" s="214">
        <f>+K$16*R14</f>
        <v>690000.00000000058</v>
      </c>
      <c r="L14" s="212">
        <f t="shared" ref="L14:L15" si="1">+C14+F14+I14</f>
        <v>682648.15149641572</v>
      </c>
      <c r="M14" s="213">
        <f>+N14/L14</f>
        <v>180</v>
      </c>
      <c r="N14" s="217">
        <f t="shared" ref="N14:N15" si="2">+E14+H14+K14</f>
        <v>122876667.26935484</v>
      </c>
      <c r="P14" s="232">
        <v>0.85</v>
      </c>
      <c r="Q14" s="228">
        <f>+Q6</f>
        <v>1</v>
      </c>
      <c r="R14" s="228">
        <f>1-R15</f>
        <v>5.0000000000000044E-2</v>
      </c>
      <c r="S14" s="225">
        <f>N14/N$8</f>
        <v>0.95892513867141282</v>
      </c>
    </row>
    <row r="15" spans="2:19" x14ac:dyDescent="0.2">
      <c r="B15" s="89" t="s">
        <v>93</v>
      </c>
      <c r="C15" s="39">
        <f>+E15/D15</f>
        <v>15645.459977419358</v>
      </c>
      <c r="D15" s="91">
        <f>+D7</f>
        <v>500</v>
      </c>
      <c r="E15" s="69">
        <f>+E$16*P15</f>
        <v>7822729.9887096789</v>
      </c>
      <c r="F15" s="39">
        <f>+H15/G15</f>
        <v>0</v>
      </c>
      <c r="G15" s="91">
        <f>+G7</f>
        <v>500</v>
      </c>
      <c r="H15" s="69">
        <f>+H$16*Q15</f>
        <v>0</v>
      </c>
      <c r="I15" s="39">
        <f>+K15/J15</f>
        <v>26220</v>
      </c>
      <c r="J15" s="91">
        <f>+J7</f>
        <v>500</v>
      </c>
      <c r="K15" s="69">
        <f>+K$16*R15</f>
        <v>13110000</v>
      </c>
      <c r="L15" s="39">
        <f t="shared" si="1"/>
        <v>41865.459977419356</v>
      </c>
      <c r="M15" s="91">
        <f>+N15/L15</f>
        <v>500.00000000000006</v>
      </c>
      <c r="N15" s="218">
        <f t="shared" si="2"/>
        <v>20932729.988709681</v>
      </c>
      <c r="P15" s="231">
        <f>1-P14</f>
        <v>0.15000000000000002</v>
      </c>
      <c r="Q15" s="228">
        <f>+Q7</f>
        <v>0</v>
      </c>
      <c r="R15" s="229">
        <v>0.95</v>
      </c>
      <c r="S15" s="225">
        <f>N15/N$8</f>
        <v>0.16335827991813393</v>
      </c>
    </row>
    <row r="16" spans="2:19" ht="17" thickBot="1" x14ac:dyDescent="0.25">
      <c r="B16" s="219" t="s">
        <v>3</v>
      </c>
      <c r="C16" s="220"/>
      <c r="D16" s="221"/>
      <c r="E16" s="222">
        <f>+'Tab 1'!G11</f>
        <v>52151533.258064516</v>
      </c>
      <c r="F16" s="220"/>
      <c r="G16" s="221"/>
      <c r="H16" s="222">
        <f>+'Tab 1'!H11</f>
        <v>77857864</v>
      </c>
      <c r="I16" s="220"/>
      <c r="J16" s="221"/>
      <c r="K16" s="222">
        <f>+'Tab 1'!I11</f>
        <v>13800000</v>
      </c>
      <c r="L16" s="220"/>
      <c r="M16" s="221"/>
      <c r="N16" s="223">
        <f>+E16+H16+K16</f>
        <v>143809397.25806451</v>
      </c>
      <c r="P16" s="230"/>
      <c r="Q16" s="226"/>
      <c r="R16" s="226"/>
      <c r="S16" s="227"/>
    </row>
    <row r="18" spans="2:19" x14ac:dyDescent="0.2">
      <c r="B18" s="4" t="s">
        <v>92</v>
      </c>
    </row>
    <row r="19" spans="2:19" x14ac:dyDescent="0.2">
      <c r="B19" s="4" t="s">
        <v>915</v>
      </c>
      <c r="E19" s="81">
        <f>+E14-E20</f>
        <v>44138803.269354835</v>
      </c>
    </row>
    <row r="20" spans="2:19" x14ac:dyDescent="0.2">
      <c r="B20" s="4" t="s">
        <v>916</v>
      </c>
      <c r="E20" s="61">
        <f>'Tab. 18'!I132</f>
        <v>190000</v>
      </c>
    </row>
    <row r="21" spans="2:19" x14ac:dyDescent="0.2">
      <c r="B21" s="4" t="s">
        <v>917</v>
      </c>
      <c r="E21" s="95">
        <f>IFERROR((E19-E6)/E6,0)</f>
        <v>0.61717206566742344</v>
      </c>
      <c r="H21" s="95">
        <f>IFERROR((H14-H6)/H6,0)</f>
        <v>-0.02</v>
      </c>
      <c r="K21" s="95">
        <f>IFERROR((K14-K6)/K6,0)</f>
        <v>-0.25212007699911493</v>
      </c>
      <c r="N21" s="95">
        <f>IFERROR((N14-N6)/N6,0)</f>
        <v>0.14130580655964389</v>
      </c>
    </row>
    <row r="22" spans="2:19" x14ac:dyDescent="0.2">
      <c r="E22" s="95"/>
      <c r="H22" s="95"/>
      <c r="K22" s="95"/>
      <c r="N22" s="95"/>
    </row>
    <row r="23" spans="2:19" x14ac:dyDescent="0.2">
      <c r="B23" s="4" t="s">
        <v>93</v>
      </c>
      <c r="E23" s="95"/>
      <c r="H23" s="95"/>
      <c r="K23" s="95"/>
      <c r="N23" s="95"/>
    </row>
    <row r="24" spans="2:19" x14ac:dyDescent="0.2">
      <c r="B24" s="4" t="s">
        <v>915</v>
      </c>
      <c r="E24" s="81">
        <f>+E15-E25</f>
        <v>7789729.9887096789</v>
      </c>
      <c r="H24" s="95"/>
      <c r="K24" s="95"/>
      <c r="N24" s="95"/>
    </row>
    <row r="25" spans="2:19" x14ac:dyDescent="0.2">
      <c r="B25" s="4" t="s">
        <v>916</v>
      </c>
      <c r="E25" s="61">
        <f>+'Tab. 18'!J132</f>
        <v>33000</v>
      </c>
      <c r="H25" s="95"/>
      <c r="K25" s="95"/>
      <c r="N25" s="95"/>
    </row>
    <row r="26" spans="2:19" x14ac:dyDescent="0.2">
      <c r="B26" s="4" t="s">
        <v>918</v>
      </c>
      <c r="E26" s="95">
        <f>IFERROR((E24-E7)/E7,0)</f>
        <v>-0.3012554525752475</v>
      </c>
      <c r="H26" s="95">
        <f>IFERROR((H15-H7)/H7,0)</f>
        <v>0</v>
      </c>
      <c r="K26" s="95">
        <f>IFERROR((K15-K7)/K7,0)</f>
        <v>0.40535677838627737</v>
      </c>
      <c r="N26" s="95">
        <f>IFERROR((N15-N7)/N7,0)</f>
        <v>2.2267083342515155E-2</v>
      </c>
    </row>
    <row r="27" spans="2:19" s="13" customFormat="1" x14ac:dyDescent="0.2">
      <c r="B27" s="13" t="s">
        <v>912</v>
      </c>
      <c r="E27" s="626">
        <f>IFERROR((E16-E8)/E8,0)</f>
        <v>0.35662903225806453</v>
      </c>
      <c r="H27" s="626">
        <f>IFERROR((H16-H8)/H8,0)</f>
        <v>-0.02</v>
      </c>
      <c r="K27" s="626">
        <f>IFERROR((K16-K8)/K8,0)</f>
        <v>0.34618386140159202</v>
      </c>
      <c r="N27" s="626">
        <f>IFERROR((N16-N8)/N8,0)</f>
        <v>0.12228341858954665</v>
      </c>
    </row>
    <row r="28" spans="2:19" ht="17" thickBot="1" x14ac:dyDescent="0.25"/>
    <row r="29" spans="2:19" x14ac:dyDescent="0.2">
      <c r="B29" s="765"/>
      <c r="C29" s="768" t="s">
        <v>143</v>
      </c>
      <c r="D29" s="769"/>
      <c r="E29" s="769"/>
      <c r="F29" s="769"/>
      <c r="G29" s="769"/>
      <c r="H29" s="769"/>
      <c r="I29" s="769"/>
      <c r="J29" s="769"/>
      <c r="K29" s="769"/>
      <c r="L29" s="769"/>
      <c r="M29" s="769"/>
      <c r="N29" s="770"/>
      <c r="P29" s="771" t="s">
        <v>98</v>
      </c>
      <c r="Q29" s="769"/>
      <c r="R29" s="769"/>
      <c r="S29" s="770"/>
    </row>
    <row r="30" spans="2:19" x14ac:dyDescent="0.2">
      <c r="B30" s="766"/>
      <c r="C30" s="772" t="s">
        <v>95</v>
      </c>
      <c r="D30" s="773"/>
      <c r="E30" s="774"/>
      <c r="F30" s="772" t="s">
        <v>96</v>
      </c>
      <c r="G30" s="773"/>
      <c r="H30" s="774"/>
      <c r="I30" s="772" t="s">
        <v>97</v>
      </c>
      <c r="J30" s="773"/>
      <c r="K30" s="774"/>
      <c r="L30" s="772" t="s">
        <v>3</v>
      </c>
      <c r="M30" s="773"/>
      <c r="N30" s="775"/>
      <c r="P30" s="264" t="s">
        <v>90</v>
      </c>
      <c r="Q30" s="262" t="s">
        <v>91</v>
      </c>
      <c r="R30" s="262" t="s">
        <v>71</v>
      </c>
      <c r="S30" s="263" t="s">
        <v>82</v>
      </c>
    </row>
    <row r="31" spans="2:19" x14ac:dyDescent="0.2">
      <c r="B31" s="767"/>
      <c r="C31" s="209" t="s">
        <v>94</v>
      </c>
      <c r="D31" s="210" t="s">
        <v>9</v>
      </c>
      <c r="E31" s="211" t="s">
        <v>37</v>
      </c>
      <c r="F31" s="209" t="s">
        <v>94</v>
      </c>
      <c r="G31" s="210" t="s">
        <v>9</v>
      </c>
      <c r="H31" s="211" t="s">
        <v>37</v>
      </c>
      <c r="I31" s="209" t="s">
        <v>94</v>
      </c>
      <c r="J31" s="210" t="s">
        <v>9</v>
      </c>
      <c r="K31" s="211" t="s">
        <v>37</v>
      </c>
      <c r="L31" s="209" t="s">
        <v>94</v>
      </c>
      <c r="M31" s="210" t="s">
        <v>9</v>
      </c>
      <c r="N31" s="215" t="s">
        <v>37</v>
      </c>
      <c r="P31" s="264" t="s">
        <v>37</v>
      </c>
      <c r="Q31" s="262" t="s">
        <v>37</v>
      </c>
      <c r="R31" s="262" t="s">
        <v>37</v>
      </c>
      <c r="S31" s="263" t="s">
        <v>37</v>
      </c>
    </row>
    <row r="32" spans="2:19" x14ac:dyDescent="0.2">
      <c r="B32" s="216" t="s">
        <v>92</v>
      </c>
      <c r="C32" s="212">
        <f>+E32/D32</f>
        <v>251196.55185967742</v>
      </c>
      <c r="D32" s="213">
        <f>+D14</f>
        <v>180</v>
      </c>
      <c r="E32" s="214">
        <f>+E$34*P32</f>
        <v>45215379.334741935</v>
      </c>
      <c r="F32" s="212">
        <f>+H32/G32</f>
        <v>415241.94133333332</v>
      </c>
      <c r="G32" s="213">
        <f>+G14</f>
        <v>180</v>
      </c>
      <c r="H32" s="214">
        <f>+H$34*Q32</f>
        <v>74743549.439999998</v>
      </c>
      <c r="I32" s="212">
        <f>+K32/J32</f>
        <v>4140.0000000000036</v>
      </c>
      <c r="J32" s="213">
        <f>+J14</f>
        <v>180</v>
      </c>
      <c r="K32" s="214">
        <f>+K$34*R32</f>
        <v>745200.0000000007</v>
      </c>
      <c r="L32" s="212">
        <f t="shared" ref="L32:L33" si="3">+C32+F32+I32</f>
        <v>670578.4931930108</v>
      </c>
      <c r="M32" s="213">
        <f>+N32/L32</f>
        <v>179.99999999999997</v>
      </c>
      <c r="N32" s="217">
        <f t="shared" ref="N32:N33" si="4">+E32+H32+K32</f>
        <v>120704128.77474193</v>
      </c>
      <c r="P32" s="231">
        <f t="shared" ref="P32:R33" si="5">+P14</f>
        <v>0.85</v>
      </c>
      <c r="Q32" s="228">
        <f t="shared" si="5"/>
        <v>1</v>
      </c>
      <c r="R32" s="228">
        <f t="shared" si="5"/>
        <v>5.0000000000000044E-2</v>
      </c>
      <c r="S32" s="225">
        <f>N32/N$8</f>
        <v>0.94197072557157746</v>
      </c>
    </row>
    <row r="33" spans="2:19" x14ac:dyDescent="0.2">
      <c r="B33" s="89" t="s">
        <v>93</v>
      </c>
      <c r="C33" s="39">
        <f>+E33/D33</f>
        <v>15958.369176967744</v>
      </c>
      <c r="D33" s="91">
        <f>+D15</f>
        <v>500</v>
      </c>
      <c r="E33" s="69">
        <f>+E$34*P33</f>
        <v>7979184.5884838719</v>
      </c>
      <c r="F33" s="39">
        <f>+H33/G33</f>
        <v>0</v>
      </c>
      <c r="G33" s="91">
        <f>+G15</f>
        <v>500</v>
      </c>
      <c r="H33" s="69">
        <f>+H$34*Q33</f>
        <v>0</v>
      </c>
      <c r="I33" s="39">
        <f>+K33/J33</f>
        <v>28317.599999999999</v>
      </c>
      <c r="J33" s="91">
        <f>+J15</f>
        <v>500</v>
      </c>
      <c r="K33" s="69">
        <f>+K$34*R33</f>
        <v>14158800</v>
      </c>
      <c r="L33" s="39">
        <f t="shared" si="3"/>
        <v>44275.969176967745</v>
      </c>
      <c r="M33" s="91">
        <f>+N33/L33</f>
        <v>499.99999999999994</v>
      </c>
      <c r="N33" s="218">
        <f t="shared" si="4"/>
        <v>22137984.58848387</v>
      </c>
      <c r="P33" s="231">
        <f t="shared" si="5"/>
        <v>0.15000000000000002</v>
      </c>
      <c r="Q33" s="228">
        <f t="shared" si="5"/>
        <v>0</v>
      </c>
      <c r="R33" s="228">
        <f t="shared" si="5"/>
        <v>0.95</v>
      </c>
      <c r="S33" s="225">
        <f>N33/N$8</f>
        <v>0.17276404392448783</v>
      </c>
    </row>
    <row r="34" spans="2:19" ht="17" thickBot="1" x14ac:dyDescent="0.25">
      <c r="B34" s="219" t="s">
        <v>3</v>
      </c>
      <c r="C34" s="220"/>
      <c r="D34" s="221"/>
      <c r="E34" s="222">
        <f>+'Tab 1'!Q11</f>
        <v>53194563.923225805</v>
      </c>
      <c r="F34" s="220"/>
      <c r="G34" s="221"/>
      <c r="H34" s="222">
        <f>+'Tab 1'!R11</f>
        <v>74743549.439999998</v>
      </c>
      <c r="I34" s="220"/>
      <c r="J34" s="221"/>
      <c r="K34" s="222">
        <f>+'Tab 1'!S11</f>
        <v>14904000</v>
      </c>
      <c r="L34" s="220"/>
      <c r="M34" s="221"/>
      <c r="N34" s="223">
        <f>+E34+H34+K34</f>
        <v>142842113.36322582</v>
      </c>
      <c r="P34" s="230"/>
      <c r="Q34" s="226"/>
      <c r="R34" s="226"/>
      <c r="S34" s="227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29:B31"/>
    <mergeCell ref="C29:N29"/>
    <mergeCell ref="P29:S29"/>
    <mergeCell ref="C30:E30"/>
    <mergeCell ref="F30:H30"/>
    <mergeCell ref="I30:K30"/>
    <mergeCell ref="L30:N30"/>
  </mergeCells>
  <pageMargins left="0.7" right="0.7" top="0.75" bottom="0.75" header="0.3" footer="0.3"/>
  <pageSetup paperSize="9" scale="76" orientation="landscape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C5F4-CC89-D343-9601-F79C621C5224}">
  <dimension ref="B2:E48"/>
  <sheetViews>
    <sheetView showGridLines="0" topLeftCell="A16" zoomScale="200" zoomScaleNormal="200" workbookViewId="0">
      <selection activeCell="B35" sqref="B35"/>
    </sheetView>
  </sheetViews>
  <sheetFormatPr baseColWidth="10" defaultRowHeight="14" x14ac:dyDescent="0.2"/>
  <cols>
    <col min="1" max="1" width="10.83203125" style="3"/>
    <col min="2" max="2" width="26" style="3" customWidth="1"/>
    <col min="3" max="5" width="12.1640625" style="3" customWidth="1"/>
    <col min="6" max="16384" width="10.83203125" style="3"/>
  </cols>
  <sheetData>
    <row r="2" spans="2:3" x14ac:dyDescent="0.2">
      <c r="B2" s="3" t="s">
        <v>766</v>
      </c>
    </row>
    <row r="4" spans="2:3" x14ac:dyDescent="0.2">
      <c r="B4" s="526"/>
      <c r="C4" s="528" t="s">
        <v>99</v>
      </c>
    </row>
    <row r="5" spans="2:3" x14ac:dyDescent="0.2">
      <c r="B5" s="469"/>
      <c r="C5" s="445" t="s">
        <v>728</v>
      </c>
    </row>
    <row r="6" spans="2:3" x14ac:dyDescent="0.2">
      <c r="B6" s="527" t="s">
        <v>92</v>
      </c>
      <c r="C6" s="447"/>
    </row>
    <row r="7" spans="2:3" x14ac:dyDescent="0.2">
      <c r="B7" s="469" t="s">
        <v>43</v>
      </c>
      <c r="C7" s="529">
        <f>'Tab. 14'!C8</f>
        <v>108.74965</v>
      </c>
    </row>
    <row r="8" spans="2:3" x14ac:dyDescent="0.2">
      <c r="B8" s="469" t="s">
        <v>727</v>
      </c>
      <c r="C8" s="529">
        <f>'Tab. 14'!C9</f>
        <v>0.40663326317397175</v>
      </c>
    </row>
    <row r="9" spans="2:3" x14ac:dyDescent="0.2">
      <c r="B9" s="469" t="s">
        <v>767</v>
      </c>
      <c r="C9" s="529">
        <f>'Tab. 16'!C9</f>
        <v>4.7798531561350268</v>
      </c>
    </row>
    <row r="10" spans="2:3" x14ac:dyDescent="0.2">
      <c r="B10" s="469" t="s">
        <v>768</v>
      </c>
      <c r="C10" s="529">
        <f>'All. 8'!C10*'Tab. 17'!C26+'All. 8'!D10*'Tab. 17'!C40</f>
        <v>1.3306728055088306</v>
      </c>
    </row>
    <row r="11" spans="2:3" x14ac:dyDescent="0.2">
      <c r="B11" s="530" t="s">
        <v>3</v>
      </c>
      <c r="C11" s="531">
        <f>SUM(C7:C10)</f>
        <v>115.26680922481783</v>
      </c>
    </row>
    <row r="12" spans="2:3" x14ac:dyDescent="0.2">
      <c r="B12" s="527" t="s">
        <v>93</v>
      </c>
      <c r="C12" s="447"/>
    </row>
    <row r="13" spans="2:3" x14ac:dyDescent="0.2">
      <c r="B13" s="469" t="s">
        <v>43</v>
      </c>
      <c r="C13" s="529">
        <f>'Tab. 14'!C12</f>
        <v>189</v>
      </c>
    </row>
    <row r="14" spans="2:3" x14ac:dyDescent="0.2">
      <c r="B14" s="469" t="s">
        <v>727</v>
      </c>
      <c r="C14" s="529">
        <f>'Tab. 14'!C13</f>
        <v>0.68814859921749072</v>
      </c>
    </row>
    <row r="15" spans="2:3" x14ac:dyDescent="0.2">
      <c r="B15" s="469" t="s">
        <v>767</v>
      </c>
      <c r="C15" s="529">
        <f>'Tab. 16'!C13</f>
        <v>8.8464260347939145</v>
      </c>
    </row>
    <row r="16" spans="2:3" x14ac:dyDescent="0.2">
      <c r="B16" s="469" t="s">
        <v>768</v>
      </c>
      <c r="C16" s="529">
        <f>'All. 8'!C17*'Tab. 17'!D26+'All. 8'!D17*'Tab. 17'!D40</f>
        <v>2.9453358274320811</v>
      </c>
    </row>
    <row r="17" spans="2:5" x14ac:dyDescent="0.2">
      <c r="B17" s="530" t="s">
        <v>3</v>
      </c>
      <c r="C17" s="531">
        <f>SUM(C13:C16)</f>
        <v>201.4799104614435</v>
      </c>
    </row>
    <row r="20" spans="2:5" ht="15" thickBot="1" x14ac:dyDescent="0.25"/>
    <row r="21" spans="2:5" ht="15" thickBot="1" x14ac:dyDescent="0.25">
      <c r="B21" s="542" t="s">
        <v>769</v>
      </c>
      <c r="C21" s="543"/>
      <c r="D21" s="543"/>
      <c r="E21" s="544"/>
    </row>
    <row r="22" spans="2:5" x14ac:dyDescent="0.2">
      <c r="B22" s="545"/>
      <c r="C22" s="546" t="s">
        <v>696</v>
      </c>
      <c r="D22" s="546" t="s">
        <v>697</v>
      </c>
      <c r="E22" s="547" t="s">
        <v>82</v>
      </c>
    </row>
    <row r="23" spans="2:5" x14ac:dyDescent="0.2">
      <c r="B23" s="426" t="s">
        <v>730</v>
      </c>
      <c r="C23" s="532">
        <f>'Tab. 12'!O27</f>
        <v>169627.00044968733</v>
      </c>
      <c r="D23" s="532">
        <f>+'Tab. 12'!O57</f>
        <v>19008</v>
      </c>
      <c r="E23" s="533">
        <f>SUM(C23:D23)</f>
        <v>188635.00044968733</v>
      </c>
    </row>
    <row r="24" spans="2:5" x14ac:dyDescent="0.2">
      <c r="B24" s="426" t="s">
        <v>770</v>
      </c>
      <c r="C24" s="613">
        <f>E24/E23*C23</f>
        <v>312716.37530241639</v>
      </c>
      <c r="D24" s="613">
        <f>E24/E23*D23</f>
        <v>35042.256515709596</v>
      </c>
      <c r="E24" s="614">
        <f>'Tab. 15'!G19+'Tab. 15'!H19</f>
        <v>347758.63181812596</v>
      </c>
    </row>
    <row r="25" spans="2:5" x14ac:dyDescent="0.2">
      <c r="B25" s="426" t="s">
        <v>743</v>
      </c>
      <c r="C25" s="539">
        <f>C24/C23</f>
        <v>1.8435530574342172</v>
      </c>
      <c r="D25" s="539">
        <f t="shared" ref="D25:E25" si="0">D24/D23</f>
        <v>1.8435530574342169</v>
      </c>
      <c r="E25" s="540">
        <f t="shared" si="0"/>
        <v>1.8435530574342169</v>
      </c>
    </row>
    <row r="26" spans="2:5" x14ac:dyDescent="0.2">
      <c r="B26" s="426" t="s">
        <v>744</v>
      </c>
      <c r="C26" s="538">
        <f>C24/(C23*60)</f>
        <v>3.0725884290570282E-2</v>
      </c>
      <c r="D26" s="538">
        <f t="shared" ref="D26:E26" si="1">D24/(D23*60)</f>
        <v>3.0725884290570282E-2</v>
      </c>
      <c r="E26" s="541">
        <f t="shared" si="1"/>
        <v>3.0725884290570282E-2</v>
      </c>
    </row>
    <row r="27" spans="2:5" x14ac:dyDescent="0.2">
      <c r="B27" s="426"/>
      <c r="C27" s="432"/>
      <c r="D27" s="432"/>
      <c r="E27" s="456"/>
    </row>
    <row r="28" spans="2:5" x14ac:dyDescent="0.2">
      <c r="B28" s="426" t="s">
        <v>738</v>
      </c>
      <c r="C28" s="532">
        <f>'Tab. 12'!O9</f>
        <v>666082.12060847704</v>
      </c>
      <c r="D28" s="532">
        <f>'Tab. 12'!O52</f>
        <v>42358.371125483332</v>
      </c>
      <c r="E28" s="533">
        <f t="shared" ref="E28:E29" si="2">SUM(C28:D28)</f>
        <v>708440.49173396034</v>
      </c>
    </row>
    <row r="29" spans="2:5" x14ac:dyDescent="0.2">
      <c r="B29" s="426" t="s">
        <v>707</v>
      </c>
      <c r="C29" s="532">
        <f>'Tab. 12'!O23</f>
        <v>166520.53015211926</v>
      </c>
      <c r="D29" s="532">
        <f>'Tab. 12'!O53</f>
        <v>16943.348450193334</v>
      </c>
      <c r="E29" s="533">
        <f t="shared" si="2"/>
        <v>183463.87860231259</v>
      </c>
    </row>
    <row r="30" spans="2:5" x14ac:dyDescent="0.2">
      <c r="B30" s="426"/>
      <c r="C30" s="432"/>
      <c r="D30" s="432"/>
      <c r="E30" s="456"/>
    </row>
    <row r="31" spans="2:5" x14ac:dyDescent="0.2">
      <c r="B31" s="426" t="s">
        <v>739</v>
      </c>
      <c r="C31" s="433">
        <f>C25*C29</f>
        <v>306989.43248750619</v>
      </c>
      <c r="D31" s="433">
        <f>D25*D29</f>
        <v>31235.961838527222</v>
      </c>
      <c r="E31" s="427">
        <f t="shared" ref="E31:E32" si="3">SUM(C31:D31)</f>
        <v>338225.39432603342</v>
      </c>
    </row>
    <row r="32" spans="2:5" ht="15" thickBot="1" x14ac:dyDescent="0.25">
      <c r="B32" s="535" t="s">
        <v>740</v>
      </c>
      <c r="C32" s="460">
        <f>C25*(C23-C29)</f>
        <v>5726.9428149101986</v>
      </c>
      <c r="D32" s="460">
        <f>D25*(D23-D29)</f>
        <v>3806.2946771823727</v>
      </c>
      <c r="E32" s="463">
        <f t="shared" si="3"/>
        <v>9533.2374920925722</v>
      </c>
    </row>
    <row r="33" spans="2:5" ht="15" thickBot="1" x14ac:dyDescent="0.25"/>
    <row r="34" spans="2:5" ht="15" thickBot="1" x14ac:dyDescent="0.25">
      <c r="B34" s="542" t="s">
        <v>951</v>
      </c>
      <c r="C34" s="543"/>
      <c r="D34" s="543"/>
      <c r="E34" s="544"/>
    </row>
    <row r="35" spans="2:5" x14ac:dyDescent="0.2">
      <c r="B35" s="545"/>
      <c r="C35" s="546" t="s">
        <v>696</v>
      </c>
      <c r="D35" s="546" t="s">
        <v>697</v>
      </c>
      <c r="E35" s="547" t="s">
        <v>82</v>
      </c>
    </row>
    <row r="36" spans="2:5" x14ac:dyDescent="0.2">
      <c r="B36" s="426" t="s">
        <v>730</v>
      </c>
      <c r="C36" s="532">
        <f>'Tab. 13'!O26</f>
        <v>15696</v>
      </c>
      <c r="D36" s="532">
        <f>+'Tab. 13'!O48</f>
        <v>3488</v>
      </c>
      <c r="E36" s="533">
        <f>SUM(C36:D36)</f>
        <v>19184</v>
      </c>
    </row>
    <row r="37" spans="2:5" x14ac:dyDescent="0.2">
      <c r="B37" s="426" t="s">
        <v>771</v>
      </c>
      <c r="C37" s="613">
        <f>$E$37/$E$38*C38</f>
        <v>630098.68421052629</v>
      </c>
      <c r="D37" s="613">
        <f>$E$37/$E$38*D38</f>
        <v>210032.89473684211</v>
      </c>
      <c r="E37" s="618">
        <f>'Tab. 15'!G28+'Tab. 15'!H28</f>
        <v>840131.57894736843</v>
      </c>
    </row>
    <row r="38" spans="2:5" x14ac:dyDescent="0.2">
      <c r="B38" s="426" t="s">
        <v>755</v>
      </c>
      <c r="C38" s="617">
        <f>'Tab. 15'!E9</f>
        <v>3000</v>
      </c>
      <c r="D38" s="617">
        <f>'Tab. 15'!F9</f>
        <v>1000</v>
      </c>
      <c r="E38" s="610">
        <f>SUM(C38:D38)</f>
        <v>4000</v>
      </c>
    </row>
    <row r="39" spans="2:5" x14ac:dyDescent="0.2">
      <c r="B39" s="426" t="s">
        <v>772</v>
      </c>
      <c r="C39" s="539">
        <f>C37/C36</f>
        <v>40.143901899243517</v>
      </c>
      <c r="D39" s="539">
        <f t="shared" ref="D39:E39" si="4">D37/D36</f>
        <v>60.215852848865282</v>
      </c>
      <c r="E39" s="540">
        <f t="shared" si="4"/>
        <v>43.793347526447477</v>
      </c>
    </row>
    <row r="40" spans="2:5" x14ac:dyDescent="0.2">
      <c r="B40" s="426" t="s">
        <v>773</v>
      </c>
      <c r="C40" s="538">
        <f>C37/(C36*60)</f>
        <v>0.66906503165405862</v>
      </c>
      <c r="D40" s="538">
        <f t="shared" ref="D40:E40" si="5">D37/(D36*60)</f>
        <v>1.0035975474810881</v>
      </c>
      <c r="E40" s="541">
        <f t="shared" si="5"/>
        <v>0.72988912544079132</v>
      </c>
    </row>
    <row r="41" spans="2:5" x14ac:dyDescent="0.2">
      <c r="B41" s="426"/>
      <c r="C41" s="432"/>
      <c r="D41" s="432"/>
      <c r="E41" s="456"/>
    </row>
    <row r="42" spans="2:5" x14ac:dyDescent="0.2">
      <c r="B42" s="426" t="s">
        <v>738</v>
      </c>
      <c r="C42" s="532">
        <f>+C28</f>
        <v>666082.12060847704</v>
      </c>
      <c r="D42" s="532">
        <f>+D28</f>
        <v>42358.371125483332</v>
      </c>
      <c r="E42" s="533">
        <f t="shared" ref="E42:E43" si="6">SUM(C42:D42)</f>
        <v>708440.49173396034</v>
      </c>
    </row>
    <row r="43" spans="2:5" x14ac:dyDescent="0.2">
      <c r="B43" s="426" t="s">
        <v>707</v>
      </c>
      <c r="C43" s="532">
        <f>+'Tab. 13'!O22</f>
        <v>14431.779279850338</v>
      </c>
      <c r="D43" s="532">
        <f>+'Tab. 13'!O44</f>
        <v>1553.1402746010558</v>
      </c>
      <c r="E43" s="533">
        <f t="shared" si="6"/>
        <v>15984.919554451393</v>
      </c>
    </row>
    <row r="44" spans="2:5" x14ac:dyDescent="0.2">
      <c r="B44" s="426"/>
      <c r="C44" s="432"/>
      <c r="D44" s="432"/>
      <c r="E44" s="456"/>
    </row>
    <row r="45" spans="2:5" x14ac:dyDescent="0.2">
      <c r="B45" s="426" t="s">
        <v>749</v>
      </c>
      <c r="C45" s="433">
        <f>C39*C43</f>
        <v>579347.93164184724</v>
      </c>
      <c r="D45" s="433">
        <f>D39*D43</f>
        <v>93523.666229023394</v>
      </c>
      <c r="E45" s="427">
        <f t="shared" ref="E45:E46" si="7">SUM(C45:D45)</f>
        <v>672871.59787087061</v>
      </c>
    </row>
    <row r="46" spans="2:5" ht="15" thickBot="1" x14ac:dyDescent="0.25">
      <c r="B46" s="535" t="s">
        <v>750</v>
      </c>
      <c r="C46" s="460">
        <f>C39*(C36-C43)</f>
        <v>50750.752568679032</v>
      </c>
      <c r="D46" s="460">
        <f>D39*(D36-D43)</f>
        <v>116509.22850781871</v>
      </c>
      <c r="E46" s="463">
        <f t="shared" si="7"/>
        <v>167259.98107649776</v>
      </c>
    </row>
    <row r="47" spans="2:5" ht="15" thickBot="1" x14ac:dyDescent="0.25"/>
    <row r="48" spans="2:5" ht="15" thickBot="1" x14ac:dyDescent="0.25">
      <c r="B48" s="619" t="s">
        <v>774</v>
      </c>
      <c r="C48" s="620">
        <f>C32+C46</f>
        <v>56477.695383589235</v>
      </c>
      <c r="D48" s="620">
        <f t="shared" ref="D48:E48" si="8">D32+D46</f>
        <v>120315.52318500109</v>
      </c>
      <c r="E48" s="621">
        <f t="shared" si="8"/>
        <v>176793.21856859032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6E06-1883-F84A-B68B-25452B4BE977}">
  <sheetPr>
    <tabColor theme="0" tint="-0.499984740745262"/>
  </sheetPr>
  <dimension ref="B2:I149"/>
  <sheetViews>
    <sheetView zoomScale="160" zoomScaleNormal="160" workbookViewId="0">
      <pane ySplit="6" topLeftCell="A7" activePane="bottomLeft" state="frozen"/>
      <selection pane="bottomLeft" activeCell="B2" sqref="B2"/>
    </sheetView>
  </sheetViews>
  <sheetFormatPr baseColWidth="10" defaultRowHeight="16" x14ac:dyDescent="0.15"/>
  <cols>
    <col min="1" max="1" width="10.83203125" style="84"/>
    <col min="2" max="2" width="28.83203125" style="84" bestFit="1" customWidth="1"/>
    <col min="3" max="5" width="15.6640625" style="84" customWidth="1"/>
    <col min="6" max="6" width="2.33203125" style="84" customWidth="1"/>
    <col min="7" max="7" width="12.6640625" style="84" customWidth="1"/>
    <col min="8" max="8" width="16.1640625" style="84" customWidth="1"/>
    <col min="9" max="9" width="12.6640625" style="84" customWidth="1"/>
    <col min="10" max="16384" width="10.83203125" style="84"/>
  </cols>
  <sheetData>
    <row r="2" spans="2:9" x14ac:dyDescent="0.15">
      <c r="B2" s="84" t="s">
        <v>920</v>
      </c>
    </row>
    <row r="4" spans="2:9" ht="17" thickBot="1" x14ac:dyDescent="0.2"/>
    <row r="5" spans="2:9" x14ac:dyDescent="0.15">
      <c r="B5" s="269"/>
      <c r="C5" s="828" t="s">
        <v>73</v>
      </c>
      <c r="D5" s="761"/>
      <c r="E5" s="762"/>
      <c r="G5" s="755" t="s">
        <v>99</v>
      </c>
      <c r="H5" s="756"/>
      <c r="I5" s="757"/>
    </row>
    <row r="6" spans="2:9" x14ac:dyDescent="0.15">
      <c r="B6" s="270"/>
      <c r="C6" s="124" t="s">
        <v>907</v>
      </c>
      <c r="D6" s="118" t="s">
        <v>908</v>
      </c>
      <c r="E6" s="628" t="s">
        <v>909</v>
      </c>
      <c r="G6" s="327" t="s">
        <v>907</v>
      </c>
      <c r="H6" s="277" t="s">
        <v>908</v>
      </c>
      <c r="I6" s="328" t="s">
        <v>909</v>
      </c>
    </row>
    <row r="7" spans="2:9" x14ac:dyDescent="0.15">
      <c r="B7" s="148" t="s">
        <v>776</v>
      </c>
      <c r="C7" s="629">
        <v>500000</v>
      </c>
      <c r="D7" s="629">
        <v>205000</v>
      </c>
      <c r="E7" s="631">
        <f>SUM(C7:D7)</f>
        <v>705000</v>
      </c>
      <c r="G7" s="652">
        <f>C7*(1+'Tab 2'!$E$21)</f>
        <v>808586.03283371183</v>
      </c>
      <c r="H7" s="347">
        <f>D7*(1+'Tab 2'!$E$26)</f>
        <v>143242.63222207426</v>
      </c>
      <c r="I7" s="631">
        <f>SUM(G7:H7)</f>
        <v>951828.66505578603</v>
      </c>
    </row>
    <row r="8" spans="2:9" x14ac:dyDescent="0.15">
      <c r="B8" s="160" t="s">
        <v>777</v>
      </c>
      <c r="C8" s="629">
        <v>500000</v>
      </c>
      <c r="D8" s="633">
        <v>205000</v>
      </c>
      <c r="E8" s="631">
        <f t="shared" ref="E8:E71" si="0">SUM(C8:D8)</f>
        <v>705000</v>
      </c>
      <c r="G8" s="652">
        <f>C8*(1+'Tab 2'!$E$21)</f>
        <v>808586.03283371183</v>
      </c>
      <c r="H8" s="347">
        <f>D8*(1+'Tab 2'!$E$26)</f>
        <v>143242.63222207426</v>
      </c>
      <c r="I8" s="631">
        <f t="shared" ref="I8:I71" si="1">SUM(G8:H8)</f>
        <v>951828.66505578603</v>
      </c>
    </row>
    <row r="9" spans="2:9" x14ac:dyDescent="0.15">
      <c r="B9" s="160" t="s">
        <v>778</v>
      </c>
      <c r="C9" s="629">
        <v>500000</v>
      </c>
      <c r="D9" s="633">
        <v>205000</v>
      </c>
      <c r="E9" s="631">
        <f t="shared" si="0"/>
        <v>705000</v>
      </c>
      <c r="G9" s="652">
        <f>C9*(1+'Tab 2'!$E$21)</f>
        <v>808586.03283371183</v>
      </c>
      <c r="H9" s="347">
        <f>D9*(1+'Tab 2'!$E$26)</f>
        <v>143242.63222207426</v>
      </c>
      <c r="I9" s="631">
        <f t="shared" si="1"/>
        <v>951828.66505578603</v>
      </c>
    </row>
    <row r="10" spans="2:9" x14ac:dyDescent="0.15">
      <c r="B10" s="160" t="s">
        <v>779</v>
      </c>
      <c r="C10" s="629">
        <v>500000</v>
      </c>
      <c r="D10" s="633">
        <v>205000</v>
      </c>
      <c r="E10" s="631">
        <f t="shared" si="0"/>
        <v>705000</v>
      </c>
      <c r="G10" s="652">
        <f>C10*(1+'Tab 2'!$E$21)</f>
        <v>808586.03283371183</v>
      </c>
      <c r="H10" s="347">
        <f>D10*(1+'Tab 2'!$E$26)</f>
        <v>143242.63222207426</v>
      </c>
      <c r="I10" s="631">
        <f t="shared" si="1"/>
        <v>951828.66505578603</v>
      </c>
    </row>
    <row r="11" spans="2:9" x14ac:dyDescent="0.15">
      <c r="B11" s="160" t="s">
        <v>780</v>
      </c>
      <c r="C11" s="629">
        <v>500000</v>
      </c>
      <c r="D11" s="633">
        <v>205000</v>
      </c>
      <c r="E11" s="631">
        <f t="shared" si="0"/>
        <v>705000</v>
      </c>
      <c r="G11" s="652">
        <f>C11*(1+'Tab 2'!$E$21)</f>
        <v>808586.03283371183</v>
      </c>
      <c r="H11" s="347">
        <f>D11*(1+'Tab 2'!$E$26)</f>
        <v>143242.63222207426</v>
      </c>
      <c r="I11" s="631">
        <f t="shared" si="1"/>
        <v>951828.66505578603</v>
      </c>
    </row>
    <row r="12" spans="2:9" x14ac:dyDescent="0.15">
      <c r="B12" s="160" t="s">
        <v>781</v>
      </c>
      <c r="C12" s="629">
        <v>500000</v>
      </c>
      <c r="D12" s="633">
        <v>205000</v>
      </c>
      <c r="E12" s="631">
        <f t="shared" si="0"/>
        <v>705000</v>
      </c>
      <c r="G12" s="652">
        <f>C12*(1+'Tab 2'!$E$21)</f>
        <v>808586.03283371183</v>
      </c>
      <c r="H12" s="347">
        <f>D12*(1+'Tab 2'!$E$26)</f>
        <v>143242.63222207426</v>
      </c>
      <c r="I12" s="631">
        <f t="shared" si="1"/>
        <v>951828.66505578603</v>
      </c>
    </row>
    <row r="13" spans="2:9" x14ac:dyDescent="0.15">
      <c r="B13" s="160" t="s">
        <v>782</v>
      </c>
      <c r="C13" s="629">
        <v>500000</v>
      </c>
      <c r="D13" s="633">
        <v>205000</v>
      </c>
      <c r="E13" s="631">
        <f t="shared" si="0"/>
        <v>705000</v>
      </c>
      <c r="G13" s="652">
        <f>C13*(1+'Tab 2'!$E$21)</f>
        <v>808586.03283371183</v>
      </c>
      <c r="H13" s="347">
        <f>D13*(1+'Tab 2'!$E$26)</f>
        <v>143242.63222207426</v>
      </c>
      <c r="I13" s="631">
        <f t="shared" si="1"/>
        <v>951828.66505578603</v>
      </c>
    </row>
    <row r="14" spans="2:9" x14ac:dyDescent="0.15">
      <c r="B14" s="160" t="s">
        <v>783</v>
      </c>
      <c r="C14" s="629">
        <v>500000</v>
      </c>
      <c r="D14" s="633">
        <v>205000</v>
      </c>
      <c r="E14" s="631">
        <f t="shared" si="0"/>
        <v>705000</v>
      </c>
      <c r="G14" s="652">
        <f>C14*(1+'Tab 2'!$E$21)</f>
        <v>808586.03283371183</v>
      </c>
      <c r="H14" s="347">
        <f>D14*(1+'Tab 2'!$E$26)</f>
        <v>143242.63222207426</v>
      </c>
      <c r="I14" s="631">
        <f t="shared" si="1"/>
        <v>951828.66505578603</v>
      </c>
    </row>
    <row r="15" spans="2:9" x14ac:dyDescent="0.15">
      <c r="B15" s="160" t="s">
        <v>784</v>
      </c>
      <c r="C15" s="629">
        <v>500000</v>
      </c>
      <c r="D15" s="633">
        <v>205000</v>
      </c>
      <c r="E15" s="631">
        <f t="shared" si="0"/>
        <v>705000</v>
      </c>
      <c r="G15" s="652">
        <f>C15*(1+'Tab 2'!$E$21)</f>
        <v>808586.03283371183</v>
      </c>
      <c r="H15" s="347">
        <f>D15*(1+'Tab 2'!$E$26)</f>
        <v>143242.63222207426</v>
      </c>
      <c r="I15" s="631">
        <f t="shared" si="1"/>
        <v>951828.66505578603</v>
      </c>
    </row>
    <row r="16" spans="2:9" x14ac:dyDescent="0.15">
      <c r="B16" s="160" t="s">
        <v>785</v>
      </c>
      <c r="C16" s="629">
        <v>500000</v>
      </c>
      <c r="D16" s="633">
        <v>205000</v>
      </c>
      <c r="E16" s="631">
        <f t="shared" si="0"/>
        <v>705000</v>
      </c>
      <c r="G16" s="652">
        <f>C16*(1+'Tab 2'!$E$21)</f>
        <v>808586.03283371183</v>
      </c>
      <c r="H16" s="347">
        <f>D16*(1+'Tab 2'!$E$26)</f>
        <v>143242.63222207426</v>
      </c>
      <c r="I16" s="631">
        <f t="shared" si="1"/>
        <v>951828.66505578603</v>
      </c>
    </row>
    <row r="17" spans="2:9" x14ac:dyDescent="0.15">
      <c r="B17" s="160" t="s">
        <v>786</v>
      </c>
      <c r="C17" s="633">
        <v>400000</v>
      </c>
      <c r="D17" s="633">
        <v>164000</v>
      </c>
      <c r="E17" s="631">
        <f t="shared" si="0"/>
        <v>564000</v>
      </c>
      <c r="G17" s="652">
        <f>C17*(1+'Tab 2'!$E$21)</f>
        <v>646868.82626696944</v>
      </c>
      <c r="H17" s="347">
        <f>D17*(1+'Tab 2'!$E$26)</f>
        <v>114594.1057776594</v>
      </c>
      <c r="I17" s="631">
        <f t="shared" si="1"/>
        <v>761462.93204462877</v>
      </c>
    </row>
    <row r="18" spans="2:9" x14ac:dyDescent="0.15">
      <c r="B18" s="160" t="s">
        <v>787</v>
      </c>
      <c r="C18" s="633">
        <v>400000</v>
      </c>
      <c r="D18" s="633">
        <v>164000</v>
      </c>
      <c r="E18" s="631">
        <f t="shared" si="0"/>
        <v>564000</v>
      </c>
      <c r="G18" s="652">
        <f>C18*(1+'Tab 2'!$E$21)</f>
        <v>646868.82626696944</v>
      </c>
      <c r="H18" s="347">
        <f>D18*(1+'Tab 2'!$E$26)</f>
        <v>114594.1057776594</v>
      </c>
      <c r="I18" s="631">
        <f t="shared" si="1"/>
        <v>761462.93204462877</v>
      </c>
    </row>
    <row r="19" spans="2:9" x14ac:dyDescent="0.15">
      <c r="B19" s="160" t="s">
        <v>788</v>
      </c>
      <c r="C19" s="633">
        <v>400000</v>
      </c>
      <c r="D19" s="633">
        <v>164000</v>
      </c>
      <c r="E19" s="631">
        <f t="shared" si="0"/>
        <v>564000</v>
      </c>
      <c r="G19" s="652">
        <f>C19*(1+'Tab 2'!$E$21)</f>
        <v>646868.82626696944</v>
      </c>
      <c r="H19" s="347">
        <f>D19*(1+'Tab 2'!$E$26)</f>
        <v>114594.1057776594</v>
      </c>
      <c r="I19" s="631">
        <f t="shared" si="1"/>
        <v>761462.93204462877</v>
      </c>
    </row>
    <row r="20" spans="2:9" x14ac:dyDescent="0.15">
      <c r="B20" s="160" t="s">
        <v>789</v>
      </c>
      <c r="C20" s="633">
        <v>400000</v>
      </c>
      <c r="D20" s="633">
        <v>164000</v>
      </c>
      <c r="E20" s="631">
        <f t="shared" si="0"/>
        <v>564000</v>
      </c>
      <c r="G20" s="652">
        <f>C20*(1+'Tab 2'!$E$21)</f>
        <v>646868.82626696944</v>
      </c>
      <c r="H20" s="347">
        <f>D20*(1+'Tab 2'!$E$26)</f>
        <v>114594.1057776594</v>
      </c>
      <c r="I20" s="631">
        <f t="shared" si="1"/>
        <v>761462.93204462877</v>
      </c>
    </row>
    <row r="21" spans="2:9" x14ac:dyDescent="0.15">
      <c r="B21" s="160" t="s">
        <v>790</v>
      </c>
      <c r="C21" s="633">
        <v>400000</v>
      </c>
      <c r="D21" s="633">
        <v>164000</v>
      </c>
      <c r="E21" s="631">
        <f t="shared" si="0"/>
        <v>564000</v>
      </c>
      <c r="G21" s="652">
        <f>C21*(1+'Tab 2'!$E$21)</f>
        <v>646868.82626696944</v>
      </c>
      <c r="H21" s="347">
        <f>D21*(1+'Tab 2'!$E$26)</f>
        <v>114594.1057776594</v>
      </c>
      <c r="I21" s="631">
        <f t="shared" si="1"/>
        <v>761462.93204462877</v>
      </c>
    </row>
    <row r="22" spans="2:9" x14ac:dyDescent="0.15">
      <c r="B22" s="160" t="s">
        <v>791</v>
      </c>
      <c r="C22" s="633">
        <v>400000</v>
      </c>
      <c r="D22" s="633">
        <v>164000</v>
      </c>
      <c r="E22" s="631">
        <f t="shared" si="0"/>
        <v>564000</v>
      </c>
      <c r="G22" s="652">
        <f>C22*(1+'Tab 2'!$E$21)</f>
        <v>646868.82626696944</v>
      </c>
      <c r="H22" s="347">
        <f>D22*(1+'Tab 2'!$E$26)</f>
        <v>114594.1057776594</v>
      </c>
      <c r="I22" s="631">
        <f t="shared" si="1"/>
        <v>761462.93204462877</v>
      </c>
    </row>
    <row r="23" spans="2:9" x14ac:dyDescent="0.15">
      <c r="B23" s="160" t="s">
        <v>792</v>
      </c>
      <c r="C23" s="633">
        <v>400000</v>
      </c>
      <c r="D23" s="633">
        <v>164000</v>
      </c>
      <c r="E23" s="631">
        <f t="shared" si="0"/>
        <v>564000</v>
      </c>
      <c r="G23" s="652">
        <f>C23*(1+'Tab 2'!$E$21)</f>
        <v>646868.82626696944</v>
      </c>
      <c r="H23" s="347">
        <f>D23*(1+'Tab 2'!$E$26)</f>
        <v>114594.1057776594</v>
      </c>
      <c r="I23" s="631">
        <f t="shared" si="1"/>
        <v>761462.93204462877</v>
      </c>
    </row>
    <row r="24" spans="2:9" x14ac:dyDescent="0.15">
      <c r="B24" s="160" t="s">
        <v>793</v>
      </c>
      <c r="C24" s="633">
        <v>400000</v>
      </c>
      <c r="D24" s="633">
        <v>164000</v>
      </c>
      <c r="E24" s="631">
        <f t="shared" si="0"/>
        <v>564000</v>
      </c>
      <c r="G24" s="652">
        <f>C24*(1+'Tab 2'!$E$21)</f>
        <v>646868.82626696944</v>
      </c>
      <c r="H24" s="347">
        <f>D24*(1+'Tab 2'!$E$26)</f>
        <v>114594.1057776594</v>
      </c>
      <c r="I24" s="631">
        <f t="shared" si="1"/>
        <v>761462.93204462877</v>
      </c>
    </row>
    <row r="25" spans="2:9" x14ac:dyDescent="0.15">
      <c r="B25" s="160" t="s">
        <v>794</v>
      </c>
      <c r="C25" s="633">
        <v>400000</v>
      </c>
      <c r="D25" s="633">
        <v>164000</v>
      </c>
      <c r="E25" s="631">
        <f t="shared" si="0"/>
        <v>564000</v>
      </c>
      <c r="G25" s="652">
        <f>C25*(1+'Tab 2'!$E$21)</f>
        <v>646868.82626696944</v>
      </c>
      <c r="H25" s="347">
        <f>D25*(1+'Tab 2'!$E$26)</f>
        <v>114594.1057776594</v>
      </c>
      <c r="I25" s="631">
        <f t="shared" si="1"/>
        <v>761462.93204462877</v>
      </c>
    </row>
    <row r="26" spans="2:9" x14ac:dyDescent="0.15">
      <c r="B26" s="160" t="s">
        <v>795</v>
      </c>
      <c r="C26" s="633">
        <v>400000</v>
      </c>
      <c r="D26" s="633">
        <v>164000</v>
      </c>
      <c r="E26" s="631">
        <f t="shared" si="0"/>
        <v>564000</v>
      </c>
      <c r="G26" s="652">
        <f>C26*(1+'Tab 2'!$E$21)</f>
        <v>646868.82626696944</v>
      </c>
      <c r="H26" s="347">
        <f>D26*(1+'Tab 2'!$E$26)</f>
        <v>114594.1057776594</v>
      </c>
      <c r="I26" s="631">
        <f t="shared" si="1"/>
        <v>761462.93204462877</v>
      </c>
    </row>
    <row r="27" spans="2:9" x14ac:dyDescent="0.15">
      <c r="B27" s="160" t="s">
        <v>796</v>
      </c>
      <c r="C27" s="633">
        <v>400000</v>
      </c>
      <c r="D27" s="633">
        <v>164000</v>
      </c>
      <c r="E27" s="631">
        <f t="shared" si="0"/>
        <v>564000</v>
      </c>
      <c r="G27" s="652">
        <f>C27*(1+'Tab 2'!$E$21)</f>
        <v>646868.82626696944</v>
      </c>
      <c r="H27" s="347">
        <f>D27*(1+'Tab 2'!$E$26)</f>
        <v>114594.1057776594</v>
      </c>
      <c r="I27" s="631">
        <f t="shared" si="1"/>
        <v>761462.93204462877</v>
      </c>
    </row>
    <row r="28" spans="2:9" x14ac:dyDescent="0.15">
      <c r="B28" s="160" t="s">
        <v>797</v>
      </c>
      <c r="C28" s="633">
        <v>400000</v>
      </c>
      <c r="D28" s="633">
        <v>164000</v>
      </c>
      <c r="E28" s="631">
        <f t="shared" si="0"/>
        <v>564000</v>
      </c>
      <c r="G28" s="652">
        <f>C28*(1+'Tab 2'!$E$21)</f>
        <v>646868.82626696944</v>
      </c>
      <c r="H28" s="347">
        <f>D28*(1+'Tab 2'!$E$26)</f>
        <v>114594.1057776594</v>
      </c>
      <c r="I28" s="631">
        <f t="shared" si="1"/>
        <v>761462.93204462877</v>
      </c>
    </row>
    <row r="29" spans="2:9" x14ac:dyDescent="0.15">
      <c r="B29" s="160" t="s">
        <v>798</v>
      </c>
      <c r="C29" s="633">
        <v>400000</v>
      </c>
      <c r="D29" s="633">
        <v>164000</v>
      </c>
      <c r="E29" s="631">
        <f t="shared" si="0"/>
        <v>564000</v>
      </c>
      <c r="G29" s="652">
        <f>C29*(1+'Tab 2'!$E$21)</f>
        <v>646868.82626696944</v>
      </c>
      <c r="H29" s="347">
        <f>D29*(1+'Tab 2'!$E$26)</f>
        <v>114594.1057776594</v>
      </c>
      <c r="I29" s="631">
        <f t="shared" si="1"/>
        <v>761462.93204462877</v>
      </c>
    </row>
    <row r="30" spans="2:9" x14ac:dyDescent="0.15">
      <c r="B30" s="160" t="s">
        <v>799</v>
      </c>
      <c r="C30" s="633">
        <v>400000</v>
      </c>
      <c r="D30" s="633">
        <v>164000</v>
      </c>
      <c r="E30" s="631">
        <f t="shared" si="0"/>
        <v>564000</v>
      </c>
      <c r="G30" s="652">
        <f>C30*(1+'Tab 2'!$E$21)</f>
        <v>646868.82626696944</v>
      </c>
      <c r="H30" s="347">
        <f>D30*(1+'Tab 2'!$E$26)</f>
        <v>114594.1057776594</v>
      </c>
      <c r="I30" s="631">
        <f t="shared" si="1"/>
        <v>761462.93204462877</v>
      </c>
    </row>
    <row r="31" spans="2:9" x14ac:dyDescent="0.15">
      <c r="B31" s="160" t="s">
        <v>800</v>
      </c>
      <c r="C31" s="633">
        <v>400000</v>
      </c>
      <c r="D31" s="633">
        <v>164000</v>
      </c>
      <c r="E31" s="631">
        <f t="shared" si="0"/>
        <v>564000</v>
      </c>
      <c r="G31" s="652">
        <f>C31*(1+'Tab 2'!$E$21)</f>
        <v>646868.82626696944</v>
      </c>
      <c r="H31" s="347">
        <f>D31*(1+'Tab 2'!$E$26)</f>
        <v>114594.1057776594</v>
      </c>
      <c r="I31" s="631">
        <f t="shared" si="1"/>
        <v>761462.93204462877</v>
      </c>
    </row>
    <row r="32" spans="2:9" x14ac:dyDescent="0.15">
      <c r="B32" s="160" t="s">
        <v>801</v>
      </c>
      <c r="C32" s="633">
        <v>400000</v>
      </c>
      <c r="D32" s="633">
        <v>164000</v>
      </c>
      <c r="E32" s="631">
        <f t="shared" si="0"/>
        <v>564000</v>
      </c>
      <c r="G32" s="652">
        <f>C32*(1+'Tab 2'!$E$21)</f>
        <v>646868.82626696944</v>
      </c>
      <c r="H32" s="347">
        <f>D32*(1+'Tab 2'!$E$26)</f>
        <v>114594.1057776594</v>
      </c>
      <c r="I32" s="631">
        <f t="shared" si="1"/>
        <v>761462.93204462877</v>
      </c>
    </row>
    <row r="33" spans="2:9" x14ac:dyDescent="0.15">
      <c r="B33" s="160" t="s">
        <v>802</v>
      </c>
      <c r="C33" s="633">
        <v>400000</v>
      </c>
      <c r="D33" s="633">
        <v>164000</v>
      </c>
      <c r="E33" s="631">
        <f t="shared" si="0"/>
        <v>564000</v>
      </c>
      <c r="G33" s="652">
        <f>C33*(1+'Tab 2'!$E$21)</f>
        <v>646868.82626696944</v>
      </c>
      <c r="H33" s="347">
        <f>D33*(1+'Tab 2'!$E$26)</f>
        <v>114594.1057776594</v>
      </c>
      <c r="I33" s="631">
        <f t="shared" si="1"/>
        <v>761462.93204462877</v>
      </c>
    </row>
    <row r="34" spans="2:9" x14ac:dyDescent="0.15">
      <c r="B34" s="160" t="s">
        <v>803</v>
      </c>
      <c r="C34" s="633">
        <v>400000</v>
      </c>
      <c r="D34" s="633">
        <v>164000</v>
      </c>
      <c r="E34" s="631">
        <f t="shared" si="0"/>
        <v>564000</v>
      </c>
      <c r="G34" s="652">
        <f>C34*(1+'Tab 2'!$E$21)</f>
        <v>646868.82626696944</v>
      </c>
      <c r="H34" s="347">
        <f>D34*(1+'Tab 2'!$E$26)</f>
        <v>114594.1057776594</v>
      </c>
      <c r="I34" s="631">
        <f t="shared" si="1"/>
        <v>761462.93204462877</v>
      </c>
    </row>
    <row r="35" spans="2:9" x14ac:dyDescent="0.15">
      <c r="B35" s="160" t="s">
        <v>804</v>
      </c>
      <c r="C35" s="633">
        <v>400000</v>
      </c>
      <c r="D35" s="633">
        <v>164000</v>
      </c>
      <c r="E35" s="631">
        <f t="shared" si="0"/>
        <v>564000</v>
      </c>
      <c r="G35" s="652">
        <f>C35*(1+'Tab 2'!$E$21)</f>
        <v>646868.82626696944</v>
      </c>
      <c r="H35" s="347">
        <f>D35*(1+'Tab 2'!$E$26)</f>
        <v>114594.1057776594</v>
      </c>
      <c r="I35" s="631">
        <f t="shared" si="1"/>
        <v>761462.93204462877</v>
      </c>
    </row>
    <row r="36" spans="2:9" x14ac:dyDescent="0.15">
      <c r="B36" s="160" t="s">
        <v>805</v>
      </c>
      <c r="C36" s="633">
        <v>400000</v>
      </c>
      <c r="D36" s="633">
        <v>164000</v>
      </c>
      <c r="E36" s="631">
        <f t="shared" si="0"/>
        <v>564000</v>
      </c>
      <c r="G36" s="652">
        <f>C36*(1+'Tab 2'!$E$21)</f>
        <v>646868.82626696944</v>
      </c>
      <c r="H36" s="347">
        <f>D36*(1+'Tab 2'!$E$26)</f>
        <v>114594.1057776594</v>
      </c>
      <c r="I36" s="631">
        <f t="shared" si="1"/>
        <v>761462.93204462877</v>
      </c>
    </row>
    <row r="37" spans="2:9" x14ac:dyDescent="0.15">
      <c r="B37" s="160" t="s">
        <v>806</v>
      </c>
      <c r="C37" s="633">
        <v>400000</v>
      </c>
      <c r="D37" s="633">
        <v>164000</v>
      </c>
      <c r="E37" s="631">
        <f t="shared" si="0"/>
        <v>564000</v>
      </c>
      <c r="G37" s="652">
        <f>C37*(1+'Tab 2'!$E$21)</f>
        <v>646868.82626696944</v>
      </c>
      <c r="H37" s="347">
        <f>D37*(1+'Tab 2'!$E$26)</f>
        <v>114594.1057776594</v>
      </c>
      <c r="I37" s="631">
        <f t="shared" si="1"/>
        <v>761462.93204462877</v>
      </c>
    </row>
    <row r="38" spans="2:9" x14ac:dyDescent="0.15">
      <c r="B38" s="160" t="s">
        <v>807</v>
      </c>
      <c r="C38" s="633">
        <v>400000</v>
      </c>
      <c r="D38" s="633">
        <v>164000</v>
      </c>
      <c r="E38" s="631">
        <f t="shared" si="0"/>
        <v>564000</v>
      </c>
      <c r="G38" s="652">
        <f>C38*(1+'Tab 2'!$E$21)</f>
        <v>646868.82626696944</v>
      </c>
      <c r="H38" s="347">
        <f>D38*(1+'Tab 2'!$E$26)</f>
        <v>114594.1057776594</v>
      </c>
      <c r="I38" s="631">
        <f t="shared" si="1"/>
        <v>761462.93204462877</v>
      </c>
    </row>
    <row r="39" spans="2:9" x14ac:dyDescent="0.15">
      <c r="B39" s="160" t="s">
        <v>808</v>
      </c>
      <c r="C39" s="633">
        <v>300000</v>
      </c>
      <c r="D39" s="633">
        <v>123000</v>
      </c>
      <c r="E39" s="631">
        <f t="shared" si="0"/>
        <v>423000</v>
      </c>
      <c r="G39" s="652">
        <f>C39*(1+'Tab 2'!$E$21)</f>
        <v>485151.61970022705</v>
      </c>
      <c r="H39" s="347">
        <f>D39*(1+'Tab 2'!$E$26)</f>
        <v>85945.579333244546</v>
      </c>
      <c r="I39" s="631">
        <f t="shared" si="1"/>
        <v>571097.19903347164</v>
      </c>
    </row>
    <row r="40" spans="2:9" x14ac:dyDescent="0.15">
      <c r="B40" s="160" t="s">
        <v>809</v>
      </c>
      <c r="C40" s="633">
        <v>300000</v>
      </c>
      <c r="D40" s="633">
        <v>123000</v>
      </c>
      <c r="E40" s="631">
        <f t="shared" si="0"/>
        <v>423000</v>
      </c>
      <c r="G40" s="652">
        <f>C40*(1+'Tab 2'!$E$21)</f>
        <v>485151.61970022705</v>
      </c>
      <c r="H40" s="347">
        <f>D40*(1+'Tab 2'!$E$26)</f>
        <v>85945.579333244546</v>
      </c>
      <c r="I40" s="631">
        <f t="shared" si="1"/>
        <v>571097.19903347164</v>
      </c>
    </row>
    <row r="41" spans="2:9" x14ac:dyDescent="0.15">
      <c r="B41" s="160" t="s">
        <v>810</v>
      </c>
      <c r="C41" s="633">
        <v>300000</v>
      </c>
      <c r="D41" s="633">
        <v>123000</v>
      </c>
      <c r="E41" s="631">
        <f t="shared" si="0"/>
        <v>423000</v>
      </c>
      <c r="G41" s="652">
        <f>C41*(1+'Tab 2'!$E$21)</f>
        <v>485151.61970022705</v>
      </c>
      <c r="H41" s="347">
        <f>D41*(1+'Tab 2'!$E$26)</f>
        <v>85945.579333244546</v>
      </c>
      <c r="I41" s="631">
        <f t="shared" si="1"/>
        <v>571097.19903347164</v>
      </c>
    </row>
    <row r="42" spans="2:9" x14ac:dyDescent="0.15">
      <c r="B42" s="160" t="s">
        <v>811</v>
      </c>
      <c r="C42" s="633">
        <v>300000</v>
      </c>
      <c r="D42" s="633">
        <v>123000</v>
      </c>
      <c r="E42" s="631">
        <f t="shared" si="0"/>
        <v>423000</v>
      </c>
      <c r="G42" s="652">
        <f>C42*(1+'Tab 2'!$E$21)</f>
        <v>485151.61970022705</v>
      </c>
      <c r="H42" s="347">
        <f>D42*(1+'Tab 2'!$E$26)</f>
        <v>85945.579333244546</v>
      </c>
      <c r="I42" s="631">
        <f t="shared" si="1"/>
        <v>571097.19903347164</v>
      </c>
    </row>
    <row r="43" spans="2:9" x14ac:dyDescent="0.15">
      <c r="B43" s="160" t="s">
        <v>812</v>
      </c>
      <c r="C43" s="633">
        <v>300000</v>
      </c>
      <c r="D43" s="633">
        <v>123000</v>
      </c>
      <c r="E43" s="631">
        <f t="shared" si="0"/>
        <v>423000</v>
      </c>
      <c r="G43" s="652">
        <f>C43*(1+'Tab 2'!$E$21)</f>
        <v>485151.61970022705</v>
      </c>
      <c r="H43" s="347">
        <f>D43*(1+'Tab 2'!$E$26)</f>
        <v>85945.579333244546</v>
      </c>
      <c r="I43" s="631">
        <f t="shared" si="1"/>
        <v>571097.19903347164</v>
      </c>
    </row>
    <row r="44" spans="2:9" x14ac:dyDescent="0.15">
      <c r="B44" s="160" t="s">
        <v>813</v>
      </c>
      <c r="C44" s="633">
        <v>300000</v>
      </c>
      <c r="D44" s="633">
        <v>123000</v>
      </c>
      <c r="E44" s="631">
        <f t="shared" si="0"/>
        <v>423000</v>
      </c>
      <c r="G44" s="652">
        <f>C44*(1+'Tab 2'!$E$21)</f>
        <v>485151.61970022705</v>
      </c>
      <c r="H44" s="347">
        <f>D44*(1+'Tab 2'!$E$26)</f>
        <v>85945.579333244546</v>
      </c>
      <c r="I44" s="631">
        <f t="shared" si="1"/>
        <v>571097.19903347164</v>
      </c>
    </row>
    <row r="45" spans="2:9" x14ac:dyDescent="0.15">
      <c r="B45" s="160" t="s">
        <v>814</v>
      </c>
      <c r="C45" s="633">
        <v>300000</v>
      </c>
      <c r="D45" s="633">
        <v>123000</v>
      </c>
      <c r="E45" s="631">
        <f t="shared" si="0"/>
        <v>423000</v>
      </c>
      <c r="G45" s="652">
        <f>C45*(1+'Tab 2'!$E$21)</f>
        <v>485151.61970022705</v>
      </c>
      <c r="H45" s="347">
        <f>D45*(1+'Tab 2'!$E$26)</f>
        <v>85945.579333244546</v>
      </c>
      <c r="I45" s="631">
        <f t="shared" si="1"/>
        <v>571097.19903347164</v>
      </c>
    </row>
    <row r="46" spans="2:9" x14ac:dyDescent="0.15">
      <c r="B46" s="160" t="s">
        <v>815</v>
      </c>
      <c r="C46" s="633">
        <v>300000</v>
      </c>
      <c r="D46" s="633">
        <v>123000</v>
      </c>
      <c r="E46" s="631">
        <f t="shared" si="0"/>
        <v>423000</v>
      </c>
      <c r="G46" s="652">
        <f>C46*(1+'Tab 2'!$E$21)</f>
        <v>485151.61970022705</v>
      </c>
      <c r="H46" s="347">
        <f>D46*(1+'Tab 2'!$E$26)</f>
        <v>85945.579333244546</v>
      </c>
      <c r="I46" s="631">
        <f t="shared" si="1"/>
        <v>571097.19903347164</v>
      </c>
    </row>
    <row r="47" spans="2:9" x14ac:dyDescent="0.15">
      <c r="B47" s="160" t="s">
        <v>816</v>
      </c>
      <c r="C47" s="633">
        <v>300000</v>
      </c>
      <c r="D47" s="633">
        <v>123000</v>
      </c>
      <c r="E47" s="631">
        <f t="shared" si="0"/>
        <v>423000</v>
      </c>
      <c r="G47" s="652">
        <f>C47*(1+'Tab 2'!$E$21)</f>
        <v>485151.61970022705</v>
      </c>
      <c r="H47" s="347">
        <f>D47*(1+'Tab 2'!$E$26)</f>
        <v>85945.579333244546</v>
      </c>
      <c r="I47" s="631">
        <f t="shared" si="1"/>
        <v>571097.19903347164</v>
      </c>
    </row>
    <row r="48" spans="2:9" x14ac:dyDescent="0.15">
      <c r="B48" s="160" t="s">
        <v>817</v>
      </c>
      <c r="C48" s="633">
        <v>300000</v>
      </c>
      <c r="D48" s="633">
        <v>123000</v>
      </c>
      <c r="E48" s="631">
        <f t="shared" si="0"/>
        <v>423000</v>
      </c>
      <c r="G48" s="652">
        <f>C48*(1+'Tab 2'!$E$21)</f>
        <v>485151.61970022705</v>
      </c>
      <c r="H48" s="347">
        <f>D48*(1+'Tab 2'!$E$26)</f>
        <v>85945.579333244546</v>
      </c>
      <c r="I48" s="631">
        <f t="shared" si="1"/>
        <v>571097.19903347164</v>
      </c>
    </row>
    <row r="49" spans="2:9" x14ac:dyDescent="0.15">
      <c r="B49" s="160" t="s">
        <v>818</v>
      </c>
      <c r="C49" s="633">
        <v>300000</v>
      </c>
      <c r="D49" s="633">
        <v>123000</v>
      </c>
      <c r="E49" s="631">
        <f t="shared" si="0"/>
        <v>423000</v>
      </c>
      <c r="G49" s="652">
        <f>C49*(1+'Tab 2'!$E$21)</f>
        <v>485151.61970022705</v>
      </c>
      <c r="H49" s="347">
        <f>D49*(1+'Tab 2'!$E$26)</f>
        <v>85945.579333244546</v>
      </c>
      <c r="I49" s="631">
        <f t="shared" si="1"/>
        <v>571097.19903347164</v>
      </c>
    </row>
    <row r="50" spans="2:9" x14ac:dyDescent="0.15">
      <c r="B50" s="160" t="s">
        <v>819</v>
      </c>
      <c r="C50" s="633">
        <v>300000</v>
      </c>
      <c r="D50" s="633">
        <v>123000</v>
      </c>
      <c r="E50" s="631">
        <f t="shared" si="0"/>
        <v>423000</v>
      </c>
      <c r="G50" s="652">
        <f>C50*(1+'Tab 2'!$E$21)</f>
        <v>485151.61970022705</v>
      </c>
      <c r="H50" s="347">
        <f>D50*(1+'Tab 2'!$E$26)</f>
        <v>85945.579333244546</v>
      </c>
      <c r="I50" s="631">
        <f t="shared" si="1"/>
        <v>571097.19903347164</v>
      </c>
    </row>
    <row r="51" spans="2:9" x14ac:dyDescent="0.15">
      <c r="B51" s="160" t="s">
        <v>820</v>
      </c>
      <c r="C51" s="633">
        <v>300000</v>
      </c>
      <c r="D51" s="633">
        <v>123000</v>
      </c>
      <c r="E51" s="631">
        <f t="shared" si="0"/>
        <v>423000</v>
      </c>
      <c r="G51" s="652">
        <f>C51*(1+'Tab 2'!$E$21)</f>
        <v>485151.61970022705</v>
      </c>
      <c r="H51" s="347">
        <f>D51*(1+'Tab 2'!$E$26)</f>
        <v>85945.579333244546</v>
      </c>
      <c r="I51" s="631">
        <f t="shared" si="1"/>
        <v>571097.19903347164</v>
      </c>
    </row>
    <row r="52" spans="2:9" x14ac:dyDescent="0.15">
      <c r="B52" s="160" t="s">
        <v>821</v>
      </c>
      <c r="C52" s="633">
        <v>300000</v>
      </c>
      <c r="D52" s="633">
        <v>123000</v>
      </c>
      <c r="E52" s="631">
        <f t="shared" si="0"/>
        <v>423000</v>
      </c>
      <c r="G52" s="652">
        <f>C52*(1+'Tab 2'!$E$21)</f>
        <v>485151.61970022705</v>
      </c>
      <c r="H52" s="347">
        <f>D52*(1+'Tab 2'!$E$26)</f>
        <v>85945.579333244546</v>
      </c>
      <c r="I52" s="631">
        <f t="shared" si="1"/>
        <v>571097.19903347164</v>
      </c>
    </row>
    <row r="53" spans="2:9" x14ac:dyDescent="0.15">
      <c r="B53" s="160" t="s">
        <v>822</v>
      </c>
      <c r="C53" s="633">
        <f>294000-180</f>
        <v>293820</v>
      </c>
      <c r="D53" s="633">
        <f>78000+180</f>
        <v>78180</v>
      </c>
      <c r="E53" s="631">
        <f t="shared" si="0"/>
        <v>372000</v>
      </c>
      <c r="G53" s="652">
        <f>C53*(1+'Tab 2'!$E$21)</f>
        <v>475157.49633440241</v>
      </c>
      <c r="H53" s="347">
        <f>D53*(1+'Tab 2'!$E$26)</f>
        <v>54627.848717667148</v>
      </c>
      <c r="I53" s="631">
        <f t="shared" si="1"/>
        <v>529785.34505206952</v>
      </c>
    </row>
    <row r="54" spans="2:9" x14ac:dyDescent="0.15">
      <c r="B54" s="160" t="s">
        <v>823</v>
      </c>
      <c r="C54" s="633">
        <v>200000</v>
      </c>
      <c r="D54" s="633">
        <v>82000</v>
      </c>
      <c r="E54" s="631">
        <f t="shared" si="0"/>
        <v>282000</v>
      </c>
      <c r="G54" s="652">
        <f>C54*(1+'Tab 2'!$E$21)</f>
        <v>323434.41313348472</v>
      </c>
      <c r="H54" s="347">
        <f>D54*(1+'Tab 2'!$E$26)</f>
        <v>57297.052888829698</v>
      </c>
      <c r="I54" s="631">
        <f t="shared" si="1"/>
        <v>380731.46602231439</v>
      </c>
    </row>
    <row r="55" spans="2:9" x14ac:dyDescent="0.15">
      <c r="B55" s="160" t="s">
        <v>824</v>
      </c>
      <c r="C55" s="633">
        <v>200000</v>
      </c>
      <c r="D55" s="633">
        <v>82000</v>
      </c>
      <c r="E55" s="631">
        <f t="shared" si="0"/>
        <v>282000</v>
      </c>
      <c r="G55" s="652">
        <f>C55*(1+'Tab 2'!$E$21)</f>
        <v>323434.41313348472</v>
      </c>
      <c r="H55" s="347">
        <f>D55*(1+'Tab 2'!$E$26)</f>
        <v>57297.052888829698</v>
      </c>
      <c r="I55" s="631">
        <f t="shared" si="1"/>
        <v>380731.46602231439</v>
      </c>
    </row>
    <row r="56" spans="2:9" x14ac:dyDescent="0.15">
      <c r="B56" s="160" t="s">
        <v>825</v>
      </c>
      <c r="C56" s="633">
        <v>200000</v>
      </c>
      <c r="D56" s="633">
        <v>82000</v>
      </c>
      <c r="E56" s="631">
        <f t="shared" si="0"/>
        <v>282000</v>
      </c>
      <c r="G56" s="652">
        <f>C56*(1+'Tab 2'!$E$21)</f>
        <v>323434.41313348472</v>
      </c>
      <c r="H56" s="347">
        <f>D56*(1+'Tab 2'!$E$26)</f>
        <v>57297.052888829698</v>
      </c>
      <c r="I56" s="631">
        <f t="shared" si="1"/>
        <v>380731.46602231439</v>
      </c>
    </row>
    <row r="57" spans="2:9" x14ac:dyDescent="0.15">
      <c r="B57" s="160" t="s">
        <v>826</v>
      </c>
      <c r="C57" s="633">
        <v>200000</v>
      </c>
      <c r="D57" s="633">
        <v>82000</v>
      </c>
      <c r="E57" s="631">
        <f t="shared" si="0"/>
        <v>282000</v>
      </c>
      <c r="G57" s="652">
        <f>C57*(1+'Tab 2'!$E$21)</f>
        <v>323434.41313348472</v>
      </c>
      <c r="H57" s="347">
        <f>D57*(1+'Tab 2'!$E$26)</f>
        <v>57297.052888829698</v>
      </c>
      <c r="I57" s="631">
        <f t="shared" si="1"/>
        <v>380731.46602231439</v>
      </c>
    </row>
    <row r="58" spans="2:9" x14ac:dyDescent="0.15">
      <c r="B58" s="160" t="s">
        <v>827</v>
      </c>
      <c r="C58" s="633">
        <v>200000</v>
      </c>
      <c r="D58" s="633">
        <v>82000</v>
      </c>
      <c r="E58" s="631">
        <f t="shared" si="0"/>
        <v>282000</v>
      </c>
      <c r="G58" s="652">
        <f>C58*(1+'Tab 2'!$E$21)</f>
        <v>323434.41313348472</v>
      </c>
      <c r="H58" s="347">
        <f>D58*(1+'Tab 2'!$E$26)</f>
        <v>57297.052888829698</v>
      </c>
      <c r="I58" s="631">
        <f t="shared" si="1"/>
        <v>380731.46602231439</v>
      </c>
    </row>
    <row r="59" spans="2:9" x14ac:dyDescent="0.15">
      <c r="B59" s="160" t="s">
        <v>828</v>
      </c>
      <c r="C59" s="633">
        <v>200000</v>
      </c>
      <c r="D59" s="633">
        <v>82000</v>
      </c>
      <c r="E59" s="631">
        <f t="shared" si="0"/>
        <v>282000</v>
      </c>
      <c r="G59" s="652">
        <f>C59*(1+'Tab 2'!$E$21)</f>
        <v>323434.41313348472</v>
      </c>
      <c r="H59" s="347">
        <f>D59*(1+'Tab 2'!$E$26)</f>
        <v>57297.052888829698</v>
      </c>
      <c r="I59" s="631">
        <f t="shared" si="1"/>
        <v>380731.46602231439</v>
      </c>
    </row>
    <row r="60" spans="2:9" x14ac:dyDescent="0.15">
      <c r="B60" s="160" t="s">
        <v>829</v>
      </c>
      <c r="C60" s="633">
        <v>200000</v>
      </c>
      <c r="D60" s="633">
        <v>82000</v>
      </c>
      <c r="E60" s="631">
        <f t="shared" si="0"/>
        <v>282000</v>
      </c>
      <c r="G60" s="652">
        <f>C60*(1+'Tab 2'!$E$21)</f>
        <v>323434.41313348472</v>
      </c>
      <c r="H60" s="347">
        <f>D60*(1+'Tab 2'!$E$26)</f>
        <v>57297.052888829698</v>
      </c>
      <c r="I60" s="631">
        <f t="shared" si="1"/>
        <v>380731.46602231439</v>
      </c>
    </row>
    <row r="61" spans="2:9" x14ac:dyDescent="0.15">
      <c r="B61" s="160" t="s">
        <v>830</v>
      </c>
      <c r="C61" s="633">
        <v>200000</v>
      </c>
      <c r="D61" s="633">
        <v>82000</v>
      </c>
      <c r="E61" s="631">
        <f t="shared" si="0"/>
        <v>282000</v>
      </c>
      <c r="G61" s="652">
        <f>C61*(1+'Tab 2'!$E$21)</f>
        <v>323434.41313348472</v>
      </c>
      <c r="H61" s="347">
        <f>D61*(1+'Tab 2'!$E$26)</f>
        <v>57297.052888829698</v>
      </c>
      <c r="I61" s="631">
        <f t="shared" si="1"/>
        <v>380731.46602231439</v>
      </c>
    </row>
    <row r="62" spans="2:9" x14ac:dyDescent="0.15">
      <c r="B62" s="160" t="s">
        <v>831</v>
      </c>
      <c r="C62" s="633">
        <v>200000</v>
      </c>
      <c r="D62" s="633">
        <v>82000</v>
      </c>
      <c r="E62" s="631">
        <f t="shared" si="0"/>
        <v>282000</v>
      </c>
      <c r="G62" s="652">
        <f>C62*(1+'Tab 2'!$E$21)</f>
        <v>323434.41313348472</v>
      </c>
      <c r="H62" s="347">
        <f>D62*(1+'Tab 2'!$E$26)</f>
        <v>57297.052888829698</v>
      </c>
      <c r="I62" s="631">
        <f t="shared" si="1"/>
        <v>380731.46602231439</v>
      </c>
    </row>
    <row r="63" spans="2:9" x14ac:dyDescent="0.15">
      <c r="B63" s="160" t="s">
        <v>832</v>
      </c>
      <c r="C63" s="633">
        <v>200000</v>
      </c>
      <c r="D63" s="633">
        <v>82000</v>
      </c>
      <c r="E63" s="631">
        <f t="shared" si="0"/>
        <v>282000</v>
      </c>
      <c r="G63" s="652">
        <f>C63*(1+'Tab 2'!$E$21)</f>
        <v>323434.41313348472</v>
      </c>
      <c r="H63" s="347">
        <f>D63*(1+'Tab 2'!$E$26)</f>
        <v>57297.052888829698</v>
      </c>
      <c r="I63" s="631">
        <f t="shared" si="1"/>
        <v>380731.46602231439</v>
      </c>
    </row>
    <row r="64" spans="2:9" x14ac:dyDescent="0.15">
      <c r="B64" s="160" t="s">
        <v>833</v>
      </c>
      <c r="C64" s="633">
        <v>200000</v>
      </c>
      <c r="D64" s="633">
        <v>82000</v>
      </c>
      <c r="E64" s="631">
        <f t="shared" si="0"/>
        <v>282000</v>
      </c>
      <c r="G64" s="652">
        <f>C64*(1+'Tab 2'!$E$21)</f>
        <v>323434.41313348472</v>
      </c>
      <c r="H64" s="347">
        <f>D64*(1+'Tab 2'!$E$26)</f>
        <v>57297.052888829698</v>
      </c>
      <c r="I64" s="631">
        <f t="shared" si="1"/>
        <v>380731.46602231439</v>
      </c>
    </row>
    <row r="65" spans="2:9" x14ac:dyDescent="0.15">
      <c r="B65" s="160" t="s">
        <v>834</v>
      </c>
      <c r="C65" s="633">
        <v>200000</v>
      </c>
      <c r="D65" s="633">
        <v>82000</v>
      </c>
      <c r="E65" s="631">
        <f t="shared" si="0"/>
        <v>282000</v>
      </c>
      <c r="G65" s="652">
        <f>C65*(1+'Tab 2'!$E$21)</f>
        <v>323434.41313348472</v>
      </c>
      <c r="H65" s="347">
        <f>D65*(1+'Tab 2'!$E$26)</f>
        <v>57297.052888829698</v>
      </c>
      <c r="I65" s="631">
        <f t="shared" si="1"/>
        <v>380731.46602231439</v>
      </c>
    </row>
    <row r="66" spans="2:9" x14ac:dyDescent="0.15">
      <c r="B66" s="160" t="s">
        <v>835</v>
      </c>
      <c r="C66" s="633">
        <v>200000</v>
      </c>
      <c r="D66" s="633">
        <v>82000</v>
      </c>
      <c r="E66" s="631">
        <f t="shared" si="0"/>
        <v>282000</v>
      </c>
      <c r="G66" s="652">
        <f>C66*(1+'Tab 2'!$E$21)</f>
        <v>323434.41313348472</v>
      </c>
      <c r="H66" s="347">
        <f>D66*(1+'Tab 2'!$E$26)</f>
        <v>57297.052888829698</v>
      </c>
      <c r="I66" s="631">
        <f t="shared" si="1"/>
        <v>380731.46602231439</v>
      </c>
    </row>
    <row r="67" spans="2:9" x14ac:dyDescent="0.15">
      <c r="B67" s="160" t="s">
        <v>836</v>
      </c>
      <c r="C67" s="633">
        <v>200000</v>
      </c>
      <c r="D67" s="633">
        <v>82000</v>
      </c>
      <c r="E67" s="631">
        <f t="shared" si="0"/>
        <v>282000</v>
      </c>
      <c r="G67" s="652">
        <f>C67*(1+'Tab 2'!$E$21)</f>
        <v>323434.41313348472</v>
      </c>
      <c r="H67" s="347">
        <f>D67*(1+'Tab 2'!$E$26)</f>
        <v>57297.052888829698</v>
      </c>
      <c r="I67" s="631">
        <f t="shared" si="1"/>
        <v>380731.46602231439</v>
      </c>
    </row>
    <row r="68" spans="2:9" x14ac:dyDescent="0.15">
      <c r="B68" s="160" t="s">
        <v>837</v>
      </c>
      <c r="C68" s="633">
        <v>200000</v>
      </c>
      <c r="D68" s="633">
        <v>82000</v>
      </c>
      <c r="E68" s="631">
        <f t="shared" si="0"/>
        <v>282000</v>
      </c>
      <c r="G68" s="652">
        <f>C68*(1+'Tab 2'!$E$21)</f>
        <v>323434.41313348472</v>
      </c>
      <c r="H68" s="347">
        <f>D68*(1+'Tab 2'!$E$26)</f>
        <v>57297.052888829698</v>
      </c>
      <c r="I68" s="631">
        <f t="shared" si="1"/>
        <v>380731.46602231439</v>
      </c>
    </row>
    <row r="69" spans="2:9" x14ac:dyDescent="0.15">
      <c r="B69" s="160" t="s">
        <v>838</v>
      </c>
      <c r="C69" s="633">
        <v>200000</v>
      </c>
      <c r="D69" s="633">
        <v>82000</v>
      </c>
      <c r="E69" s="631">
        <f t="shared" si="0"/>
        <v>282000</v>
      </c>
      <c r="G69" s="652">
        <f>C69*(1+'Tab 2'!$E$21)</f>
        <v>323434.41313348472</v>
      </c>
      <c r="H69" s="347">
        <f>D69*(1+'Tab 2'!$E$26)</f>
        <v>57297.052888829698</v>
      </c>
      <c r="I69" s="631">
        <f t="shared" si="1"/>
        <v>380731.46602231439</v>
      </c>
    </row>
    <row r="70" spans="2:9" x14ac:dyDescent="0.15">
      <c r="B70" s="160" t="s">
        <v>839</v>
      </c>
      <c r="C70" s="633">
        <v>200000</v>
      </c>
      <c r="D70" s="633">
        <v>82000</v>
      </c>
      <c r="E70" s="631">
        <f t="shared" si="0"/>
        <v>282000</v>
      </c>
      <c r="G70" s="652">
        <f>C70*(1+'Tab 2'!$E$21)</f>
        <v>323434.41313348472</v>
      </c>
      <c r="H70" s="347">
        <f>D70*(1+'Tab 2'!$E$26)</f>
        <v>57297.052888829698</v>
      </c>
      <c r="I70" s="631">
        <f t="shared" si="1"/>
        <v>380731.46602231439</v>
      </c>
    </row>
    <row r="71" spans="2:9" x14ac:dyDescent="0.15">
      <c r="B71" s="160" t="s">
        <v>840</v>
      </c>
      <c r="C71" s="633">
        <v>200000</v>
      </c>
      <c r="D71" s="633">
        <v>82000</v>
      </c>
      <c r="E71" s="631">
        <f t="shared" si="0"/>
        <v>282000</v>
      </c>
      <c r="G71" s="652">
        <f>C71*(1+'Tab 2'!$E$21)</f>
        <v>323434.41313348472</v>
      </c>
      <c r="H71" s="347">
        <f>D71*(1+'Tab 2'!$E$26)</f>
        <v>57297.052888829698</v>
      </c>
      <c r="I71" s="631">
        <f t="shared" si="1"/>
        <v>380731.46602231439</v>
      </c>
    </row>
    <row r="72" spans="2:9" x14ac:dyDescent="0.15">
      <c r="B72" s="160" t="s">
        <v>841</v>
      </c>
      <c r="C72" s="633">
        <v>200000</v>
      </c>
      <c r="D72" s="633">
        <v>82000</v>
      </c>
      <c r="E72" s="631">
        <f t="shared" ref="E72:E129" si="2">SUM(C72:D72)</f>
        <v>282000</v>
      </c>
      <c r="G72" s="652">
        <f>C72*(1+'Tab 2'!$E$21)</f>
        <v>323434.41313348472</v>
      </c>
      <c r="H72" s="347">
        <f>D72*(1+'Tab 2'!$E$26)</f>
        <v>57297.052888829698</v>
      </c>
      <c r="I72" s="631">
        <f t="shared" ref="I72:I121" si="3">SUM(G72:H72)</f>
        <v>380731.46602231439</v>
      </c>
    </row>
    <row r="73" spans="2:9" x14ac:dyDescent="0.15">
      <c r="B73" s="160" t="s">
        <v>842</v>
      </c>
      <c r="C73" s="633">
        <v>200000</v>
      </c>
      <c r="D73" s="633">
        <v>82000</v>
      </c>
      <c r="E73" s="631">
        <f t="shared" si="2"/>
        <v>282000</v>
      </c>
      <c r="G73" s="652">
        <f>C73*(1+'Tab 2'!$E$21)</f>
        <v>323434.41313348472</v>
      </c>
      <c r="H73" s="347">
        <f>D73*(1+'Tab 2'!$E$26)</f>
        <v>57297.052888829698</v>
      </c>
      <c r="I73" s="631">
        <f t="shared" si="3"/>
        <v>380731.46602231439</v>
      </c>
    </row>
    <row r="74" spans="2:9" x14ac:dyDescent="0.15">
      <c r="B74" s="160" t="s">
        <v>843</v>
      </c>
      <c r="C74" s="633">
        <v>200000</v>
      </c>
      <c r="D74" s="633">
        <v>82000</v>
      </c>
      <c r="E74" s="631">
        <f t="shared" si="2"/>
        <v>282000</v>
      </c>
      <c r="G74" s="652">
        <f>C74*(1+'Tab 2'!$E$21)</f>
        <v>323434.41313348472</v>
      </c>
      <c r="H74" s="347">
        <f>D74*(1+'Tab 2'!$E$26)</f>
        <v>57297.052888829698</v>
      </c>
      <c r="I74" s="631">
        <f t="shared" si="3"/>
        <v>380731.46602231439</v>
      </c>
    </row>
    <row r="75" spans="2:9" x14ac:dyDescent="0.15">
      <c r="B75" s="160" t="s">
        <v>844</v>
      </c>
      <c r="C75" s="633">
        <v>200000</v>
      </c>
      <c r="D75" s="633">
        <v>82000</v>
      </c>
      <c r="E75" s="631">
        <f t="shared" si="2"/>
        <v>282000</v>
      </c>
      <c r="G75" s="652">
        <f>C75*(1+'Tab 2'!$E$21)</f>
        <v>323434.41313348472</v>
      </c>
      <c r="H75" s="347">
        <f>D75*(1+'Tab 2'!$E$26)</f>
        <v>57297.052888829698</v>
      </c>
      <c r="I75" s="631">
        <f t="shared" si="3"/>
        <v>380731.46602231439</v>
      </c>
    </row>
    <row r="76" spans="2:9" x14ac:dyDescent="0.15">
      <c r="B76" s="160" t="s">
        <v>845</v>
      </c>
      <c r="C76" s="633">
        <v>200000</v>
      </c>
      <c r="D76" s="633">
        <v>82000</v>
      </c>
      <c r="E76" s="631">
        <f t="shared" si="2"/>
        <v>282000</v>
      </c>
      <c r="G76" s="652">
        <f>C76*(1+'Tab 2'!$E$21)</f>
        <v>323434.41313348472</v>
      </c>
      <c r="H76" s="347">
        <f>D76*(1+'Tab 2'!$E$26)</f>
        <v>57297.052888829698</v>
      </c>
      <c r="I76" s="631">
        <f t="shared" si="3"/>
        <v>380731.46602231439</v>
      </c>
    </row>
    <row r="77" spans="2:9" x14ac:dyDescent="0.15">
      <c r="B77" s="160" t="s">
        <v>846</v>
      </c>
      <c r="C77" s="633">
        <v>200000</v>
      </c>
      <c r="D77" s="633">
        <v>82000</v>
      </c>
      <c r="E77" s="631">
        <f t="shared" si="2"/>
        <v>282000</v>
      </c>
      <c r="G77" s="652">
        <f>C77*(1+'Tab 2'!$E$21)</f>
        <v>323434.41313348472</v>
      </c>
      <c r="H77" s="347">
        <f>D77*(1+'Tab 2'!$E$26)</f>
        <v>57297.052888829698</v>
      </c>
      <c r="I77" s="631">
        <f t="shared" si="3"/>
        <v>380731.46602231439</v>
      </c>
    </row>
    <row r="78" spans="2:9" x14ac:dyDescent="0.15">
      <c r="B78" s="160" t="s">
        <v>847</v>
      </c>
      <c r="C78" s="633">
        <v>200000</v>
      </c>
      <c r="D78" s="633">
        <v>82000</v>
      </c>
      <c r="E78" s="631">
        <f t="shared" si="2"/>
        <v>282000</v>
      </c>
      <c r="G78" s="652">
        <f>C78*(1+'Tab 2'!$E$21)</f>
        <v>323434.41313348472</v>
      </c>
      <c r="H78" s="347">
        <f>D78*(1+'Tab 2'!$E$26)</f>
        <v>57297.052888829698</v>
      </c>
      <c r="I78" s="631">
        <f t="shared" si="3"/>
        <v>380731.46602231439</v>
      </c>
    </row>
    <row r="79" spans="2:9" x14ac:dyDescent="0.15">
      <c r="B79" s="160" t="s">
        <v>848</v>
      </c>
      <c r="C79" s="633">
        <v>200000</v>
      </c>
      <c r="D79" s="633">
        <v>82000</v>
      </c>
      <c r="E79" s="631">
        <f t="shared" si="2"/>
        <v>282000</v>
      </c>
      <c r="G79" s="652">
        <f>C79*(1+'Tab 2'!$E$21)</f>
        <v>323434.41313348472</v>
      </c>
      <c r="H79" s="347">
        <f>D79*(1+'Tab 2'!$E$26)</f>
        <v>57297.052888829698</v>
      </c>
      <c r="I79" s="631">
        <f t="shared" si="3"/>
        <v>380731.46602231439</v>
      </c>
    </row>
    <row r="80" spans="2:9" x14ac:dyDescent="0.15">
      <c r="B80" s="160" t="s">
        <v>849</v>
      </c>
      <c r="C80" s="633">
        <v>200000</v>
      </c>
      <c r="D80" s="633">
        <v>82000</v>
      </c>
      <c r="E80" s="631">
        <f t="shared" si="2"/>
        <v>282000</v>
      </c>
      <c r="G80" s="652">
        <f>C80*(1+'Tab 2'!$E$21)</f>
        <v>323434.41313348472</v>
      </c>
      <c r="H80" s="347">
        <f>D80*(1+'Tab 2'!$E$26)</f>
        <v>57297.052888829698</v>
      </c>
      <c r="I80" s="631">
        <f t="shared" si="3"/>
        <v>380731.46602231439</v>
      </c>
    </row>
    <row r="81" spans="2:9" x14ac:dyDescent="0.15">
      <c r="B81" s="160" t="s">
        <v>850</v>
      </c>
      <c r="C81" s="633">
        <v>200000</v>
      </c>
      <c r="D81" s="633">
        <v>82000</v>
      </c>
      <c r="E81" s="631">
        <f t="shared" si="2"/>
        <v>282000</v>
      </c>
      <c r="G81" s="652">
        <f>C81*(1+'Tab 2'!$E$21)</f>
        <v>323434.41313348472</v>
      </c>
      <c r="H81" s="347">
        <f>D81*(1+'Tab 2'!$E$26)</f>
        <v>57297.052888829698</v>
      </c>
      <c r="I81" s="631">
        <f t="shared" si="3"/>
        <v>380731.46602231439</v>
      </c>
    </row>
    <row r="82" spans="2:9" x14ac:dyDescent="0.15">
      <c r="B82" s="160" t="s">
        <v>851</v>
      </c>
      <c r="C82" s="633">
        <v>100000</v>
      </c>
      <c r="D82" s="633">
        <v>41000</v>
      </c>
      <c r="E82" s="631">
        <f t="shared" si="2"/>
        <v>141000</v>
      </c>
      <c r="G82" s="652">
        <f>C82*(1+'Tab 2'!$E$21)</f>
        <v>161717.20656674236</v>
      </c>
      <c r="H82" s="347">
        <f>D82*(1+'Tab 2'!$E$26)</f>
        <v>28648.526444414849</v>
      </c>
      <c r="I82" s="631">
        <f t="shared" si="3"/>
        <v>190365.73301115719</v>
      </c>
    </row>
    <row r="83" spans="2:9" x14ac:dyDescent="0.15">
      <c r="B83" s="160" t="s">
        <v>852</v>
      </c>
      <c r="C83" s="633">
        <v>100000</v>
      </c>
      <c r="D83" s="633">
        <v>41000</v>
      </c>
      <c r="E83" s="631">
        <f t="shared" si="2"/>
        <v>141000</v>
      </c>
      <c r="G83" s="652">
        <f>C83*(1+'Tab 2'!$E$21)</f>
        <v>161717.20656674236</v>
      </c>
      <c r="H83" s="347">
        <f>D83*(1+'Tab 2'!$E$26)</f>
        <v>28648.526444414849</v>
      </c>
      <c r="I83" s="631">
        <f t="shared" si="3"/>
        <v>190365.73301115719</v>
      </c>
    </row>
    <row r="84" spans="2:9" x14ac:dyDescent="0.15">
      <c r="B84" s="160" t="s">
        <v>853</v>
      </c>
      <c r="C84" s="633">
        <v>100000</v>
      </c>
      <c r="D84" s="633">
        <v>41000</v>
      </c>
      <c r="E84" s="631">
        <f t="shared" si="2"/>
        <v>141000</v>
      </c>
      <c r="G84" s="652">
        <f>C84*(1+'Tab 2'!$E$21)</f>
        <v>161717.20656674236</v>
      </c>
      <c r="H84" s="347">
        <f>D84*(1+'Tab 2'!$E$26)</f>
        <v>28648.526444414849</v>
      </c>
      <c r="I84" s="631">
        <f t="shared" si="3"/>
        <v>190365.73301115719</v>
      </c>
    </row>
    <row r="85" spans="2:9" x14ac:dyDescent="0.15">
      <c r="B85" s="160" t="s">
        <v>854</v>
      </c>
      <c r="C85" s="633">
        <v>100000</v>
      </c>
      <c r="D85" s="633">
        <v>41000</v>
      </c>
      <c r="E85" s="631">
        <f t="shared" si="2"/>
        <v>141000</v>
      </c>
      <c r="G85" s="652">
        <f>C85*(1+'Tab 2'!$E$21)</f>
        <v>161717.20656674236</v>
      </c>
      <c r="H85" s="347">
        <f>D85*(1+'Tab 2'!$E$26)</f>
        <v>28648.526444414849</v>
      </c>
      <c r="I85" s="631">
        <f t="shared" si="3"/>
        <v>190365.73301115719</v>
      </c>
    </row>
    <row r="86" spans="2:9" x14ac:dyDescent="0.15">
      <c r="B86" s="160" t="s">
        <v>855</v>
      </c>
      <c r="C86" s="633">
        <v>100000</v>
      </c>
      <c r="D86" s="633">
        <v>41000</v>
      </c>
      <c r="E86" s="631">
        <f t="shared" si="2"/>
        <v>141000</v>
      </c>
      <c r="G86" s="652">
        <f>C86*(1+'Tab 2'!$E$21)</f>
        <v>161717.20656674236</v>
      </c>
      <c r="H86" s="347">
        <f>D86*(1+'Tab 2'!$E$26)</f>
        <v>28648.526444414849</v>
      </c>
      <c r="I86" s="631">
        <f t="shared" si="3"/>
        <v>190365.73301115719</v>
      </c>
    </row>
    <row r="87" spans="2:9" x14ac:dyDescent="0.15">
      <c r="B87" s="160" t="s">
        <v>856</v>
      </c>
      <c r="C87" s="633">
        <v>100000</v>
      </c>
      <c r="D87" s="633">
        <v>41000</v>
      </c>
      <c r="E87" s="631">
        <f t="shared" si="2"/>
        <v>141000</v>
      </c>
      <c r="G87" s="652">
        <f>C87*(1+'Tab 2'!$E$21)</f>
        <v>161717.20656674236</v>
      </c>
      <c r="H87" s="347">
        <f>D87*(1+'Tab 2'!$E$26)</f>
        <v>28648.526444414849</v>
      </c>
      <c r="I87" s="631">
        <f t="shared" si="3"/>
        <v>190365.73301115719</v>
      </c>
    </row>
    <row r="88" spans="2:9" x14ac:dyDescent="0.15">
      <c r="B88" s="160" t="s">
        <v>857</v>
      </c>
      <c r="C88" s="633">
        <v>100000</v>
      </c>
      <c r="D88" s="633">
        <v>41000</v>
      </c>
      <c r="E88" s="631">
        <f t="shared" si="2"/>
        <v>141000</v>
      </c>
      <c r="G88" s="652">
        <f>C88*(1+'Tab 2'!$E$21)</f>
        <v>161717.20656674236</v>
      </c>
      <c r="H88" s="347">
        <f>D88*(1+'Tab 2'!$E$26)</f>
        <v>28648.526444414849</v>
      </c>
      <c r="I88" s="631">
        <f t="shared" si="3"/>
        <v>190365.73301115719</v>
      </c>
    </row>
    <row r="89" spans="2:9" x14ac:dyDescent="0.15">
      <c r="B89" s="160" t="s">
        <v>858</v>
      </c>
      <c r="C89" s="633">
        <v>100000</v>
      </c>
      <c r="D89" s="633">
        <v>41000</v>
      </c>
      <c r="E89" s="631">
        <f t="shared" si="2"/>
        <v>141000</v>
      </c>
      <c r="G89" s="652">
        <f>C89*(1+'Tab 2'!$E$21)</f>
        <v>161717.20656674236</v>
      </c>
      <c r="H89" s="347">
        <f>D89*(1+'Tab 2'!$E$26)</f>
        <v>28648.526444414849</v>
      </c>
      <c r="I89" s="631">
        <f t="shared" si="3"/>
        <v>190365.73301115719</v>
      </c>
    </row>
    <row r="90" spans="2:9" x14ac:dyDescent="0.15">
      <c r="B90" s="160" t="s">
        <v>859</v>
      </c>
      <c r="C90" s="633">
        <v>100000</v>
      </c>
      <c r="D90" s="633">
        <v>41000</v>
      </c>
      <c r="E90" s="631">
        <f t="shared" si="2"/>
        <v>141000</v>
      </c>
      <c r="G90" s="652">
        <f>C90*(1+'Tab 2'!$E$21)</f>
        <v>161717.20656674236</v>
      </c>
      <c r="H90" s="347">
        <f>D90*(1+'Tab 2'!$E$26)</f>
        <v>28648.526444414849</v>
      </c>
      <c r="I90" s="631">
        <f t="shared" si="3"/>
        <v>190365.73301115719</v>
      </c>
    </row>
    <row r="91" spans="2:9" x14ac:dyDescent="0.15">
      <c r="B91" s="160" t="s">
        <v>860</v>
      </c>
      <c r="C91" s="633">
        <v>100000</v>
      </c>
      <c r="D91" s="633">
        <v>41000</v>
      </c>
      <c r="E91" s="631">
        <f t="shared" si="2"/>
        <v>141000</v>
      </c>
      <c r="G91" s="652">
        <f>C91*(1+'Tab 2'!$E$21)</f>
        <v>161717.20656674236</v>
      </c>
      <c r="H91" s="347">
        <f>D91*(1+'Tab 2'!$E$26)</f>
        <v>28648.526444414849</v>
      </c>
      <c r="I91" s="631">
        <f t="shared" si="3"/>
        <v>190365.73301115719</v>
      </c>
    </row>
    <row r="92" spans="2:9" x14ac:dyDescent="0.15">
      <c r="B92" s="160" t="s">
        <v>861</v>
      </c>
      <c r="C92" s="633">
        <v>100000</v>
      </c>
      <c r="D92" s="633">
        <v>41000</v>
      </c>
      <c r="E92" s="631">
        <f t="shared" si="2"/>
        <v>141000</v>
      </c>
      <c r="G92" s="652">
        <f>C92*(1+'Tab 2'!$E$21)</f>
        <v>161717.20656674236</v>
      </c>
      <c r="H92" s="347">
        <f>D92*(1+'Tab 2'!$E$26)</f>
        <v>28648.526444414849</v>
      </c>
      <c r="I92" s="631">
        <f t="shared" si="3"/>
        <v>190365.73301115719</v>
      </c>
    </row>
    <row r="93" spans="2:9" x14ac:dyDescent="0.15">
      <c r="B93" s="160" t="s">
        <v>862</v>
      </c>
      <c r="C93" s="633">
        <v>100000</v>
      </c>
      <c r="D93" s="633">
        <v>41000</v>
      </c>
      <c r="E93" s="631">
        <f t="shared" si="2"/>
        <v>141000</v>
      </c>
      <c r="G93" s="652">
        <f>C93*(1+'Tab 2'!$E$21)</f>
        <v>161717.20656674236</v>
      </c>
      <c r="H93" s="347">
        <f>D93*(1+'Tab 2'!$E$26)</f>
        <v>28648.526444414849</v>
      </c>
      <c r="I93" s="631">
        <f t="shared" si="3"/>
        <v>190365.73301115719</v>
      </c>
    </row>
    <row r="94" spans="2:9" x14ac:dyDescent="0.15">
      <c r="B94" s="160" t="s">
        <v>863</v>
      </c>
      <c r="C94" s="633">
        <v>100000</v>
      </c>
      <c r="D94" s="633">
        <v>41000</v>
      </c>
      <c r="E94" s="631">
        <f t="shared" si="2"/>
        <v>141000</v>
      </c>
      <c r="G94" s="652">
        <f>C94*(1+'Tab 2'!$E$21)</f>
        <v>161717.20656674236</v>
      </c>
      <c r="H94" s="347">
        <f>D94*(1+'Tab 2'!$E$26)</f>
        <v>28648.526444414849</v>
      </c>
      <c r="I94" s="631">
        <f t="shared" si="3"/>
        <v>190365.73301115719</v>
      </c>
    </row>
    <row r="95" spans="2:9" x14ac:dyDescent="0.15">
      <c r="B95" s="160" t="s">
        <v>864</v>
      </c>
      <c r="C95" s="633">
        <v>100000</v>
      </c>
      <c r="D95" s="633">
        <v>41000</v>
      </c>
      <c r="E95" s="631">
        <f t="shared" si="2"/>
        <v>141000</v>
      </c>
      <c r="G95" s="652">
        <f>C95*(1+'Tab 2'!$E$21)</f>
        <v>161717.20656674236</v>
      </c>
      <c r="H95" s="347">
        <f>D95*(1+'Tab 2'!$E$26)</f>
        <v>28648.526444414849</v>
      </c>
      <c r="I95" s="631">
        <f t="shared" si="3"/>
        <v>190365.73301115719</v>
      </c>
    </row>
    <row r="96" spans="2:9" x14ac:dyDescent="0.15">
      <c r="B96" s="160" t="s">
        <v>865</v>
      </c>
      <c r="C96" s="633">
        <v>100000</v>
      </c>
      <c r="D96" s="633">
        <v>41000</v>
      </c>
      <c r="E96" s="631">
        <f t="shared" si="2"/>
        <v>141000</v>
      </c>
      <c r="G96" s="652">
        <f>C96*(1+'Tab 2'!$E$21)</f>
        <v>161717.20656674236</v>
      </c>
      <c r="H96" s="347">
        <f>D96*(1+'Tab 2'!$E$26)</f>
        <v>28648.526444414849</v>
      </c>
      <c r="I96" s="631">
        <f t="shared" si="3"/>
        <v>190365.73301115719</v>
      </c>
    </row>
    <row r="97" spans="2:9" x14ac:dyDescent="0.15">
      <c r="B97" s="160" t="s">
        <v>866</v>
      </c>
      <c r="C97" s="633">
        <v>100000</v>
      </c>
      <c r="D97" s="633">
        <v>41000</v>
      </c>
      <c r="E97" s="631">
        <f t="shared" si="2"/>
        <v>141000</v>
      </c>
      <c r="G97" s="652">
        <f>C97*(1+'Tab 2'!$E$21)</f>
        <v>161717.20656674236</v>
      </c>
      <c r="H97" s="347">
        <f>D97*(1+'Tab 2'!$E$26)</f>
        <v>28648.526444414849</v>
      </c>
      <c r="I97" s="631">
        <f t="shared" si="3"/>
        <v>190365.73301115719</v>
      </c>
    </row>
    <row r="98" spans="2:9" x14ac:dyDescent="0.15">
      <c r="B98" s="160" t="s">
        <v>867</v>
      </c>
      <c r="C98" s="633">
        <v>100000</v>
      </c>
      <c r="D98" s="633">
        <v>41000</v>
      </c>
      <c r="E98" s="631">
        <f t="shared" si="2"/>
        <v>141000</v>
      </c>
      <c r="G98" s="652">
        <f>C98*(1+'Tab 2'!$E$21)</f>
        <v>161717.20656674236</v>
      </c>
      <c r="H98" s="347">
        <f>D98*(1+'Tab 2'!$E$26)</f>
        <v>28648.526444414849</v>
      </c>
      <c r="I98" s="631">
        <f t="shared" si="3"/>
        <v>190365.73301115719</v>
      </c>
    </row>
    <row r="99" spans="2:9" x14ac:dyDescent="0.15">
      <c r="B99" s="160" t="s">
        <v>868</v>
      </c>
      <c r="C99" s="633">
        <v>100000</v>
      </c>
      <c r="D99" s="633">
        <v>41000</v>
      </c>
      <c r="E99" s="631">
        <f t="shared" si="2"/>
        <v>141000</v>
      </c>
      <c r="G99" s="652">
        <f>C99*(1+'Tab 2'!$E$21)</f>
        <v>161717.20656674236</v>
      </c>
      <c r="H99" s="347">
        <f>D99*(1+'Tab 2'!$E$26)</f>
        <v>28648.526444414849</v>
      </c>
      <c r="I99" s="631">
        <f t="shared" si="3"/>
        <v>190365.73301115719</v>
      </c>
    </row>
    <row r="100" spans="2:9" x14ac:dyDescent="0.15">
      <c r="B100" s="160" t="s">
        <v>869</v>
      </c>
      <c r="C100" s="633">
        <v>100000</v>
      </c>
      <c r="D100" s="633">
        <v>41000</v>
      </c>
      <c r="E100" s="631">
        <f t="shared" si="2"/>
        <v>141000</v>
      </c>
      <c r="G100" s="652">
        <f>C100*(1+'Tab 2'!$E$21)</f>
        <v>161717.20656674236</v>
      </c>
      <c r="H100" s="347">
        <f>D100*(1+'Tab 2'!$E$26)</f>
        <v>28648.526444414849</v>
      </c>
      <c r="I100" s="631">
        <f t="shared" si="3"/>
        <v>190365.73301115719</v>
      </c>
    </row>
    <row r="101" spans="2:9" x14ac:dyDescent="0.15">
      <c r="B101" s="160" t="s">
        <v>870</v>
      </c>
      <c r="C101" s="633">
        <v>100000</v>
      </c>
      <c r="D101" s="633">
        <v>41000</v>
      </c>
      <c r="E101" s="631">
        <f t="shared" si="2"/>
        <v>141000</v>
      </c>
      <c r="G101" s="652">
        <f>C101*(1+'Tab 2'!$E$21)</f>
        <v>161717.20656674236</v>
      </c>
      <c r="H101" s="347">
        <f>D101*(1+'Tab 2'!$E$26)</f>
        <v>28648.526444414849</v>
      </c>
      <c r="I101" s="631">
        <f t="shared" si="3"/>
        <v>190365.73301115719</v>
      </c>
    </row>
    <row r="102" spans="2:9" x14ac:dyDescent="0.15">
      <c r="B102" s="160" t="s">
        <v>871</v>
      </c>
      <c r="C102" s="633">
        <v>100000</v>
      </c>
      <c r="D102" s="633">
        <v>41000</v>
      </c>
      <c r="E102" s="631">
        <f t="shared" si="2"/>
        <v>141000</v>
      </c>
      <c r="G102" s="652">
        <f>C102*(1+'Tab 2'!$E$21)</f>
        <v>161717.20656674236</v>
      </c>
      <c r="H102" s="347">
        <f>D102*(1+'Tab 2'!$E$26)</f>
        <v>28648.526444414849</v>
      </c>
      <c r="I102" s="631">
        <f t="shared" si="3"/>
        <v>190365.73301115719</v>
      </c>
    </row>
    <row r="103" spans="2:9" x14ac:dyDescent="0.15">
      <c r="B103" s="160" t="s">
        <v>872</v>
      </c>
      <c r="C103" s="633">
        <v>100000</v>
      </c>
      <c r="D103" s="633">
        <v>41000</v>
      </c>
      <c r="E103" s="631">
        <f t="shared" si="2"/>
        <v>141000</v>
      </c>
      <c r="G103" s="652">
        <f>C103*(1+'Tab 2'!$E$21)</f>
        <v>161717.20656674236</v>
      </c>
      <c r="H103" s="347">
        <f>D103*(1+'Tab 2'!$E$26)</f>
        <v>28648.526444414849</v>
      </c>
      <c r="I103" s="631">
        <f t="shared" si="3"/>
        <v>190365.73301115719</v>
      </c>
    </row>
    <row r="104" spans="2:9" x14ac:dyDescent="0.15">
      <c r="B104" s="160" t="s">
        <v>873</v>
      </c>
      <c r="C104" s="633">
        <v>100000</v>
      </c>
      <c r="D104" s="633">
        <v>41000</v>
      </c>
      <c r="E104" s="631">
        <f t="shared" si="2"/>
        <v>141000</v>
      </c>
      <c r="G104" s="652">
        <f>C104*(1+'Tab 2'!$E$21)</f>
        <v>161717.20656674236</v>
      </c>
      <c r="H104" s="347">
        <f>D104*(1+'Tab 2'!$E$26)</f>
        <v>28648.526444414849</v>
      </c>
      <c r="I104" s="631">
        <f t="shared" si="3"/>
        <v>190365.73301115719</v>
      </c>
    </row>
    <row r="105" spans="2:9" x14ac:dyDescent="0.15">
      <c r="B105" s="160" t="s">
        <v>874</v>
      </c>
      <c r="C105" s="633">
        <v>100000</v>
      </c>
      <c r="D105" s="633">
        <v>41000</v>
      </c>
      <c r="E105" s="631">
        <f t="shared" si="2"/>
        <v>141000</v>
      </c>
      <c r="G105" s="652">
        <f>C105*(1+'Tab 2'!$E$21)</f>
        <v>161717.20656674236</v>
      </c>
      <c r="H105" s="347">
        <f>D105*(1+'Tab 2'!$E$26)</f>
        <v>28648.526444414849</v>
      </c>
      <c r="I105" s="631">
        <f t="shared" si="3"/>
        <v>190365.73301115719</v>
      </c>
    </row>
    <row r="106" spans="2:9" x14ac:dyDescent="0.15">
      <c r="B106" s="160" t="s">
        <v>875</v>
      </c>
      <c r="C106" s="633">
        <v>100000</v>
      </c>
      <c r="D106" s="633">
        <v>41000</v>
      </c>
      <c r="E106" s="631">
        <f t="shared" si="2"/>
        <v>141000</v>
      </c>
      <c r="G106" s="652">
        <f>C106*(1+'Tab 2'!$E$21)</f>
        <v>161717.20656674236</v>
      </c>
      <c r="H106" s="347">
        <f>D106*(1+'Tab 2'!$E$26)</f>
        <v>28648.526444414849</v>
      </c>
      <c r="I106" s="631">
        <f t="shared" si="3"/>
        <v>190365.73301115719</v>
      </c>
    </row>
    <row r="107" spans="2:9" x14ac:dyDescent="0.15">
      <c r="B107" s="160" t="s">
        <v>876</v>
      </c>
      <c r="C107" s="633">
        <v>100000</v>
      </c>
      <c r="D107" s="633">
        <v>41000</v>
      </c>
      <c r="E107" s="631">
        <f t="shared" si="2"/>
        <v>141000</v>
      </c>
      <c r="G107" s="652">
        <f>C107*(1+'Tab 2'!$E$21)</f>
        <v>161717.20656674236</v>
      </c>
      <c r="H107" s="347">
        <f>D107*(1+'Tab 2'!$E$26)</f>
        <v>28648.526444414849</v>
      </c>
      <c r="I107" s="631">
        <f t="shared" si="3"/>
        <v>190365.73301115719</v>
      </c>
    </row>
    <row r="108" spans="2:9" x14ac:dyDescent="0.15">
      <c r="B108" s="160" t="s">
        <v>877</v>
      </c>
      <c r="C108" s="633">
        <v>100000</v>
      </c>
      <c r="D108" s="633">
        <v>41000</v>
      </c>
      <c r="E108" s="631">
        <f t="shared" si="2"/>
        <v>141000</v>
      </c>
      <c r="G108" s="652">
        <f>C108*(1+'Tab 2'!$E$21)</f>
        <v>161717.20656674236</v>
      </c>
      <c r="H108" s="347">
        <f>D108*(1+'Tab 2'!$E$26)</f>
        <v>28648.526444414849</v>
      </c>
      <c r="I108" s="631">
        <f t="shared" si="3"/>
        <v>190365.73301115719</v>
      </c>
    </row>
    <row r="109" spans="2:9" x14ac:dyDescent="0.15">
      <c r="B109" s="160" t="s">
        <v>878</v>
      </c>
      <c r="C109" s="633">
        <v>100000</v>
      </c>
      <c r="D109" s="633">
        <v>41000</v>
      </c>
      <c r="E109" s="631">
        <f t="shared" si="2"/>
        <v>141000</v>
      </c>
      <c r="G109" s="652">
        <f>C109*(1+'Tab 2'!$E$21)</f>
        <v>161717.20656674236</v>
      </c>
      <c r="H109" s="347">
        <f>D109*(1+'Tab 2'!$E$26)</f>
        <v>28648.526444414849</v>
      </c>
      <c r="I109" s="631">
        <f t="shared" si="3"/>
        <v>190365.73301115719</v>
      </c>
    </row>
    <row r="110" spans="2:9" x14ac:dyDescent="0.15">
      <c r="B110" s="160" t="s">
        <v>879</v>
      </c>
      <c r="C110" s="633">
        <v>50000</v>
      </c>
      <c r="D110" s="633">
        <v>20500</v>
      </c>
      <c r="E110" s="631">
        <f t="shared" si="2"/>
        <v>70500</v>
      </c>
      <c r="G110" s="652">
        <f>C110*(1+'Tab 2'!$E$21)</f>
        <v>80858.60328337118</v>
      </c>
      <c r="H110" s="347">
        <f>D110*(1+'Tab 2'!$E$26)</f>
        <v>14324.263222207424</v>
      </c>
      <c r="I110" s="631">
        <f t="shared" si="3"/>
        <v>95182.866505578597</v>
      </c>
    </row>
    <row r="111" spans="2:9" x14ac:dyDescent="0.15">
      <c r="B111" s="160" t="s">
        <v>880</v>
      </c>
      <c r="C111" s="633">
        <v>50000</v>
      </c>
      <c r="D111" s="633">
        <v>20500</v>
      </c>
      <c r="E111" s="631">
        <f t="shared" si="2"/>
        <v>70500</v>
      </c>
      <c r="G111" s="652">
        <f>C111*(1+'Tab 2'!$E$21)</f>
        <v>80858.60328337118</v>
      </c>
      <c r="H111" s="347">
        <f>D111*(1+'Tab 2'!$E$26)</f>
        <v>14324.263222207424</v>
      </c>
      <c r="I111" s="631">
        <f t="shared" si="3"/>
        <v>95182.866505578597</v>
      </c>
    </row>
    <row r="112" spans="2:9" x14ac:dyDescent="0.15">
      <c r="B112" s="160" t="s">
        <v>881</v>
      </c>
      <c r="C112" s="633">
        <v>50000</v>
      </c>
      <c r="D112" s="633">
        <v>20500</v>
      </c>
      <c r="E112" s="631">
        <f t="shared" si="2"/>
        <v>70500</v>
      </c>
      <c r="G112" s="652">
        <f>C112*(1+'Tab 2'!$E$21)</f>
        <v>80858.60328337118</v>
      </c>
      <c r="H112" s="347">
        <f>D112*(1+'Tab 2'!$E$26)</f>
        <v>14324.263222207424</v>
      </c>
      <c r="I112" s="631">
        <f t="shared" si="3"/>
        <v>95182.866505578597</v>
      </c>
    </row>
    <row r="113" spans="2:9" x14ac:dyDescent="0.15">
      <c r="B113" s="160" t="s">
        <v>882</v>
      </c>
      <c r="C113" s="633">
        <v>50000</v>
      </c>
      <c r="D113" s="633">
        <v>20500</v>
      </c>
      <c r="E113" s="631">
        <f t="shared" si="2"/>
        <v>70500</v>
      </c>
      <c r="G113" s="652">
        <f>C113*(1+'Tab 2'!$E$21)</f>
        <v>80858.60328337118</v>
      </c>
      <c r="H113" s="347">
        <f>D113*(1+'Tab 2'!$E$26)</f>
        <v>14324.263222207424</v>
      </c>
      <c r="I113" s="631">
        <f t="shared" si="3"/>
        <v>95182.866505578597</v>
      </c>
    </row>
    <row r="114" spans="2:9" x14ac:dyDescent="0.15">
      <c r="B114" s="160" t="s">
        <v>883</v>
      </c>
      <c r="C114" s="633">
        <v>50000</v>
      </c>
      <c r="D114" s="633">
        <v>20500</v>
      </c>
      <c r="E114" s="631">
        <f t="shared" si="2"/>
        <v>70500</v>
      </c>
      <c r="G114" s="652">
        <f>C114*(1+'Tab 2'!$E$21)</f>
        <v>80858.60328337118</v>
      </c>
      <c r="H114" s="347">
        <f>D114*(1+'Tab 2'!$E$26)</f>
        <v>14324.263222207424</v>
      </c>
      <c r="I114" s="631">
        <f t="shared" si="3"/>
        <v>95182.866505578597</v>
      </c>
    </row>
    <row r="115" spans="2:9" x14ac:dyDescent="0.15">
      <c r="B115" s="160" t="s">
        <v>884</v>
      </c>
      <c r="C115" s="633">
        <v>50000</v>
      </c>
      <c r="D115" s="633">
        <v>20500</v>
      </c>
      <c r="E115" s="631">
        <f t="shared" si="2"/>
        <v>70500</v>
      </c>
      <c r="G115" s="652">
        <f>C115*(1+'Tab 2'!$E$21)</f>
        <v>80858.60328337118</v>
      </c>
      <c r="H115" s="347">
        <f>D115*(1+'Tab 2'!$E$26)</f>
        <v>14324.263222207424</v>
      </c>
      <c r="I115" s="631">
        <f t="shared" si="3"/>
        <v>95182.866505578597</v>
      </c>
    </row>
    <row r="116" spans="2:9" x14ac:dyDescent="0.15">
      <c r="B116" s="160" t="s">
        <v>885</v>
      </c>
      <c r="C116" s="633">
        <v>50000</v>
      </c>
      <c r="D116" s="633">
        <v>20500</v>
      </c>
      <c r="E116" s="631">
        <f t="shared" si="2"/>
        <v>70500</v>
      </c>
      <c r="G116" s="652">
        <f>C116*(1+'Tab 2'!$E$21)</f>
        <v>80858.60328337118</v>
      </c>
      <c r="H116" s="347">
        <f>D116*(1+'Tab 2'!$E$26)</f>
        <v>14324.263222207424</v>
      </c>
      <c r="I116" s="631">
        <f t="shared" si="3"/>
        <v>95182.866505578597</v>
      </c>
    </row>
    <row r="117" spans="2:9" x14ac:dyDescent="0.15">
      <c r="B117" s="160" t="s">
        <v>886</v>
      </c>
      <c r="C117" s="633">
        <v>50000</v>
      </c>
      <c r="D117" s="633">
        <v>20500</v>
      </c>
      <c r="E117" s="631">
        <f t="shared" si="2"/>
        <v>70500</v>
      </c>
      <c r="G117" s="652">
        <f>C117*(1+'Tab 2'!$E$21)</f>
        <v>80858.60328337118</v>
      </c>
      <c r="H117" s="347">
        <f>D117*(1+'Tab 2'!$E$26)</f>
        <v>14324.263222207424</v>
      </c>
      <c r="I117" s="631">
        <f t="shared" si="3"/>
        <v>95182.866505578597</v>
      </c>
    </row>
    <row r="118" spans="2:9" x14ac:dyDescent="0.15">
      <c r="B118" s="160" t="s">
        <v>887</v>
      </c>
      <c r="C118" s="633">
        <v>50000</v>
      </c>
      <c r="D118" s="633">
        <v>20500</v>
      </c>
      <c r="E118" s="631">
        <f t="shared" si="2"/>
        <v>70500</v>
      </c>
      <c r="G118" s="652">
        <f>C118*(1+'Tab 2'!$E$21)</f>
        <v>80858.60328337118</v>
      </c>
      <c r="H118" s="347">
        <f>D118*(1+'Tab 2'!$E$26)</f>
        <v>14324.263222207424</v>
      </c>
      <c r="I118" s="631">
        <f t="shared" si="3"/>
        <v>95182.866505578597</v>
      </c>
    </row>
    <row r="119" spans="2:9" x14ac:dyDescent="0.15">
      <c r="B119" s="160" t="s">
        <v>888</v>
      </c>
      <c r="C119" s="633">
        <v>50000</v>
      </c>
      <c r="D119" s="633">
        <v>20500</v>
      </c>
      <c r="E119" s="631">
        <f t="shared" si="2"/>
        <v>70500</v>
      </c>
      <c r="G119" s="652">
        <f>C119*(1+'Tab 2'!$E$21)</f>
        <v>80858.60328337118</v>
      </c>
      <c r="H119" s="347">
        <f>D119*(1+'Tab 2'!$E$26)</f>
        <v>14324.263222207424</v>
      </c>
      <c r="I119" s="631">
        <f t="shared" si="3"/>
        <v>95182.866505578597</v>
      </c>
    </row>
    <row r="120" spans="2:9" x14ac:dyDescent="0.15">
      <c r="B120" s="160" t="s">
        <v>889</v>
      </c>
      <c r="C120" s="633">
        <v>50000</v>
      </c>
      <c r="D120" s="633">
        <v>20500</v>
      </c>
      <c r="E120" s="631">
        <f t="shared" si="2"/>
        <v>70500</v>
      </c>
      <c r="G120" s="652">
        <f>C120*(1+'Tab 2'!$E$21)</f>
        <v>80858.60328337118</v>
      </c>
      <c r="H120" s="347">
        <f>D120*(1+'Tab 2'!$E$26)</f>
        <v>14324.263222207424</v>
      </c>
      <c r="I120" s="631">
        <f t="shared" si="3"/>
        <v>95182.866505578597</v>
      </c>
    </row>
    <row r="121" spans="2:9" x14ac:dyDescent="0.15">
      <c r="B121" s="160" t="s">
        <v>890</v>
      </c>
      <c r="C121" s="633">
        <v>50000</v>
      </c>
      <c r="D121" s="633">
        <v>20500</v>
      </c>
      <c r="E121" s="631">
        <f t="shared" si="2"/>
        <v>70500</v>
      </c>
      <c r="G121" s="652">
        <f>C121*(1+'Tab 2'!$E$21)</f>
        <v>80858.60328337118</v>
      </c>
      <c r="H121" s="347">
        <f>D121*(1+'Tab 2'!$E$26)</f>
        <v>14324.263222207424</v>
      </c>
      <c r="I121" s="631">
        <f t="shared" si="3"/>
        <v>95182.866505578597</v>
      </c>
    </row>
    <row r="122" spans="2:9" x14ac:dyDescent="0.15">
      <c r="B122" s="634" t="s">
        <v>898</v>
      </c>
      <c r="C122" s="635">
        <f>SUM(C7:C121)</f>
        <v>27293820</v>
      </c>
      <c r="D122" s="635">
        <f t="shared" ref="D122:E122" si="4">SUM(D7:D121)</f>
        <v>11148180</v>
      </c>
      <c r="E122" s="637">
        <f t="shared" si="4"/>
        <v>38442000</v>
      </c>
      <c r="G122" s="653">
        <f>SUM(G7:G121)</f>
        <v>44138803.269354858</v>
      </c>
      <c r="H122" s="635">
        <f t="shared" ref="H122:I122" si="5">SUM(H7:H121)</f>
        <v>7789729.9887096612</v>
      </c>
      <c r="I122" s="637">
        <f t="shared" si="5"/>
        <v>51928533.258064449</v>
      </c>
    </row>
    <row r="123" spans="2:9" x14ac:dyDescent="0.15">
      <c r="B123" s="160" t="s">
        <v>891</v>
      </c>
      <c r="C123" s="639">
        <v>0</v>
      </c>
      <c r="D123" s="639">
        <v>0</v>
      </c>
      <c r="E123" s="631">
        <f t="shared" si="2"/>
        <v>0</v>
      </c>
      <c r="G123" s="654">
        <v>30000</v>
      </c>
      <c r="H123" s="633">
        <v>5000</v>
      </c>
      <c r="I123" s="631">
        <f t="shared" ref="I123:I129" si="6">SUM(G123:H123)</f>
        <v>35000</v>
      </c>
    </row>
    <row r="124" spans="2:9" x14ac:dyDescent="0.15">
      <c r="B124" s="160" t="s">
        <v>892</v>
      </c>
      <c r="C124" s="639">
        <v>0</v>
      </c>
      <c r="D124" s="639">
        <v>0</v>
      </c>
      <c r="E124" s="631">
        <f t="shared" si="2"/>
        <v>0</v>
      </c>
      <c r="G124" s="654">
        <v>30000</v>
      </c>
      <c r="H124" s="633">
        <v>5000</v>
      </c>
      <c r="I124" s="631">
        <f t="shared" si="6"/>
        <v>35000</v>
      </c>
    </row>
    <row r="125" spans="2:9" x14ac:dyDescent="0.15">
      <c r="B125" s="160" t="s">
        <v>893</v>
      </c>
      <c r="C125" s="639">
        <v>0</v>
      </c>
      <c r="D125" s="639">
        <v>0</v>
      </c>
      <c r="E125" s="631">
        <f t="shared" si="2"/>
        <v>0</v>
      </c>
      <c r="G125" s="654">
        <v>30000</v>
      </c>
      <c r="H125" s="633">
        <v>5000</v>
      </c>
      <c r="I125" s="631">
        <f t="shared" si="6"/>
        <v>35000</v>
      </c>
    </row>
    <row r="126" spans="2:9" x14ac:dyDescent="0.15">
      <c r="B126" s="160" t="s">
        <v>894</v>
      </c>
      <c r="C126" s="639">
        <v>0</v>
      </c>
      <c r="D126" s="639">
        <v>0</v>
      </c>
      <c r="E126" s="631">
        <f t="shared" si="2"/>
        <v>0</v>
      </c>
      <c r="G126" s="654">
        <v>30000</v>
      </c>
      <c r="H126" s="633">
        <v>5000</v>
      </c>
      <c r="I126" s="631">
        <f t="shared" si="6"/>
        <v>35000</v>
      </c>
    </row>
    <row r="127" spans="2:9" x14ac:dyDescent="0.15">
      <c r="B127" s="160" t="s">
        <v>895</v>
      </c>
      <c r="C127" s="639">
        <v>0</v>
      </c>
      <c r="D127" s="639">
        <v>0</v>
      </c>
      <c r="E127" s="631">
        <f t="shared" si="2"/>
        <v>0</v>
      </c>
      <c r="G127" s="654">
        <v>30000</v>
      </c>
      <c r="H127" s="633">
        <v>5000</v>
      </c>
      <c r="I127" s="631">
        <f t="shared" si="6"/>
        <v>35000</v>
      </c>
    </row>
    <row r="128" spans="2:9" x14ac:dyDescent="0.15">
      <c r="B128" s="160" t="s">
        <v>896</v>
      </c>
      <c r="C128" s="639">
        <v>0</v>
      </c>
      <c r="D128" s="639">
        <v>0</v>
      </c>
      <c r="E128" s="631">
        <f t="shared" si="2"/>
        <v>0</v>
      </c>
      <c r="G128" s="654">
        <v>20000</v>
      </c>
      <c r="H128" s="633">
        <v>4000</v>
      </c>
      <c r="I128" s="631">
        <f t="shared" si="6"/>
        <v>24000</v>
      </c>
    </row>
    <row r="129" spans="2:9" x14ac:dyDescent="0.15">
      <c r="B129" s="160" t="s">
        <v>897</v>
      </c>
      <c r="C129" s="639">
        <v>0</v>
      </c>
      <c r="D129" s="639">
        <v>0</v>
      </c>
      <c r="E129" s="631">
        <f t="shared" si="2"/>
        <v>0</v>
      </c>
      <c r="G129" s="654">
        <v>20000</v>
      </c>
      <c r="H129" s="633">
        <v>4000</v>
      </c>
      <c r="I129" s="631">
        <f t="shared" si="6"/>
        <v>24000</v>
      </c>
    </row>
    <row r="130" spans="2:9" x14ac:dyDescent="0.15">
      <c r="B130" s="634" t="s">
        <v>899</v>
      </c>
      <c r="C130" s="635">
        <f>SUM(C123:C129)</f>
        <v>0</v>
      </c>
      <c r="D130" s="635">
        <f t="shared" ref="D130:E130" si="7">SUM(D123:D129)</f>
        <v>0</v>
      </c>
      <c r="E130" s="637">
        <f t="shared" si="7"/>
        <v>0</v>
      </c>
      <c r="G130" s="653">
        <f>SUM(G123:G129)</f>
        <v>190000</v>
      </c>
      <c r="H130" s="635">
        <f t="shared" ref="H130:I130" si="8">SUM(H123:H129)</f>
        <v>33000</v>
      </c>
      <c r="I130" s="637">
        <f t="shared" si="8"/>
        <v>223000</v>
      </c>
    </row>
    <row r="131" spans="2:9" x14ac:dyDescent="0.15">
      <c r="B131" s="640" t="s">
        <v>906</v>
      </c>
      <c r="C131" s="641">
        <f>+C122+C130</f>
        <v>27293820</v>
      </c>
      <c r="D131" s="641">
        <f t="shared" ref="D131:E131" si="9">+D122+D130</f>
        <v>11148180</v>
      </c>
      <c r="E131" s="643">
        <f t="shared" si="9"/>
        <v>38442000</v>
      </c>
      <c r="G131" s="655">
        <f>+G122+G130</f>
        <v>44328803.269354858</v>
      </c>
      <c r="H131" s="641">
        <f t="shared" ref="H131:I131" si="10">+H122+H130</f>
        <v>7822729.9887096612</v>
      </c>
      <c r="I131" s="643">
        <f t="shared" si="10"/>
        <v>52151533.258064449</v>
      </c>
    </row>
    <row r="132" spans="2:9" x14ac:dyDescent="0.15">
      <c r="B132" s="160"/>
      <c r="C132" s="639"/>
      <c r="D132" s="639"/>
      <c r="E132" s="651"/>
      <c r="G132" s="656"/>
      <c r="H132" s="639"/>
      <c r="I132" s="651"/>
    </row>
    <row r="133" spans="2:9" x14ac:dyDescent="0.15">
      <c r="B133" s="640" t="s">
        <v>900</v>
      </c>
      <c r="C133" s="641">
        <f>+'Tab 2'!H6</f>
        <v>79446800</v>
      </c>
      <c r="D133" s="641">
        <f>+'Tab 2'!H7</f>
        <v>0</v>
      </c>
      <c r="E133" s="643">
        <f>+C133+D133</f>
        <v>79446800</v>
      </c>
      <c r="G133" s="655">
        <f>+'Tab 2'!H14</f>
        <v>77857864</v>
      </c>
      <c r="H133" s="641">
        <f>+'Tab 2'!H15</f>
        <v>0</v>
      </c>
      <c r="I133" s="643">
        <f>+G133+H133</f>
        <v>77857864</v>
      </c>
    </row>
    <row r="134" spans="2:9" x14ac:dyDescent="0.15">
      <c r="B134" s="160"/>
      <c r="C134" s="639"/>
      <c r="D134" s="639"/>
      <c r="E134" s="651"/>
      <c r="G134" s="656"/>
      <c r="H134" s="639"/>
      <c r="I134" s="651"/>
    </row>
    <row r="135" spans="2:9" x14ac:dyDescent="0.15">
      <c r="B135" s="160" t="s">
        <v>776</v>
      </c>
      <c r="C135" s="633">
        <v>100000</v>
      </c>
      <c r="D135" s="633">
        <v>1000000</v>
      </c>
      <c r="E135" s="631">
        <f t="shared" ref="E135:E146" si="11">SUM(C135:D135)</f>
        <v>1100000</v>
      </c>
      <c r="G135" s="656">
        <f>C135*(1+'Tab 2'!$K$21)</f>
        <v>74787.992300088503</v>
      </c>
      <c r="H135" s="639">
        <f>D135*(1+'Tab 2'!$K$26)</f>
        <v>1405356.7783862774</v>
      </c>
      <c r="I135" s="631">
        <f t="shared" ref="I135:I146" si="12">SUM(G135:H135)</f>
        <v>1480144.7706863659</v>
      </c>
    </row>
    <row r="136" spans="2:9" x14ac:dyDescent="0.15">
      <c r="B136" s="160" t="s">
        <v>777</v>
      </c>
      <c r="C136" s="633">
        <v>100000</v>
      </c>
      <c r="D136" s="633">
        <v>900000</v>
      </c>
      <c r="E136" s="631">
        <f t="shared" si="11"/>
        <v>1000000</v>
      </c>
      <c r="G136" s="656">
        <f>C136*(1+'Tab 2'!$K$21)</f>
        <v>74787.992300088503</v>
      </c>
      <c r="H136" s="639">
        <f>D136*(1+'Tab 2'!$K$26)</f>
        <v>1264821.1005476497</v>
      </c>
      <c r="I136" s="631">
        <f t="shared" si="12"/>
        <v>1339609.0928477382</v>
      </c>
    </row>
    <row r="137" spans="2:9" x14ac:dyDescent="0.15">
      <c r="B137" s="160" t="s">
        <v>778</v>
      </c>
      <c r="C137" s="633">
        <v>100000</v>
      </c>
      <c r="D137" s="633">
        <v>900000</v>
      </c>
      <c r="E137" s="631">
        <f t="shared" si="11"/>
        <v>1000000</v>
      </c>
      <c r="G137" s="656">
        <f>C137*(1+'Tab 2'!$K$21)</f>
        <v>74787.992300088503</v>
      </c>
      <c r="H137" s="639">
        <f>D137*(1+'Tab 2'!$K$26)</f>
        <v>1264821.1005476497</v>
      </c>
      <c r="I137" s="631">
        <f t="shared" si="12"/>
        <v>1339609.0928477382</v>
      </c>
    </row>
    <row r="138" spans="2:9" x14ac:dyDescent="0.15">
      <c r="B138" s="160" t="s">
        <v>779</v>
      </c>
      <c r="C138" s="633">
        <v>100000</v>
      </c>
      <c r="D138" s="633">
        <v>800000</v>
      </c>
      <c r="E138" s="631">
        <f t="shared" si="11"/>
        <v>900000</v>
      </c>
      <c r="G138" s="656">
        <f>C138*(1+'Tab 2'!$K$21)</f>
        <v>74787.992300088503</v>
      </c>
      <c r="H138" s="639">
        <f>D138*(1+'Tab 2'!$K$26)</f>
        <v>1124285.422709022</v>
      </c>
      <c r="I138" s="631">
        <f t="shared" si="12"/>
        <v>1199073.4150091105</v>
      </c>
    </row>
    <row r="139" spans="2:9" x14ac:dyDescent="0.15">
      <c r="B139" s="160" t="s">
        <v>780</v>
      </c>
      <c r="C139" s="633">
        <v>75000</v>
      </c>
      <c r="D139" s="633">
        <v>800000</v>
      </c>
      <c r="E139" s="631">
        <f t="shared" si="11"/>
        <v>875000</v>
      </c>
      <c r="G139" s="656">
        <f>C139*(1+'Tab 2'!$K$21)</f>
        <v>56090.994225066373</v>
      </c>
      <c r="H139" s="639">
        <f>D139*(1+'Tab 2'!$K$26)</f>
        <v>1124285.422709022</v>
      </c>
      <c r="I139" s="631">
        <f t="shared" si="12"/>
        <v>1180376.4169340883</v>
      </c>
    </row>
    <row r="140" spans="2:9" x14ac:dyDescent="0.15">
      <c r="B140" s="160" t="s">
        <v>781</v>
      </c>
      <c r="C140" s="633">
        <v>75000</v>
      </c>
      <c r="D140" s="633">
        <v>800000</v>
      </c>
      <c r="E140" s="631">
        <f t="shared" si="11"/>
        <v>875000</v>
      </c>
      <c r="G140" s="656">
        <f>C140*(1+'Tab 2'!$K$21)</f>
        <v>56090.994225066373</v>
      </c>
      <c r="H140" s="639">
        <f>D140*(1+'Tab 2'!$K$26)</f>
        <v>1124285.422709022</v>
      </c>
      <c r="I140" s="631">
        <f t="shared" si="12"/>
        <v>1180376.4169340883</v>
      </c>
    </row>
    <row r="141" spans="2:9" x14ac:dyDescent="0.15">
      <c r="B141" s="160" t="s">
        <v>782</v>
      </c>
      <c r="C141" s="633">
        <v>75000</v>
      </c>
      <c r="D141" s="633">
        <v>700000</v>
      </c>
      <c r="E141" s="631">
        <f t="shared" si="11"/>
        <v>775000</v>
      </c>
      <c r="G141" s="656">
        <f>C141*(1+'Tab 2'!$K$21)</f>
        <v>56090.994225066373</v>
      </c>
      <c r="H141" s="639">
        <f>D141*(1+'Tab 2'!$K$26)</f>
        <v>983749.74487039424</v>
      </c>
      <c r="I141" s="631">
        <f t="shared" si="12"/>
        <v>1039840.7390954606</v>
      </c>
    </row>
    <row r="142" spans="2:9" x14ac:dyDescent="0.15">
      <c r="B142" s="160" t="s">
        <v>783</v>
      </c>
      <c r="C142" s="633">
        <v>50000</v>
      </c>
      <c r="D142" s="633">
        <v>700000</v>
      </c>
      <c r="E142" s="631">
        <f t="shared" si="11"/>
        <v>750000</v>
      </c>
      <c r="G142" s="656">
        <f>C142*(1+'Tab 2'!$K$21)</f>
        <v>37393.996150044251</v>
      </c>
      <c r="H142" s="639">
        <f>D142*(1+'Tab 2'!$K$26)</f>
        <v>983749.74487039424</v>
      </c>
      <c r="I142" s="631">
        <f t="shared" si="12"/>
        <v>1021143.7410204385</v>
      </c>
    </row>
    <row r="143" spans="2:9" x14ac:dyDescent="0.15">
      <c r="B143" s="160" t="s">
        <v>784</v>
      </c>
      <c r="C143" s="633">
        <v>50000</v>
      </c>
      <c r="D143" s="633">
        <v>700000</v>
      </c>
      <c r="E143" s="631">
        <f t="shared" si="11"/>
        <v>750000</v>
      </c>
      <c r="G143" s="656">
        <f>C143*(1+'Tab 2'!$K$21)</f>
        <v>37393.996150044251</v>
      </c>
      <c r="H143" s="639">
        <f>D143*(1+'Tab 2'!$K$26)</f>
        <v>983749.74487039424</v>
      </c>
      <c r="I143" s="631">
        <f t="shared" si="12"/>
        <v>1021143.7410204385</v>
      </c>
    </row>
    <row r="144" spans="2:9" x14ac:dyDescent="0.15">
      <c r="B144" s="160" t="s">
        <v>785</v>
      </c>
      <c r="C144" s="633">
        <v>97608</v>
      </c>
      <c r="D144" s="633">
        <v>700000</v>
      </c>
      <c r="E144" s="631">
        <f t="shared" si="11"/>
        <v>797608</v>
      </c>
      <c r="G144" s="656">
        <f>C144*(1+'Tab 2'!$K$21)</f>
        <v>72999.063524270387</v>
      </c>
      <c r="H144" s="639">
        <f>D144*(1+'Tab 2'!$K$26)</f>
        <v>983749.74487039424</v>
      </c>
      <c r="I144" s="631">
        <f t="shared" si="12"/>
        <v>1056748.8083946647</v>
      </c>
    </row>
    <row r="145" spans="2:9" x14ac:dyDescent="0.15">
      <c r="B145" s="160" t="s">
        <v>786</v>
      </c>
      <c r="C145" s="633">
        <v>50000</v>
      </c>
      <c r="D145" s="633">
        <v>600000</v>
      </c>
      <c r="E145" s="631">
        <f t="shared" si="11"/>
        <v>650000</v>
      </c>
      <c r="G145" s="656">
        <f>C145*(1+'Tab 2'!$K$21)</f>
        <v>37393.996150044251</v>
      </c>
      <c r="H145" s="639">
        <f>D145*(1+'Tab 2'!$K$26)</f>
        <v>843214.06703176652</v>
      </c>
      <c r="I145" s="631">
        <f t="shared" si="12"/>
        <v>880608.06318181078</v>
      </c>
    </row>
    <row r="146" spans="2:9" x14ac:dyDescent="0.15">
      <c r="B146" s="160" t="s">
        <v>787</v>
      </c>
      <c r="C146" s="633">
        <v>50000</v>
      </c>
      <c r="D146" s="633">
        <f>728390+202</f>
        <v>728592</v>
      </c>
      <c r="E146" s="631">
        <f t="shared" si="11"/>
        <v>778592</v>
      </c>
      <c r="G146" s="656">
        <f>C146*(1+'Tab 2'!$K$21)</f>
        <v>37393.996150044251</v>
      </c>
      <c r="H146" s="639">
        <f>D146*(1+'Tab 2'!$K$26)</f>
        <v>1023931.7058780147</v>
      </c>
      <c r="I146" s="631">
        <f t="shared" si="12"/>
        <v>1061325.7020280589</v>
      </c>
    </row>
    <row r="147" spans="2:9" x14ac:dyDescent="0.15">
      <c r="B147" s="640" t="s">
        <v>901</v>
      </c>
      <c r="C147" s="641">
        <f>SUM(C135:C146)</f>
        <v>922608</v>
      </c>
      <c r="D147" s="641">
        <f t="shared" ref="D147:E147" si="13">SUM(D135:D146)</f>
        <v>9328592</v>
      </c>
      <c r="E147" s="643">
        <f t="shared" si="13"/>
        <v>10251200</v>
      </c>
      <c r="G147" s="655">
        <f>SUM(G135:G146)</f>
        <v>690000.00000000058</v>
      </c>
      <c r="H147" s="641">
        <f t="shared" ref="H147:I147" si="14">SUM(H135:H146)</f>
        <v>13110000</v>
      </c>
      <c r="I147" s="643">
        <f t="shared" si="14"/>
        <v>13800000.000000002</v>
      </c>
    </row>
    <row r="148" spans="2:9" x14ac:dyDescent="0.15">
      <c r="B148" s="160"/>
      <c r="C148" s="639"/>
      <c r="D148" s="639"/>
      <c r="E148" s="651"/>
      <c r="G148" s="656"/>
      <c r="H148" s="639"/>
      <c r="I148" s="651"/>
    </row>
    <row r="149" spans="2:9" ht="17" thickBot="1" x14ac:dyDescent="0.2">
      <c r="B149" s="645" t="s">
        <v>902</v>
      </c>
      <c r="C149" s="646">
        <f>+C131+C133+C147</f>
        <v>107663228</v>
      </c>
      <c r="D149" s="646">
        <f t="shared" ref="D149:E149" si="15">+D131+D133+D147</f>
        <v>20476772</v>
      </c>
      <c r="E149" s="648">
        <f t="shared" si="15"/>
        <v>128140000</v>
      </c>
      <c r="G149" s="657">
        <f>+G131+G133+G147</f>
        <v>122876667.26935485</v>
      </c>
      <c r="H149" s="646">
        <f t="shared" ref="H149:I149" si="16">+H131+H133+H147</f>
        <v>20932729.988709662</v>
      </c>
      <c r="I149" s="648">
        <f t="shared" si="16"/>
        <v>143809397.25806445</v>
      </c>
    </row>
  </sheetData>
  <mergeCells count="2">
    <mergeCell ref="C5:E5"/>
    <mergeCell ref="G5:I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E6801-7FD4-2648-9BA0-E5FEC14C49E4}">
  <dimension ref="B2:Q156"/>
  <sheetViews>
    <sheetView zoomScale="150" zoomScaleNormal="160" workbookViewId="0">
      <pane xSplit="2" ySplit="8" topLeftCell="G132" activePane="bottomRight" state="frozen"/>
      <selection pane="topRight" activeCell="C1" sqref="C1"/>
      <selection pane="bottomLeft" activeCell="A9" sqref="A9"/>
      <selection pane="bottomRight" activeCell="K126" sqref="K126"/>
    </sheetView>
  </sheetViews>
  <sheetFormatPr baseColWidth="10" defaultRowHeight="16" x14ac:dyDescent="0.15"/>
  <cols>
    <col min="1" max="1" width="10.83203125" style="84"/>
    <col min="2" max="2" width="39.5" style="84" bestFit="1" customWidth="1"/>
    <col min="3" max="5" width="15.6640625" style="84" customWidth="1"/>
    <col min="6" max="6" width="10.83203125" style="84"/>
    <col min="7" max="7" width="11.6640625" style="84" customWidth="1"/>
    <col min="8" max="8" width="2.33203125" style="84" customWidth="1"/>
    <col min="9" max="9" width="14.5" style="84" customWidth="1"/>
    <col min="10" max="10" width="16.1640625" style="84" customWidth="1"/>
    <col min="11" max="11" width="14.33203125" style="84" customWidth="1"/>
    <col min="12" max="17" width="12.6640625" style="84" customWidth="1"/>
    <col min="18" max="16384" width="10.83203125" style="84"/>
  </cols>
  <sheetData>
    <row r="2" spans="2:17" x14ac:dyDescent="0.15">
      <c r="B2" s="84" t="s">
        <v>921</v>
      </c>
    </row>
    <row r="3" spans="2:17" x14ac:dyDescent="0.15">
      <c r="N3" s="86"/>
      <c r="O3" s="86"/>
      <c r="P3" s="86"/>
    </row>
    <row r="4" spans="2:17" ht="17" x14ac:dyDescent="0.15">
      <c r="B4" s="86" t="s">
        <v>919</v>
      </c>
      <c r="C4" s="120">
        <v>0.05</v>
      </c>
      <c r="N4" s="86"/>
      <c r="O4" s="86"/>
      <c r="P4" s="86"/>
    </row>
    <row r="5" spans="2:17" x14ac:dyDescent="0.15">
      <c r="B5" s="84" t="s">
        <v>925</v>
      </c>
      <c r="C5" s="627">
        <v>20000</v>
      </c>
      <c r="N5" s="86"/>
      <c r="O5" s="86"/>
      <c r="P5" s="86"/>
    </row>
    <row r="6" spans="2:17" ht="17" thickBot="1" x14ac:dyDescent="0.2"/>
    <row r="7" spans="2:17" x14ac:dyDescent="0.15">
      <c r="B7" s="269"/>
      <c r="C7" s="828" t="s">
        <v>73</v>
      </c>
      <c r="D7" s="761"/>
      <c r="E7" s="761"/>
      <c r="F7" s="761"/>
      <c r="G7" s="762"/>
      <c r="I7" s="755" t="s">
        <v>99</v>
      </c>
      <c r="J7" s="756"/>
      <c r="K7" s="756"/>
      <c r="L7" s="756"/>
      <c r="M7" s="756"/>
      <c r="N7" s="756"/>
      <c r="O7" s="756"/>
      <c r="P7" s="756"/>
      <c r="Q7" s="757"/>
    </row>
    <row r="8" spans="2:17" x14ac:dyDescent="0.15">
      <c r="B8" s="270"/>
      <c r="C8" s="124" t="s">
        <v>907</v>
      </c>
      <c r="D8" s="118" t="s">
        <v>908</v>
      </c>
      <c r="E8" s="118" t="s">
        <v>909</v>
      </c>
      <c r="F8" s="118" t="s">
        <v>905</v>
      </c>
      <c r="G8" s="628" t="s">
        <v>904</v>
      </c>
      <c r="I8" s="327" t="s">
        <v>907</v>
      </c>
      <c r="J8" s="277" t="s">
        <v>908</v>
      </c>
      <c r="K8" s="277" t="s">
        <v>909</v>
      </c>
      <c r="L8" s="277" t="s">
        <v>905</v>
      </c>
      <c r="M8" s="277" t="s">
        <v>904</v>
      </c>
      <c r="N8" s="277" t="s">
        <v>910</v>
      </c>
      <c r="O8" s="277" t="s">
        <v>911</v>
      </c>
      <c r="P8" s="277" t="s">
        <v>903</v>
      </c>
      <c r="Q8" s="328" t="s">
        <v>189</v>
      </c>
    </row>
    <row r="9" spans="2:17" x14ac:dyDescent="0.15">
      <c r="B9" s="148" t="s">
        <v>776</v>
      </c>
      <c r="C9" s="658">
        <f>+'All. 12'!C7</f>
        <v>500000</v>
      </c>
      <c r="D9" s="658">
        <f>+'All. 12'!D7</f>
        <v>205000</v>
      </c>
      <c r="E9" s="347">
        <f>SUM(C9:D9)</f>
        <v>705000</v>
      </c>
      <c r="F9" s="630">
        <f>'Tab 0'!$B$48</f>
        <v>0.12</v>
      </c>
      <c r="G9" s="631">
        <f>+E9*F9</f>
        <v>84600</v>
      </c>
      <c r="I9" s="660">
        <f>+'All. 12'!G7</f>
        <v>808586.03283371183</v>
      </c>
      <c r="J9" s="659">
        <f>+'All. 12'!H7</f>
        <v>143242.63222207426</v>
      </c>
      <c r="K9" s="347">
        <f>SUM(I9:J9)</f>
        <v>951828.66505578603</v>
      </c>
      <c r="L9" s="630">
        <f>'Tab 0'!$B$48</f>
        <v>0.12</v>
      </c>
      <c r="M9" s="347">
        <f>+K9*L9</f>
        <v>114219.43980669432</v>
      </c>
      <c r="N9" s="347"/>
      <c r="O9" s="347">
        <f t="shared" ref="O9:O40" si="0">IF(AND(E9&gt;0,K9&gt;E9),(K9-E9)*$C$4,0)</f>
        <v>12341.433252789302</v>
      </c>
      <c r="P9" s="632">
        <f>IFERROR(Q9/K9,0)</f>
        <v>0.13296602393463952</v>
      </c>
      <c r="Q9" s="631">
        <f>+M9+N9+O9</f>
        <v>126560.87305948362</v>
      </c>
    </row>
    <row r="10" spans="2:17" x14ac:dyDescent="0.15">
      <c r="B10" s="160" t="s">
        <v>777</v>
      </c>
      <c r="C10" s="658">
        <f>+'All. 12'!C8</f>
        <v>500000</v>
      </c>
      <c r="D10" s="658">
        <f>+'All. 12'!D8</f>
        <v>205000</v>
      </c>
      <c r="E10" s="347">
        <f t="shared" ref="E10:E73" si="1">SUM(C10:D10)</f>
        <v>705000</v>
      </c>
      <c r="F10" s="630">
        <f>'Tab 0'!$B$48</f>
        <v>0.12</v>
      </c>
      <c r="G10" s="631">
        <f t="shared" ref="G10:G73" si="2">+E10*F10</f>
        <v>84600</v>
      </c>
      <c r="I10" s="660">
        <f>+'All. 12'!G8</f>
        <v>808586.03283371183</v>
      </c>
      <c r="J10" s="659">
        <f>+'All. 12'!H8</f>
        <v>143242.63222207426</v>
      </c>
      <c r="K10" s="347">
        <f t="shared" ref="K10:K73" si="3">SUM(I10:J10)</f>
        <v>951828.66505578603</v>
      </c>
      <c r="L10" s="630">
        <f>'Tab 0'!$B$48</f>
        <v>0.12</v>
      </c>
      <c r="M10" s="347">
        <f t="shared" ref="M10:M73" si="4">+K10*L10</f>
        <v>114219.43980669432</v>
      </c>
      <c r="N10" s="347"/>
      <c r="O10" s="347">
        <f t="shared" si="0"/>
        <v>12341.433252789302</v>
      </c>
      <c r="P10" s="632">
        <f t="shared" ref="P10:P73" si="5">IFERROR(Q10/K10,0)</f>
        <v>0.13296602393463952</v>
      </c>
      <c r="Q10" s="631">
        <f t="shared" ref="Q10:Q73" si="6">+M10+N10+O10</f>
        <v>126560.87305948362</v>
      </c>
    </row>
    <row r="11" spans="2:17" x14ac:dyDescent="0.15">
      <c r="B11" s="160" t="s">
        <v>778</v>
      </c>
      <c r="C11" s="658">
        <f>+'All. 12'!C9</f>
        <v>500000</v>
      </c>
      <c r="D11" s="658">
        <f>+'All. 12'!D9</f>
        <v>205000</v>
      </c>
      <c r="E11" s="347">
        <f t="shared" si="1"/>
        <v>705000</v>
      </c>
      <c r="F11" s="630">
        <f>'Tab 0'!$B$48</f>
        <v>0.12</v>
      </c>
      <c r="G11" s="631">
        <f t="shared" si="2"/>
        <v>84600</v>
      </c>
      <c r="I11" s="660">
        <f>+'All. 12'!G9</f>
        <v>808586.03283371183</v>
      </c>
      <c r="J11" s="659">
        <f>+'All. 12'!H9</f>
        <v>143242.63222207426</v>
      </c>
      <c r="K11" s="347">
        <f t="shared" si="3"/>
        <v>951828.66505578603</v>
      </c>
      <c r="L11" s="630">
        <f>'Tab 0'!$B$48</f>
        <v>0.12</v>
      </c>
      <c r="M11" s="347">
        <f t="shared" si="4"/>
        <v>114219.43980669432</v>
      </c>
      <c r="N11" s="347"/>
      <c r="O11" s="347">
        <f t="shared" si="0"/>
        <v>12341.433252789302</v>
      </c>
      <c r="P11" s="632">
        <f t="shared" si="5"/>
        <v>0.13296602393463952</v>
      </c>
      <c r="Q11" s="631">
        <f t="shared" si="6"/>
        <v>126560.87305948362</v>
      </c>
    </row>
    <row r="12" spans="2:17" x14ac:dyDescent="0.15">
      <c r="B12" s="160" t="s">
        <v>779</v>
      </c>
      <c r="C12" s="658">
        <f>+'All. 12'!C10</f>
        <v>500000</v>
      </c>
      <c r="D12" s="658">
        <f>+'All. 12'!D10</f>
        <v>205000</v>
      </c>
      <c r="E12" s="347">
        <f t="shared" si="1"/>
        <v>705000</v>
      </c>
      <c r="F12" s="630">
        <f>'Tab 0'!$B$48</f>
        <v>0.12</v>
      </c>
      <c r="G12" s="631">
        <f t="shared" si="2"/>
        <v>84600</v>
      </c>
      <c r="I12" s="660">
        <f>+'All. 12'!G10</f>
        <v>808586.03283371183</v>
      </c>
      <c r="J12" s="659">
        <f>+'All. 12'!H10</f>
        <v>143242.63222207426</v>
      </c>
      <c r="K12" s="347">
        <f t="shared" si="3"/>
        <v>951828.66505578603</v>
      </c>
      <c r="L12" s="630">
        <f>'Tab 0'!$B$48</f>
        <v>0.12</v>
      </c>
      <c r="M12" s="347">
        <f t="shared" si="4"/>
        <v>114219.43980669432</v>
      </c>
      <c r="N12" s="347"/>
      <c r="O12" s="347">
        <f t="shared" si="0"/>
        <v>12341.433252789302</v>
      </c>
      <c r="P12" s="632">
        <f t="shared" si="5"/>
        <v>0.13296602393463952</v>
      </c>
      <c r="Q12" s="631">
        <f t="shared" si="6"/>
        <v>126560.87305948362</v>
      </c>
    </row>
    <row r="13" spans="2:17" x14ac:dyDescent="0.15">
      <c r="B13" s="160" t="s">
        <v>780</v>
      </c>
      <c r="C13" s="658">
        <f>+'All. 12'!C11</f>
        <v>500000</v>
      </c>
      <c r="D13" s="658">
        <f>+'All. 12'!D11</f>
        <v>205000</v>
      </c>
      <c r="E13" s="347">
        <f t="shared" si="1"/>
        <v>705000</v>
      </c>
      <c r="F13" s="630">
        <f>'Tab 0'!$B$48</f>
        <v>0.12</v>
      </c>
      <c r="G13" s="631">
        <f t="shared" si="2"/>
        <v>84600</v>
      </c>
      <c r="I13" s="660">
        <f>+'All. 12'!G11</f>
        <v>808586.03283371183</v>
      </c>
      <c r="J13" s="659">
        <f>+'All. 12'!H11</f>
        <v>143242.63222207426</v>
      </c>
      <c r="K13" s="347">
        <f t="shared" si="3"/>
        <v>951828.66505578603</v>
      </c>
      <c r="L13" s="630">
        <f>'Tab 0'!$B$48</f>
        <v>0.12</v>
      </c>
      <c r="M13" s="347">
        <f t="shared" si="4"/>
        <v>114219.43980669432</v>
      </c>
      <c r="N13" s="347"/>
      <c r="O13" s="347">
        <f t="shared" si="0"/>
        <v>12341.433252789302</v>
      </c>
      <c r="P13" s="632">
        <f t="shared" si="5"/>
        <v>0.13296602393463952</v>
      </c>
      <c r="Q13" s="631">
        <f t="shared" si="6"/>
        <v>126560.87305948362</v>
      </c>
    </row>
    <row r="14" spans="2:17" x14ac:dyDescent="0.15">
      <c r="B14" s="160" t="s">
        <v>781</v>
      </c>
      <c r="C14" s="658">
        <f>+'All. 12'!C12</f>
        <v>500000</v>
      </c>
      <c r="D14" s="658">
        <f>+'All. 12'!D12</f>
        <v>205000</v>
      </c>
      <c r="E14" s="347">
        <f t="shared" si="1"/>
        <v>705000</v>
      </c>
      <c r="F14" s="630">
        <f>'Tab 0'!$B$48</f>
        <v>0.12</v>
      </c>
      <c r="G14" s="631">
        <f t="shared" si="2"/>
        <v>84600</v>
      </c>
      <c r="I14" s="660">
        <f>+'All. 12'!G12</f>
        <v>808586.03283371183</v>
      </c>
      <c r="J14" s="659">
        <f>+'All. 12'!H12</f>
        <v>143242.63222207426</v>
      </c>
      <c r="K14" s="347">
        <f t="shared" si="3"/>
        <v>951828.66505578603</v>
      </c>
      <c r="L14" s="630">
        <f>'Tab 0'!$B$48</f>
        <v>0.12</v>
      </c>
      <c r="M14" s="347">
        <f t="shared" si="4"/>
        <v>114219.43980669432</v>
      </c>
      <c r="N14" s="347"/>
      <c r="O14" s="347">
        <f t="shared" si="0"/>
        <v>12341.433252789302</v>
      </c>
      <c r="P14" s="632">
        <f t="shared" si="5"/>
        <v>0.13296602393463952</v>
      </c>
      <c r="Q14" s="631">
        <f t="shared" si="6"/>
        <v>126560.87305948362</v>
      </c>
    </row>
    <row r="15" spans="2:17" x14ac:dyDescent="0.15">
      <c r="B15" s="160" t="s">
        <v>782</v>
      </c>
      <c r="C15" s="658">
        <f>+'All. 12'!C13</f>
        <v>500000</v>
      </c>
      <c r="D15" s="658">
        <f>+'All. 12'!D13</f>
        <v>205000</v>
      </c>
      <c r="E15" s="347">
        <f t="shared" si="1"/>
        <v>705000</v>
      </c>
      <c r="F15" s="630">
        <f>'Tab 0'!$B$48</f>
        <v>0.12</v>
      </c>
      <c r="G15" s="631">
        <f t="shared" si="2"/>
        <v>84600</v>
      </c>
      <c r="I15" s="660">
        <f>+'All. 12'!G13</f>
        <v>808586.03283371183</v>
      </c>
      <c r="J15" s="659">
        <f>+'All. 12'!H13</f>
        <v>143242.63222207426</v>
      </c>
      <c r="K15" s="347">
        <f t="shared" si="3"/>
        <v>951828.66505578603</v>
      </c>
      <c r="L15" s="630">
        <f>'Tab 0'!$B$48</f>
        <v>0.12</v>
      </c>
      <c r="M15" s="347">
        <f t="shared" si="4"/>
        <v>114219.43980669432</v>
      </c>
      <c r="N15" s="347"/>
      <c r="O15" s="347">
        <f t="shared" si="0"/>
        <v>12341.433252789302</v>
      </c>
      <c r="P15" s="632">
        <f t="shared" si="5"/>
        <v>0.13296602393463952</v>
      </c>
      <c r="Q15" s="631">
        <f t="shared" si="6"/>
        <v>126560.87305948362</v>
      </c>
    </row>
    <row r="16" spans="2:17" x14ac:dyDescent="0.15">
      <c r="B16" s="160" t="s">
        <v>783</v>
      </c>
      <c r="C16" s="658">
        <f>+'All. 12'!C14</f>
        <v>500000</v>
      </c>
      <c r="D16" s="658">
        <f>+'All. 12'!D14</f>
        <v>205000</v>
      </c>
      <c r="E16" s="347">
        <f t="shared" si="1"/>
        <v>705000</v>
      </c>
      <c r="F16" s="630">
        <f>'Tab 0'!$B$48</f>
        <v>0.12</v>
      </c>
      <c r="G16" s="631">
        <f t="shared" si="2"/>
        <v>84600</v>
      </c>
      <c r="I16" s="660">
        <f>+'All. 12'!G14</f>
        <v>808586.03283371183</v>
      </c>
      <c r="J16" s="659">
        <f>+'All. 12'!H14</f>
        <v>143242.63222207426</v>
      </c>
      <c r="K16" s="347">
        <f t="shared" si="3"/>
        <v>951828.66505578603</v>
      </c>
      <c r="L16" s="630">
        <f>'Tab 0'!$B$48</f>
        <v>0.12</v>
      </c>
      <c r="M16" s="347">
        <f t="shared" si="4"/>
        <v>114219.43980669432</v>
      </c>
      <c r="N16" s="347"/>
      <c r="O16" s="347">
        <f t="shared" si="0"/>
        <v>12341.433252789302</v>
      </c>
      <c r="P16" s="632">
        <f t="shared" si="5"/>
        <v>0.13296602393463952</v>
      </c>
      <c r="Q16" s="631">
        <f t="shared" si="6"/>
        <v>126560.87305948362</v>
      </c>
    </row>
    <row r="17" spans="2:17" x14ac:dyDescent="0.15">
      <c r="B17" s="160" t="s">
        <v>784</v>
      </c>
      <c r="C17" s="658">
        <f>+'All. 12'!C15</f>
        <v>500000</v>
      </c>
      <c r="D17" s="658">
        <f>+'All. 12'!D15</f>
        <v>205000</v>
      </c>
      <c r="E17" s="347">
        <f t="shared" si="1"/>
        <v>705000</v>
      </c>
      <c r="F17" s="630">
        <f>'Tab 0'!$B$48</f>
        <v>0.12</v>
      </c>
      <c r="G17" s="631">
        <f t="shared" si="2"/>
        <v>84600</v>
      </c>
      <c r="I17" s="660">
        <f>+'All. 12'!G15</f>
        <v>808586.03283371183</v>
      </c>
      <c r="J17" s="659">
        <f>+'All. 12'!H15</f>
        <v>143242.63222207426</v>
      </c>
      <c r="K17" s="347">
        <f t="shared" si="3"/>
        <v>951828.66505578603</v>
      </c>
      <c r="L17" s="630">
        <f>'Tab 0'!$B$48</f>
        <v>0.12</v>
      </c>
      <c r="M17" s="347">
        <f t="shared" si="4"/>
        <v>114219.43980669432</v>
      </c>
      <c r="N17" s="347"/>
      <c r="O17" s="347">
        <f t="shared" si="0"/>
        <v>12341.433252789302</v>
      </c>
      <c r="P17" s="632">
        <f t="shared" si="5"/>
        <v>0.13296602393463952</v>
      </c>
      <c r="Q17" s="631">
        <f t="shared" si="6"/>
        <v>126560.87305948362</v>
      </c>
    </row>
    <row r="18" spans="2:17" x14ac:dyDescent="0.15">
      <c r="B18" s="160" t="s">
        <v>785</v>
      </c>
      <c r="C18" s="658">
        <f>+'All. 12'!C16</f>
        <v>500000</v>
      </c>
      <c r="D18" s="658">
        <f>+'All. 12'!D16</f>
        <v>205000</v>
      </c>
      <c r="E18" s="347">
        <f t="shared" si="1"/>
        <v>705000</v>
      </c>
      <c r="F18" s="630">
        <f>'Tab 0'!$B$48</f>
        <v>0.12</v>
      </c>
      <c r="G18" s="631">
        <f t="shared" si="2"/>
        <v>84600</v>
      </c>
      <c r="I18" s="660">
        <f>+'All. 12'!G16</f>
        <v>808586.03283371183</v>
      </c>
      <c r="J18" s="659">
        <f>+'All. 12'!H16</f>
        <v>143242.63222207426</v>
      </c>
      <c r="K18" s="347">
        <f t="shared" si="3"/>
        <v>951828.66505578603</v>
      </c>
      <c r="L18" s="630">
        <f>'Tab 0'!$B$48</f>
        <v>0.12</v>
      </c>
      <c r="M18" s="347">
        <f t="shared" si="4"/>
        <v>114219.43980669432</v>
      </c>
      <c r="N18" s="347"/>
      <c r="O18" s="347">
        <f t="shared" si="0"/>
        <v>12341.433252789302</v>
      </c>
      <c r="P18" s="632">
        <f t="shared" si="5"/>
        <v>0.13296602393463952</v>
      </c>
      <c r="Q18" s="631">
        <f t="shared" si="6"/>
        <v>126560.87305948362</v>
      </c>
    </row>
    <row r="19" spans="2:17" x14ac:dyDescent="0.15">
      <c r="B19" s="160" t="s">
        <v>786</v>
      </c>
      <c r="C19" s="658">
        <f>+'All. 12'!C17</f>
        <v>400000</v>
      </c>
      <c r="D19" s="658">
        <f>+'All. 12'!D17</f>
        <v>164000</v>
      </c>
      <c r="E19" s="347">
        <f t="shared" si="1"/>
        <v>564000</v>
      </c>
      <c r="F19" s="630">
        <f>'Tab 0'!$B$48</f>
        <v>0.12</v>
      </c>
      <c r="G19" s="631">
        <f t="shared" si="2"/>
        <v>67680</v>
      </c>
      <c r="I19" s="660">
        <f>+'All. 12'!G17</f>
        <v>646868.82626696944</v>
      </c>
      <c r="J19" s="659">
        <f>+'All. 12'!H17</f>
        <v>114594.1057776594</v>
      </c>
      <c r="K19" s="347">
        <f t="shared" si="3"/>
        <v>761462.93204462877</v>
      </c>
      <c r="L19" s="630">
        <f>'Tab 0'!$B$48</f>
        <v>0.12</v>
      </c>
      <c r="M19" s="347">
        <f t="shared" si="4"/>
        <v>91375.551845355454</v>
      </c>
      <c r="N19" s="347"/>
      <c r="O19" s="347">
        <f t="shared" si="0"/>
        <v>9873.1466022314398</v>
      </c>
      <c r="P19" s="632">
        <f t="shared" si="5"/>
        <v>0.13296602393463952</v>
      </c>
      <c r="Q19" s="631">
        <f t="shared" si="6"/>
        <v>101248.6984475869</v>
      </c>
    </row>
    <row r="20" spans="2:17" x14ac:dyDescent="0.15">
      <c r="B20" s="160" t="s">
        <v>787</v>
      </c>
      <c r="C20" s="658">
        <f>+'All. 12'!C18</f>
        <v>400000</v>
      </c>
      <c r="D20" s="658">
        <f>+'All. 12'!D18</f>
        <v>164000</v>
      </c>
      <c r="E20" s="347">
        <f t="shared" si="1"/>
        <v>564000</v>
      </c>
      <c r="F20" s="630">
        <f>'Tab 0'!$B$48</f>
        <v>0.12</v>
      </c>
      <c r="G20" s="631">
        <f t="shared" si="2"/>
        <v>67680</v>
      </c>
      <c r="I20" s="660">
        <f>+'All. 12'!G18</f>
        <v>646868.82626696944</v>
      </c>
      <c r="J20" s="659">
        <f>+'All. 12'!H18</f>
        <v>114594.1057776594</v>
      </c>
      <c r="K20" s="347">
        <f t="shared" si="3"/>
        <v>761462.93204462877</v>
      </c>
      <c r="L20" s="630">
        <f>'Tab 0'!$B$48</f>
        <v>0.12</v>
      </c>
      <c r="M20" s="347">
        <f t="shared" si="4"/>
        <v>91375.551845355454</v>
      </c>
      <c r="N20" s="347"/>
      <c r="O20" s="347">
        <f t="shared" si="0"/>
        <v>9873.1466022314398</v>
      </c>
      <c r="P20" s="632">
        <f t="shared" si="5"/>
        <v>0.13296602393463952</v>
      </c>
      <c r="Q20" s="631">
        <f t="shared" si="6"/>
        <v>101248.6984475869</v>
      </c>
    </row>
    <row r="21" spans="2:17" x14ac:dyDescent="0.15">
      <c r="B21" s="160" t="s">
        <v>788</v>
      </c>
      <c r="C21" s="658">
        <f>+'All. 12'!C19</f>
        <v>400000</v>
      </c>
      <c r="D21" s="658">
        <f>+'All. 12'!D19</f>
        <v>164000</v>
      </c>
      <c r="E21" s="347">
        <f t="shared" si="1"/>
        <v>564000</v>
      </c>
      <c r="F21" s="630">
        <f>'Tab 0'!$B$48</f>
        <v>0.12</v>
      </c>
      <c r="G21" s="631">
        <f t="shared" si="2"/>
        <v>67680</v>
      </c>
      <c r="I21" s="660">
        <f>+'All. 12'!G19</f>
        <v>646868.82626696944</v>
      </c>
      <c r="J21" s="659">
        <f>+'All. 12'!H19</f>
        <v>114594.1057776594</v>
      </c>
      <c r="K21" s="347">
        <f t="shared" si="3"/>
        <v>761462.93204462877</v>
      </c>
      <c r="L21" s="630">
        <f>'Tab 0'!$B$48</f>
        <v>0.12</v>
      </c>
      <c r="M21" s="347">
        <f t="shared" si="4"/>
        <v>91375.551845355454</v>
      </c>
      <c r="N21" s="347"/>
      <c r="O21" s="347">
        <f t="shared" si="0"/>
        <v>9873.1466022314398</v>
      </c>
      <c r="P21" s="632">
        <f t="shared" si="5"/>
        <v>0.13296602393463952</v>
      </c>
      <c r="Q21" s="631">
        <f t="shared" si="6"/>
        <v>101248.6984475869</v>
      </c>
    </row>
    <row r="22" spans="2:17" x14ac:dyDescent="0.15">
      <c r="B22" s="160" t="s">
        <v>789</v>
      </c>
      <c r="C22" s="658">
        <f>+'All. 12'!C20</f>
        <v>400000</v>
      </c>
      <c r="D22" s="658">
        <f>+'All. 12'!D20</f>
        <v>164000</v>
      </c>
      <c r="E22" s="347">
        <f t="shared" si="1"/>
        <v>564000</v>
      </c>
      <c r="F22" s="630">
        <f>'Tab 0'!$B$48</f>
        <v>0.12</v>
      </c>
      <c r="G22" s="631">
        <f t="shared" si="2"/>
        <v>67680</v>
      </c>
      <c r="I22" s="660">
        <f>+'All. 12'!G20</f>
        <v>646868.82626696944</v>
      </c>
      <c r="J22" s="659">
        <f>+'All. 12'!H20</f>
        <v>114594.1057776594</v>
      </c>
      <c r="K22" s="347">
        <f t="shared" si="3"/>
        <v>761462.93204462877</v>
      </c>
      <c r="L22" s="630">
        <f>'Tab 0'!$B$48</f>
        <v>0.12</v>
      </c>
      <c r="M22" s="347">
        <f t="shared" si="4"/>
        <v>91375.551845355454</v>
      </c>
      <c r="N22" s="347"/>
      <c r="O22" s="347">
        <f t="shared" si="0"/>
        <v>9873.1466022314398</v>
      </c>
      <c r="P22" s="632">
        <f t="shared" si="5"/>
        <v>0.13296602393463952</v>
      </c>
      <c r="Q22" s="631">
        <f t="shared" si="6"/>
        <v>101248.6984475869</v>
      </c>
    </row>
    <row r="23" spans="2:17" x14ac:dyDescent="0.15">
      <c r="B23" s="160" t="s">
        <v>790</v>
      </c>
      <c r="C23" s="658">
        <f>+'All. 12'!C21</f>
        <v>400000</v>
      </c>
      <c r="D23" s="658">
        <f>+'All. 12'!D21</f>
        <v>164000</v>
      </c>
      <c r="E23" s="347">
        <f t="shared" si="1"/>
        <v>564000</v>
      </c>
      <c r="F23" s="630">
        <f>'Tab 0'!$B$48</f>
        <v>0.12</v>
      </c>
      <c r="G23" s="631">
        <f t="shared" si="2"/>
        <v>67680</v>
      </c>
      <c r="I23" s="660">
        <f>+'All. 12'!G21</f>
        <v>646868.82626696944</v>
      </c>
      <c r="J23" s="659">
        <f>+'All. 12'!H21</f>
        <v>114594.1057776594</v>
      </c>
      <c r="K23" s="347">
        <f t="shared" si="3"/>
        <v>761462.93204462877</v>
      </c>
      <c r="L23" s="630">
        <f>'Tab 0'!$B$48</f>
        <v>0.12</v>
      </c>
      <c r="M23" s="347">
        <f t="shared" si="4"/>
        <v>91375.551845355454</v>
      </c>
      <c r="N23" s="347"/>
      <c r="O23" s="347">
        <f t="shared" si="0"/>
        <v>9873.1466022314398</v>
      </c>
      <c r="P23" s="632">
        <f t="shared" si="5"/>
        <v>0.13296602393463952</v>
      </c>
      <c r="Q23" s="631">
        <f t="shared" si="6"/>
        <v>101248.6984475869</v>
      </c>
    </row>
    <row r="24" spans="2:17" x14ac:dyDescent="0.15">
      <c r="B24" s="160" t="s">
        <v>791</v>
      </c>
      <c r="C24" s="658">
        <f>+'All. 12'!C22</f>
        <v>400000</v>
      </c>
      <c r="D24" s="658">
        <f>+'All. 12'!D22</f>
        <v>164000</v>
      </c>
      <c r="E24" s="347">
        <f t="shared" si="1"/>
        <v>564000</v>
      </c>
      <c r="F24" s="630">
        <f>'Tab 0'!$B$48</f>
        <v>0.12</v>
      </c>
      <c r="G24" s="631">
        <f t="shared" si="2"/>
        <v>67680</v>
      </c>
      <c r="I24" s="660">
        <f>+'All. 12'!G22</f>
        <v>646868.82626696944</v>
      </c>
      <c r="J24" s="659">
        <f>+'All. 12'!H22</f>
        <v>114594.1057776594</v>
      </c>
      <c r="K24" s="347">
        <f t="shared" si="3"/>
        <v>761462.93204462877</v>
      </c>
      <c r="L24" s="630">
        <f>'Tab 0'!$B$48</f>
        <v>0.12</v>
      </c>
      <c r="M24" s="347">
        <f t="shared" si="4"/>
        <v>91375.551845355454</v>
      </c>
      <c r="N24" s="347"/>
      <c r="O24" s="347">
        <f t="shared" si="0"/>
        <v>9873.1466022314398</v>
      </c>
      <c r="P24" s="632">
        <f t="shared" si="5"/>
        <v>0.13296602393463952</v>
      </c>
      <c r="Q24" s="631">
        <f t="shared" si="6"/>
        <v>101248.6984475869</v>
      </c>
    </row>
    <row r="25" spans="2:17" x14ac:dyDescent="0.15">
      <c r="B25" s="160" t="s">
        <v>792</v>
      </c>
      <c r="C25" s="658">
        <f>+'All. 12'!C23</f>
        <v>400000</v>
      </c>
      <c r="D25" s="658">
        <f>+'All. 12'!D23</f>
        <v>164000</v>
      </c>
      <c r="E25" s="347">
        <f t="shared" si="1"/>
        <v>564000</v>
      </c>
      <c r="F25" s="630">
        <f>'Tab 0'!$B$48</f>
        <v>0.12</v>
      </c>
      <c r="G25" s="631">
        <f t="shared" si="2"/>
        <v>67680</v>
      </c>
      <c r="I25" s="660">
        <f>+'All. 12'!G23</f>
        <v>646868.82626696944</v>
      </c>
      <c r="J25" s="659">
        <f>+'All. 12'!H23</f>
        <v>114594.1057776594</v>
      </c>
      <c r="K25" s="347">
        <f t="shared" si="3"/>
        <v>761462.93204462877</v>
      </c>
      <c r="L25" s="630">
        <f>'Tab 0'!$B$48</f>
        <v>0.12</v>
      </c>
      <c r="M25" s="347">
        <f t="shared" si="4"/>
        <v>91375.551845355454</v>
      </c>
      <c r="N25" s="347"/>
      <c r="O25" s="347">
        <f t="shared" si="0"/>
        <v>9873.1466022314398</v>
      </c>
      <c r="P25" s="632">
        <f t="shared" si="5"/>
        <v>0.13296602393463952</v>
      </c>
      <c r="Q25" s="631">
        <f t="shared" si="6"/>
        <v>101248.6984475869</v>
      </c>
    </row>
    <row r="26" spans="2:17" x14ac:dyDescent="0.15">
      <c r="B26" s="160" t="s">
        <v>793</v>
      </c>
      <c r="C26" s="658">
        <f>+'All. 12'!C24</f>
        <v>400000</v>
      </c>
      <c r="D26" s="658">
        <f>+'All. 12'!D24</f>
        <v>164000</v>
      </c>
      <c r="E26" s="347">
        <f t="shared" si="1"/>
        <v>564000</v>
      </c>
      <c r="F26" s="630">
        <f>'Tab 0'!$B$48</f>
        <v>0.12</v>
      </c>
      <c r="G26" s="631">
        <f t="shared" si="2"/>
        <v>67680</v>
      </c>
      <c r="I26" s="660">
        <f>+'All. 12'!G24</f>
        <v>646868.82626696944</v>
      </c>
      <c r="J26" s="659">
        <f>+'All. 12'!H24</f>
        <v>114594.1057776594</v>
      </c>
      <c r="K26" s="347">
        <f t="shared" si="3"/>
        <v>761462.93204462877</v>
      </c>
      <c r="L26" s="630">
        <f>'Tab 0'!$B$48</f>
        <v>0.12</v>
      </c>
      <c r="M26" s="347">
        <f t="shared" si="4"/>
        <v>91375.551845355454</v>
      </c>
      <c r="N26" s="347"/>
      <c r="O26" s="347">
        <f t="shared" si="0"/>
        <v>9873.1466022314398</v>
      </c>
      <c r="P26" s="632">
        <f t="shared" si="5"/>
        <v>0.13296602393463952</v>
      </c>
      <c r="Q26" s="631">
        <f t="shared" si="6"/>
        <v>101248.6984475869</v>
      </c>
    </row>
    <row r="27" spans="2:17" x14ac:dyDescent="0.15">
      <c r="B27" s="160" t="s">
        <v>794</v>
      </c>
      <c r="C27" s="658">
        <f>+'All. 12'!C25</f>
        <v>400000</v>
      </c>
      <c r="D27" s="658">
        <f>+'All. 12'!D25</f>
        <v>164000</v>
      </c>
      <c r="E27" s="347">
        <f t="shared" si="1"/>
        <v>564000</v>
      </c>
      <c r="F27" s="630">
        <f>'Tab 0'!$B$48</f>
        <v>0.12</v>
      </c>
      <c r="G27" s="631">
        <f t="shared" si="2"/>
        <v>67680</v>
      </c>
      <c r="I27" s="660">
        <f>+'All. 12'!G25</f>
        <v>646868.82626696944</v>
      </c>
      <c r="J27" s="659">
        <f>+'All. 12'!H25</f>
        <v>114594.1057776594</v>
      </c>
      <c r="K27" s="347">
        <f t="shared" si="3"/>
        <v>761462.93204462877</v>
      </c>
      <c r="L27" s="630">
        <f>'Tab 0'!$B$48</f>
        <v>0.12</v>
      </c>
      <c r="M27" s="347">
        <f t="shared" si="4"/>
        <v>91375.551845355454</v>
      </c>
      <c r="N27" s="347"/>
      <c r="O27" s="347">
        <f t="shared" si="0"/>
        <v>9873.1466022314398</v>
      </c>
      <c r="P27" s="632">
        <f t="shared" si="5"/>
        <v>0.13296602393463952</v>
      </c>
      <c r="Q27" s="631">
        <f t="shared" si="6"/>
        <v>101248.6984475869</v>
      </c>
    </row>
    <row r="28" spans="2:17" x14ac:dyDescent="0.15">
      <c r="B28" s="160" t="s">
        <v>795</v>
      </c>
      <c r="C28" s="658">
        <f>+'All. 12'!C26</f>
        <v>400000</v>
      </c>
      <c r="D28" s="658">
        <f>+'All. 12'!D26</f>
        <v>164000</v>
      </c>
      <c r="E28" s="347">
        <f t="shared" si="1"/>
        <v>564000</v>
      </c>
      <c r="F28" s="630">
        <f>'Tab 0'!$B$48</f>
        <v>0.12</v>
      </c>
      <c r="G28" s="631">
        <f t="shared" si="2"/>
        <v>67680</v>
      </c>
      <c r="I28" s="660">
        <f>+'All. 12'!G26</f>
        <v>646868.82626696944</v>
      </c>
      <c r="J28" s="659">
        <f>+'All. 12'!H26</f>
        <v>114594.1057776594</v>
      </c>
      <c r="K28" s="347">
        <f t="shared" si="3"/>
        <v>761462.93204462877</v>
      </c>
      <c r="L28" s="630">
        <f>'Tab 0'!$B$48</f>
        <v>0.12</v>
      </c>
      <c r="M28" s="347">
        <f t="shared" si="4"/>
        <v>91375.551845355454</v>
      </c>
      <c r="N28" s="347"/>
      <c r="O28" s="347">
        <f t="shared" si="0"/>
        <v>9873.1466022314398</v>
      </c>
      <c r="P28" s="632">
        <f t="shared" si="5"/>
        <v>0.13296602393463952</v>
      </c>
      <c r="Q28" s="631">
        <f t="shared" si="6"/>
        <v>101248.6984475869</v>
      </c>
    </row>
    <row r="29" spans="2:17" x14ac:dyDescent="0.15">
      <c r="B29" s="160" t="s">
        <v>796</v>
      </c>
      <c r="C29" s="658">
        <f>+'All. 12'!C27</f>
        <v>400000</v>
      </c>
      <c r="D29" s="658">
        <f>+'All. 12'!D27</f>
        <v>164000</v>
      </c>
      <c r="E29" s="347">
        <f t="shared" si="1"/>
        <v>564000</v>
      </c>
      <c r="F29" s="630">
        <f>'Tab 0'!$B$48</f>
        <v>0.12</v>
      </c>
      <c r="G29" s="631">
        <f t="shared" si="2"/>
        <v>67680</v>
      </c>
      <c r="I29" s="660">
        <f>+'All. 12'!G27</f>
        <v>646868.82626696944</v>
      </c>
      <c r="J29" s="659">
        <f>+'All. 12'!H27</f>
        <v>114594.1057776594</v>
      </c>
      <c r="K29" s="347">
        <f t="shared" si="3"/>
        <v>761462.93204462877</v>
      </c>
      <c r="L29" s="630">
        <f>'Tab 0'!$B$48</f>
        <v>0.12</v>
      </c>
      <c r="M29" s="347">
        <f t="shared" si="4"/>
        <v>91375.551845355454</v>
      </c>
      <c r="N29" s="347"/>
      <c r="O29" s="347">
        <f t="shared" si="0"/>
        <v>9873.1466022314398</v>
      </c>
      <c r="P29" s="632">
        <f t="shared" si="5"/>
        <v>0.13296602393463952</v>
      </c>
      <c r="Q29" s="631">
        <f t="shared" si="6"/>
        <v>101248.6984475869</v>
      </c>
    </row>
    <row r="30" spans="2:17" x14ac:dyDescent="0.15">
      <c r="B30" s="160" t="s">
        <v>797</v>
      </c>
      <c r="C30" s="658">
        <f>+'All. 12'!C28</f>
        <v>400000</v>
      </c>
      <c r="D30" s="658">
        <f>+'All. 12'!D28</f>
        <v>164000</v>
      </c>
      <c r="E30" s="347">
        <f t="shared" si="1"/>
        <v>564000</v>
      </c>
      <c r="F30" s="630">
        <f>'Tab 0'!$B$48</f>
        <v>0.12</v>
      </c>
      <c r="G30" s="631">
        <f t="shared" si="2"/>
        <v>67680</v>
      </c>
      <c r="I30" s="660">
        <f>+'All. 12'!G28</f>
        <v>646868.82626696944</v>
      </c>
      <c r="J30" s="659">
        <f>+'All. 12'!H28</f>
        <v>114594.1057776594</v>
      </c>
      <c r="K30" s="347">
        <f t="shared" si="3"/>
        <v>761462.93204462877</v>
      </c>
      <c r="L30" s="630">
        <f>'Tab 0'!$B$48</f>
        <v>0.12</v>
      </c>
      <c r="M30" s="347">
        <f t="shared" si="4"/>
        <v>91375.551845355454</v>
      </c>
      <c r="N30" s="347"/>
      <c r="O30" s="347">
        <f t="shared" si="0"/>
        <v>9873.1466022314398</v>
      </c>
      <c r="P30" s="632">
        <f t="shared" si="5"/>
        <v>0.13296602393463952</v>
      </c>
      <c r="Q30" s="631">
        <f t="shared" si="6"/>
        <v>101248.6984475869</v>
      </c>
    </row>
    <row r="31" spans="2:17" x14ac:dyDescent="0.15">
      <c r="B31" s="160" t="s">
        <v>798</v>
      </c>
      <c r="C31" s="658">
        <f>+'All. 12'!C29</f>
        <v>400000</v>
      </c>
      <c r="D31" s="658">
        <f>+'All. 12'!D29</f>
        <v>164000</v>
      </c>
      <c r="E31" s="347">
        <f t="shared" si="1"/>
        <v>564000</v>
      </c>
      <c r="F31" s="630">
        <f>'Tab 0'!$B$48</f>
        <v>0.12</v>
      </c>
      <c r="G31" s="631">
        <f t="shared" si="2"/>
        <v>67680</v>
      </c>
      <c r="I31" s="660">
        <f>+'All. 12'!G29</f>
        <v>646868.82626696944</v>
      </c>
      <c r="J31" s="659">
        <f>+'All. 12'!H29</f>
        <v>114594.1057776594</v>
      </c>
      <c r="K31" s="347">
        <f t="shared" si="3"/>
        <v>761462.93204462877</v>
      </c>
      <c r="L31" s="630">
        <f>'Tab 0'!$B$48</f>
        <v>0.12</v>
      </c>
      <c r="M31" s="347">
        <f t="shared" si="4"/>
        <v>91375.551845355454</v>
      </c>
      <c r="N31" s="347"/>
      <c r="O31" s="347">
        <f t="shared" si="0"/>
        <v>9873.1466022314398</v>
      </c>
      <c r="P31" s="632">
        <f t="shared" si="5"/>
        <v>0.13296602393463952</v>
      </c>
      <c r="Q31" s="631">
        <f t="shared" si="6"/>
        <v>101248.6984475869</v>
      </c>
    </row>
    <row r="32" spans="2:17" x14ac:dyDescent="0.15">
      <c r="B32" s="160" t="s">
        <v>799</v>
      </c>
      <c r="C32" s="658">
        <f>+'All. 12'!C30</f>
        <v>400000</v>
      </c>
      <c r="D32" s="658">
        <f>+'All. 12'!D30</f>
        <v>164000</v>
      </c>
      <c r="E32" s="347">
        <f t="shared" si="1"/>
        <v>564000</v>
      </c>
      <c r="F32" s="630">
        <f>'Tab 0'!$B$48</f>
        <v>0.12</v>
      </c>
      <c r="G32" s="631">
        <f t="shared" si="2"/>
        <v>67680</v>
      </c>
      <c r="I32" s="660">
        <f>+'All. 12'!G30</f>
        <v>646868.82626696944</v>
      </c>
      <c r="J32" s="659">
        <f>+'All. 12'!H30</f>
        <v>114594.1057776594</v>
      </c>
      <c r="K32" s="347">
        <f t="shared" si="3"/>
        <v>761462.93204462877</v>
      </c>
      <c r="L32" s="630">
        <f>'Tab 0'!$B$48</f>
        <v>0.12</v>
      </c>
      <c r="M32" s="347">
        <f t="shared" si="4"/>
        <v>91375.551845355454</v>
      </c>
      <c r="N32" s="347"/>
      <c r="O32" s="347">
        <f t="shared" si="0"/>
        <v>9873.1466022314398</v>
      </c>
      <c r="P32" s="632">
        <f t="shared" si="5"/>
        <v>0.13296602393463952</v>
      </c>
      <c r="Q32" s="631">
        <f t="shared" si="6"/>
        <v>101248.6984475869</v>
      </c>
    </row>
    <row r="33" spans="2:17" x14ac:dyDescent="0.15">
      <c r="B33" s="160" t="s">
        <v>800</v>
      </c>
      <c r="C33" s="658">
        <f>+'All. 12'!C31</f>
        <v>400000</v>
      </c>
      <c r="D33" s="658">
        <f>+'All. 12'!D31</f>
        <v>164000</v>
      </c>
      <c r="E33" s="347">
        <f t="shared" si="1"/>
        <v>564000</v>
      </c>
      <c r="F33" s="630">
        <f>'Tab 0'!$B$48</f>
        <v>0.12</v>
      </c>
      <c r="G33" s="631">
        <f t="shared" si="2"/>
        <v>67680</v>
      </c>
      <c r="I33" s="660">
        <f>+'All. 12'!G31</f>
        <v>646868.82626696944</v>
      </c>
      <c r="J33" s="659">
        <f>+'All. 12'!H31</f>
        <v>114594.1057776594</v>
      </c>
      <c r="K33" s="347">
        <f t="shared" si="3"/>
        <v>761462.93204462877</v>
      </c>
      <c r="L33" s="630">
        <f>'Tab 0'!$B$48</f>
        <v>0.12</v>
      </c>
      <c r="M33" s="347">
        <f t="shared" si="4"/>
        <v>91375.551845355454</v>
      </c>
      <c r="N33" s="347"/>
      <c r="O33" s="347">
        <f t="shared" si="0"/>
        <v>9873.1466022314398</v>
      </c>
      <c r="P33" s="632">
        <f t="shared" si="5"/>
        <v>0.13296602393463952</v>
      </c>
      <c r="Q33" s="631">
        <f t="shared" si="6"/>
        <v>101248.6984475869</v>
      </c>
    </row>
    <row r="34" spans="2:17" x14ac:dyDescent="0.15">
      <c r="B34" s="160" t="s">
        <v>801</v>
      </c>
      <c r="C34" s="658">
        <f>+'All. 12'!C32</f>
        <v>400000</v>
      </c>
      <c r="D34" s="658">
        <f>+'All. 12'!D32</f>
        <v>164000</v>
      </c>
      <c r="E34" s="347">
        <f t="shared" si="1"/>
        <v>564000</v>
      </c>
      <c r="F34" s="630">
        <f>'Tab 0'!$B$48</f>
        <v>0.12</v>
      </c>
      <c r="G34" s="631">
        <f t="shared" si="2"/>
        <v>67680</v>
      </c>
      <c r="I34" s="660">
        <f>+'All. 12'!G32</f>
        <v>646868.82626696944</v>
      </c>
      <c r="J34" s="659">
        <f>+'All. 12'!H32</f>
        <v>114594.1057776594</v>
      </c>
      <c r="K34" s="347">
        <f t="shared" si="3"/>
        <v>761462.93204462877</v>
      </c>
      <c r="L34" s="630">
        <f>'Tab 0'!$B$48</f>
        <v>0.12</v>
      </c>
      <c r="M34" s="347">
        <f t="shared" si="4"/>
        <v>91375.551845355454</v>
      </c>
      <c r="N34" s="347"/>
      <c r="O34" s="347">
        <f t="shared" si="0"/>
        <v>9873.1466022314398</v>
      </c>
      <c r="P34" s="632">
        <f t="shared" si="5"/>
        <v>0.13296602393463952</v>
      </c>
      <c r="Q34" s="631">
        <f t="shared" si="6"/>
        <v>101248.6984475869</v>
      </c>
    </row>
    <row r="35" spans="2:17" x14ac:dyDescent="0.15">
      <c r="B35" s="160" t="s">
        <v>802</v>
      </c>
      <c r="C35" s="658">
        <f>+'All. 12'!C33</f>
        <v>400000</v>
      </c>
      <c r="D35" s="658">
        <f>+'All. 12'!D33</f>
        <v>164000</v>
      </c>
      <c r="E35" s="347">
        <f t="shared" si="1"/>
        <v>564000</v>
      </c>
      <c r="F35" s="630">
        <f>'Tab 0'!$B$48</f>
        <v>0.12</v>
      </c>
      <c r="G35" s="631">
        <f t="shared" si="2"/>
        <v>67680</v>
      </c>
      <c r="I35" s="660">
        <f>+'All. 12'!G33</f>
        <v>646868.82626696944</v>
      </c>
      <c r="J35" s="659">
        <f>+'All. 12'!H33</f>
        <v>114594.1057776594</v>
      </c>
      <c r="K35" s="347">
        <f t="shared" si="3"/>
        <v>761462.93204462877</v>
      </c>
      <c r="L35" s="630">
        <f>'Tab 0'!$B$48</f>
        <v>0.12</v>
      </c>
      <c r="M35" s="347">
        <f t="shared" si="4"/>
        <v>91375.551845355454</v>
      </c>
      <c r="N35" s="347"/>
      <c r="O35" s="347">
        <f t="shared" si="0"/>
        <v>9873.1466022314398</v>
      </c>
      <c r="P35" s="632">
        <f t="shared" si="5"/>
        <v>0.13296602393463952</v>
      </c>
      <c r="Q35" s="631">
        <f t="shared" si="6"/>
        <v>101248.6984475869</v>
      </c>
    </row>
    <row r="36" spans="2:17" x14ac:dyDescent="0.15">
      <c r="B36" s="160" t="s">
        <v>803</v>
      </c>
      <c r="C36" s="658">
        <f>+'All. 12'!C34</f>
        <v>400000</v>
      </c>
      <c r="D36" s="658">
        <f>+'All. 12'!D34</f>
        <v>164000</v>
      </c>
      <c r="E36" s="347">
        <f t="shared" si="1"/>
        <v>564000</v>
      </c>
      <c r="F36" s="630">
        <f>'Tab 0'!$B$48</f>
        <v>0.12</v>
      </c>
      <c r="G36" s="631">
        <f t="shared" si="2"/>
        <v>67680</v>
      </c>
      <c r="I36" s="660">
        <f>+'All. 12'!G34</f>
        <v>646868.82626696944</v>
      </c>
      <c r="J36" s="659">
        <f>+'All. 12'!H34</f>
        <v>114594.1057776594</v>
      </c>
      <c r="K36" s="347">
        <f t="shared" si="3"/>
        <v>761462.93204462877</v>
      </c>
      <c r="L36" s="630">
        <f>'Tab 0'!$B$48</f>
        <v>0.12</v>
      </c>
      <c r="M36" s="347">
        <f t="shared" si="4"/>
        <v>91375.551845355454</v>
      </c>
      <c r="N36" s="347"/>
      <c r="O36" s="347">
        <f t="shared" si="0"/>
        <v>9873.1466022314398</v>
      </c>
      <c r="P36" s="632">
        <f t="shared" si="5"/>
        <v>0.13296602393463952</v>
      </c>
      <c r="Q36" s="631">
        <f t="shared" si="6"/>
        <v>101248.6984475869</v>
      </c>
    </row>
    <row r="37" spans="2:17" x14ac:dyDescent="0.15">
      <c r="B37" s="160" t="s">
        <v>804</v>
      </c>
      <c r="C37" s="658">
        <f>+'All. 12'!C35</f>
        <v>400000</v>
      </c>
      <c r="D37" s="658">
        <f>+'All. 12'!D35</f>
        <v>164000</v>
      </c>
      <c r="E37" s="347">
        <f t="shared" si="1"/>
        <v>564000</v>
      </c>
      <c r="F37" s="630">
        <f>'Tab 0'!$B$48</f>
        <v>0.12</v>
      </c>
      <c r="G37" s="631">
        <f t="shared" si="2"/>
        <v>67680</v>
      </c>
      <c r="I37" s="660">
        <f>+'All. 12'!G35</f>
        <v>646868.82626696944</v>
      </c>
      <c r="J37" s="659">
        <f>+'All. 12'!H35</f>
        <v>114594.1057776594</v>
      </c>
      <c r="K37" s="347">
        <f t="shared" si="3"/>
        <v>761462.93204462877</v>
      </c>
      <c r="L37" s="630">
        <f>'Tab 0'!$B$48</f>
        <v>0.12</v>
      </c>
      <c r="M37" s="347">
        <f t="shared" si="4"/>
        <v>91375.551845355454</v>
      </c>
      <c r="N37" s="347"/>
      <c r="O37" s="347">
        <f t="shared" si="0"/>
        <v>9873.1466022314398</v>
      </c>
      <c r="P37" s="632">
        <f t="shared" si="5"/>
        <v>0.13296602393463952</v>
      </c>
      <c r="Q37" s="631">
        <f t="shared" si="6"/>
        <v>101248.6984475869</v>
      </c>
    </row>
    <row r="38" spans="2:17" x14ac:dyDescent="0.15">
      <c r="B38" s="160" t="s">
        <v>805</v>
      </c>
      <c r="C38" s="658">
        <f>+'All. 12'!C36</f>
        <v>400000</v>
      </c>
      <c r="D38" s="658">
        <f>+'All. 12'!D36</f>
        <v>164000</v>
      </c>
      <c r="E38" s="347">
        <f t="shared" si="1"/>
        <v>564000</v>
      </c>
      <c r="F38" s="630">
        <f>'Tab 0'!$B$48</f>
        <v>0.12</v>
      </c>
      <c r="G38" s="631">
        <f t="shared" si="2"/>
        <v>67680</v>
      </c>
      <c r="I38" s="660">
        <f>+'All. 12'!G36</f>
        <v>646868.82626696944</v>
      </c>
      <c r="J38" s="659">
        <f>+'All. 12'!H36</f>
        <v>114594.1057776594</v>
      </c>
      <c r="K38" s="347">
        <f t="shared" si="3"/>
        <v>761462.93204462877</v>
      </c>
      <c r="L38" s="630">
        <f>'Tab 0'!$B$48</f>
        <v>0.12</v>
      </c>
      <c r="M38" s="347">
        <f t="shared" si="4"/>
        <v>91375.551845355454</v>
      </c>
      <c r="N38" s="347"/>
      <c r="O38" s="347">
        <f t="shared" si="0"/>
        <v>9873.1466022314398</v>
      </c>
      <c r="P38" s="632">
        <f t="shared" si="5"/>
        <v>0.13296602393463952</v>
      </c>
      <c r="Q38" s="631">
        <f t="shared" si="6"/>
        <v>101248.6984475869</v>
      </c>
    </row>
    <row r="39" spans="2:17" x14ac:dyDescent="0.15">
      <c r="B39" s="160" t="s">
        <v>806</v>
      </c>
      <c r="C39" s="658">
        <f>+'All. 12'!C37</f>
        <v>400000</v>
      </c>
      <c r="D39" s="658">
        <f>+'All. 12'!D37</f>
        <v>164000</v>
      </c>
      <c r="E39" s="347">
        <f t="shared" si="1"/>
        <v>564000</v>
      </c>
      <c r="F39" s="630">
        <f>'Tab 0'!$B$48</f>
        <v>0.12</v>
      </c>
      <c r="G39" s="631">
        <f t="shared" si="2"/>
        <v>67680</v>
      </c>
      <c r="I39" s="660">
        <f>+'All. 12'!G37</f>
        <v>646868.82626696944</v>
      </c>
      <c r="J39" s="659">
        <f>+'All. 12'!H37</f>
        <v>114594.1057776594</v>
      </c>
      <c r="K39" s="347">
        <f t="shared" si="3"/>
        <v>761462.93204462877</v>
      </c>
      <c r="L39" s="630">
        <f>'Tab 0'!$B$48</f>
        <v>0.12</v>
      </c>
      <c r="M39" s="347">
        <f t="shared" si="4"/>
        <v>91375.551845355454</v>
      </c>
      <c r="N39" s="347"/>
      <c r="O39" s="347">
        <f t="shared" si="0"/>
        <v>9873.1466022314398</v>
      </c>
      <c r="P39" s="632">
        <f t="shared" si="5"/>
        <v>0.13296602393463952</v>
      </c>
      <c r="Q39" s="631">
        <f t="shared" si="6"/>
        <v>101248.6984475869</v>
      </c>
    </row>
    <row r="40" spans="2:17" x14ac:dyDescent="0.15">
      <c r="B40" s="160" t="s">
        <v>807</v>
      </c>
      <c r="C40" s="658">
        <f>+'All. 12'!C38</f>
        <v>400000</v>
      </c>
      <c r="D40" s="658">
        <f>+'All. 12'!D38</f>
        <v>164000</v>
      </c>
      <c r="E40" s="347">
        <f t="shared" si="1"/>
        <v>564000</v>
      </c>
      <c r="F40" s="630">
        <f>'Tab 0'!$B$48</f>
        <v>0.12</v>
      </c>
      <c r="G40" s="631">
        <f t="shared" si="2"/>
        <v>67680</v>
      </c>
      <c r="I40" s="660">
        <f>+'All. 12'!G38</f>
        <v>646868.82626696944</v>
      </c>
      <c r="J40" s="659">
        <f>+'All. 12'!H38</f>
        <v>114594.1057776594</v>
      </c>
      <c r="K40" s="347">
        <f t="shared" si="3"/>
        <v>761462.93204462877</v>
      </c>
      <c r="L40" s="630">
        <f>'Tab 0'!$B$48</f>
        <v>0.12</v>
      </c>
      <c r="M40" s="347">
        <f t="shared" si="4"/>
        <v>91375.551845355454</v>
      </c>
      <c r="N40" s="347"/>
      <c r="O40" s="347">
        <f t="shared" si="0"/>
        <v>9873.1466022314398</v>
      </c>
      <c r="P40" s="632">
        <f t="shared" si="5"/>
        <v>0.13296602393463952</v>
      </c>
      <c r="Q40" s="631">
        <f t="shared" si="6"/>
        <v>101248.6984475869</v>
      </c>
    </row>
    <row r="41" spans="2:17" x14ac:dyDescent="0.15">
      <c r="B41" s="160" t="s">
        <v>808</v>
      </c>
      <c r="C41" s="658">
        <f>+'All. 12'!C39</f>
        <v>300000</v>
      </c>
      <c r="D41" s="658">
        <f>+'All. 12'!D39</f>
        <v>123000</v>
      </c>
      <c r="E41" s="347">
        <f t="shared" si="1"/>
        <v>423000</v>
      </c>
      <c r="F41" s="630">
        <f>'Tab 0'!$B$48</f>
        <v>0.12</v>
      </c>
      <c r="G41" s="631">
        <f t="shared" si="2"/>
        <v>50760</v>
      </c>
      <c r="I41" s="660">
        <f>+'All. 12'!G39</f>
        <v>485151.61970022705</v>
      </c>
      <c r="J41" s="659">
        <f>+'All. 12'!H39</f>
        <v>85945.579333244546</v>
      </c>
      <c r="K41" s="347">
        <f t="shared" si="3"/>
        <v>571097.19903347164</v>
      </c>
      <c r="L41" s="630">
        <f>'Tab 0'!$B$48</f>
        <v>0.12</v>
      </c>
      <c r="M41" s="347">
        <f t="shared" si="4"/>
        <v>68531.663884016598</v>
      </c>
      <c r="N41" s="347"/>
      <c r="O41" s="347">
        <f t="shared" ref="O41:O72" si="7">IF(AND(E41&gt;0,K41&gt;E41),(K41-E41)*$C$4,0)</f>
        <v>7404.8599516735821</v>
      </c>
      <c r="P41" s="632">
        <f t="shared" si="5"/>
        <v>0.13296602393463952</v>
      </c>
      <c r="Q41" s="631">
        <f t="shared" si="6"/>
        <v>75936.523835690183</v>
      </c>
    </row>
    <row r="42" spans="2:17" x14ac:dyDescent="0.15">
      <c r="B42" s="160" t="s">
        <v>809</v>
      </c>
      <c r="C42" s="658">
        <f>+'All. 12'!C40</f>
        <v>300000</v>
      </c>
      <c r="D42" s="658">
        <f>+'All. 12'!D40</f>
        <v>123000</v>
      </c>
      <c r="E42" s="347">
        <f t="shared" si="1"/>
        <v>423000</v>
      </c>
      <c r="F42" s="630">
        <f>'Tab 0'!$B$48</f>
        <v>0.12</v>
      </c>
      <c r="G42" s="631">
        <f t="shared" si="2"/>
        <v>50760</v>
      </c>
      <c r="I42" s="660">
        <f>+'All. 12'!G40</f>
        <v>485151.61970022705</v>
      </c>
      <c r="J42" s="659">
        <f>+'All. 12'!H40</f>
        <v>85945.579333244546</v>
      </c>
      <c r="K42" s="347">
        <f t="shared" si="3"/>
        <v>571097.19903347164</v>
      </c>
      <c r="L42" s="630">
        <f>'Tab 0'!$B$48</f>
        <v>0.12</v>
      </c>
      <c r="M42" s="347">
        <f t="shared" si="4"/>
        <v>68531.663884016598</v>
      </c>
      <c r="N42" s="347"/>
      <c r="O42" s="347">
        <f t="shared" si="7"/>
        <v>7404.8599516735821</v>
      </c>
      <c r="P42" s="632">
        <f t="shared" si="5"/>
        <v>0.13296602393463952</v>
      </c>
      <c r="Q42" s="631">
        <f t="shared" si="6"/>
        <v>75936.523835690183</v>
      </c>
    </row>
    <row r="43" spans="2:17" x14ac:dyDescent="0.15">
      <c r="B43" s="160" t="s">
        <v>810</v>
      </c>
      <c r="C43" s="658">
        <f>+'All. 12'!C41</f>
        <v>300000</v>
      </c>
      <c r="D43" s="658">
        <f>+'All. 12'!D41</f>
        <v>123000</v>
      </c>
      <c r="E43" s="347">
        <f t="shared" si="1"/>
        <v>423000</v>
      </c>
      <c r="F43" s="630">
        <f>'Tab 0'!$B$48</f>
        <v>0.12</v>
      </c>
      <c r="G43" s="631">
        <f t="shared" si="2"/>
        <v>50760</v>
      </c>
      <c r="I43" s="660">
        <f>+'All. 12'!G41</f>
        <v>485151.61970022705</v>
      </c>
      <c r="J43" s="659">
        <f>+'All. 12'!H41</f>
        <v>85945.579333244546</v>
      </c>
      <c r="K43" s="347">
        <f t="shared" si="3"/>
        <v>571097.19903347164</v>
      </c>
      <c r="L43" s="630">
        <f>'Tab 0'!$B$48</f>
        <v>0.12</v>
      </c>
      <c r="M43" s="347">
        <f t="shared" si="4"/>
        <v>68531.663884016598</v>
      </c>
      <c r="N43" s="347"/>
      <c r="O43" s="347">
        <f t="shared" si="7"/>
        <v>7404.8599516735821</v>
      </c>
      <c r="P43" s="632">
        <f t="shared" si="5"/>
        <v>0.13296602393463952</v>
      </c>
      <c r="Q43" s="631">
        <f t="shared" si="6"/>
        <v>75936.523835690183</v>
      </c>
    </row>
    <row r="44" spans="2:17" x14ac:dyDescent="0.15">
      <c r="B44" s="160" t="s">
        <v>811</v>
      </c>
      <c r="C44" s="658">
        <f>+'All. 12'!C42</f>
        <v>300000</v>
      </c>
      <c r="D44" s="658">
        <f>+'All. 12'!D42</f>
        <v>123000</v>
      </c>
      <c r="E44" s="347">
        <f t="shared" si="1"/>
        <v>423000</v>
      </c>
      <c r="F44" s="630">
        <f>'Tab 0'!$B$48</f>
        <v>0.12</v>
      </c>
      <c r="G44" s="631">
        <f t="shared" si="2"/>
        <v>50760</v>
      </c>
      <c r="I44" s="660">
        <f>+'All. 12'!G42</f>
        <v>485151.61970022705</v>
      </c>
      <c r="J44" s="659">
        <f>+'All. 12'!H42</f>
        <v>85945.579333244546</v>
      </c>
      <c r="K44" s="347">
        <f t="shared" si="3"/>
        <v>571097.19903347164</v>
      </c>
      <c r="L44" s="630">
        <f>'Tab 0'!$B$48</f>
        <v>0.12</v>
      </c>
      <c r="M44" s="347">
        <f t="shared" si="4"/>
        <v>68531.663884016598</v>
      </c>
      <c r="N44" s="347"/>
      <c r="O44" s="347">
        <f t="shared" si="7"/>
        <v>7404.8599516735821</v>
      </c>
      <c r="P44" s="632">
        <f t="shared" si="5"/>
        <v>0.13296602393463952</v>
      </c>
      <c r="Q44" s="631">
        <f t="shared" si="6"/>
        <v>75936.523835690183</v>
      </c>
    </row>
    <row r="45" spans="2:17" x14ac:dyDescent="0.15">
      <c r="B45" s="160" t="s">
        <v>812</v>
      </c>
      <c r="C45" s="658">
        <f>+'All. 12'!C43</f>
        <v>300000</v>
      </c>
      <c r="D45" s="658">
        <f>+'All. 12'!D43</f>
        <v>123000</v>
      </c>
      <c r="E45" s="347">
        <f t="shared" si="1"/>
        <v>423000</v>
      </c>
      <c r="F45" s="630">
        <f>'Tab 0'!$B$48</f>
        <v>0.12</v>
      </c>
      <c r="G45" s="631">
        <f t="shared" si="2"/>
        <v>50760</v>
      </c>
      <c r="I45" s="660">
        <f>+'All. 12'!G43</f>
        <v>485151.61970022705</v>
      </c>
      <c r="J45" s="659">
        <f>+'All. 12'!H43</f>
        <v>85945.579333244546</v>
      </c>
      <c r="K45" s="347">
        <f t="shared" si="3"/>
        <v>571097.19903347164</v>
      </c>
      <c r="L45" s="630">
        <f>'Tab 0'!$B$48</f>
        <v>0.12</v>
      </c>
      <c r="M45" s="347">
        <f t="shared" si="4"/>
        <v>68531.663884016598</v>
      </c>
      <c r="N45" s="347"/>
      <c r="O45" s="347">
        <f t="shared" si="7"/>
        <v>7404.8599516735821</v>
      </c>
      <c r="P45" s="632">
        <f t="shared" si="5"/>
        <v>0.13296602393463952</v>
      </c>
      <c r="Q45" s="631">
        <f t="shared" si="6"/>
        <v>75936.523835690183</v>
      </c>
    </row>
    <row r="46" spans="2:17" x14ac:dyDescent="0.15">
      <c r="B46" s="160" t="s">
        <v>813</v>
      </c>
      <c r="C46" s="658">
        <f>+'All. 12'!C44</f>
        <v>300000</v>
      </c>
      <c r="D46" s="658">
        <f>+'All. 12'!D44</f>
        <v>123000</v>
      </c>
      <c r="E46" s="347">
        <f t="shared" si="1"/>
        <v>423000</v>
      </c>
      <c r="F46" s="630">
        <f>'Tab 0'!$B$48</f>
        <v>0.12</v>
      </c>
      <c r="G46" s="631">
        <f t="shared" si="2"/>
        <v>50760</v>
      </c>
      <c r="I46" s="660">
        <f>+'All. 12'!G44</f>
        <v>485151.61970022705</v>
      </c>
      <c r="J46" s="659">
        <f>+'All. 12'!H44</f>
        <v>85945.579333244546</v>
      </c>
      <c r="K46" s="347">
        <f t="shared" si="3"/>
        <v>571097.19903347164</v>
      </c>
      <c r="L46" s="630">
        <f>'Tab 0'!$B$48</f>
        <v>0.12</v>
      </c>
      <c r="M46" s="347">
        <f t="shared" si="4"/>
        <v>68531.663884016598</v>
      </c>
      <c r="N46" s="347"/>
      <c r="O46" s="347">
        <f t="shared" si="7"/>
        <v>7404.8599516735821</v>
      </c>
      <c r="P46" s="632">
        <f t="shared" si="5"/>
        <v>0.13296602393463952</v>
      </c>
      <c r="Q46" s="631">
        <f t="shared" si="6"/>
        <v>75936.523835690183</v>
      </c>
    </row>
    <row r="47" spans="2:17" x14ac:dyDescent="0.15">
      <c r="B47" s="160" t="s">
        <v>814</v>
      </c>
      <c r="C47" s="658">
        <f>+'All. 12'!C45</f>
        <v>300000</v>
      </c>
      <c r="D47" s="658">
        <f>+'All. 12'!D45</f>
        <v>123000</v>
      </c>
      <c r="E47" s="347">
        <f t="shared" si="1"/>
        <v>423000</v>
      </c>
      <c r="F47" s="630">
        <f>'Tab 0'!$B$48</f>
        <v>0.12</v>
      </c>
      <c r="G47" s="631">
        <f t="shared" si="2"/>
        <v>50760</v>
      </c>
      <c r="I47" s="660">
        <f>+'All. 12'!G45</f>
        <v>485151.61970022705</v>
      </c>
      <c r="J47" s="659">
        <f>+'All. 12'!H45</f>
        <v>85945.579333244546</v>
      </c>
      <c r="K47" s="347">
        <f t="shared" si="3"/>
        <v>571097.19903347164</v>
      </c>
      <c r="L47" s="630">
        <f>'Tab 0'!$B$48</f>
        <v>0.12</v>
      </c>
      <c r="M47" s="347">
        <f t="shared" si="4"/>
        <v>68531.663884016598</v>
      </c>
      <c r="N47" s="347"/>
      <c r="O47" s="347">
        <f t="shared" si="7"/>
        <v>7404.8599516735821</v>
      </c>
      <c r="P47" s="632">
        <f t="shared" si="5"/>
        <v>0.13296602393463952</v>
      </c>
      <c r="Q47" s="631">
        <f t="shared" si="6"/>
        <v>75936.523835690183</v>
      </c>
    </row>
    <row r="48" spans="2:17" x14ac:dyDescent="0.15">
      <c r="B48" s="160" t="s">
        <v>815</v>
      </c>
      <c r="C48" s="658">
        <f>+'All. 12'!C46</f>
        <v>300000</v>
      </c>
      <c r="D48" s="658">
        <f>+'All. 12'!D46</f>
        <v>123000</v>
      </c>
      <c r="E48" s="347">
        <f t="shared" si="1"/>
        <v>423000</v>
      </c>
      <c r="F48" s="630">
        <f>'Tab 0'!$B$48</f>
        <v>0.12</v>
      </c>
      <c r="G48" s="631">
        <f t="shared" si="2"/>
        <v>50760</v>
      </c>
      <c r="I48" s="660">
        <f>+'All. 12'!G46</f>
        <v>485151.61970022705</v>
      </c>
      <c r="J48" s="659">
        <f>+'All. 12'!H46</f>
        <v>85945.579333244546</v>
      </c>
      <c r="K48" s="347">
        <f t="shared" si="3"/>
        <v>571097.19903347164</v>
      </c>
      <c r="L48" s="630">
        <f>'Tab 0'!$B$48</f>
        <v>0.12</v>
      </c>
      <c r="M48" s="347">
        <f t="shared" si="4"/>
        <v>68531.663884016598</v>
      </c>
      <c r="N48" s="347"/>
      <c r="O48" s="347">
        <f t="shared" si="7"/>
        <v>7404.8599516735821</v>
      </c>
      <c r="P48" s="632">
        <f t="shared" si="5"/>
        <v>0.13296602393463952</v>
      </c>
      <c r="Q48" s="631">
        <f t="shared" si="6"/>
        <v>75936.523835690183</v>
      </c>
    </row>
    <row r="49" spans="2:17" x14ac:dyDescent="0.15">
      <c r="B49" s="160" t="s">
        <v>816</v>
      </c>
      <c r="C49" s="658">
        <f>+'All. 12'!C47</f>
        <v>300000</v>
      </c>
      <c r="D49" s="658">
        <f>+'All. 12'!D47</f>
        <v>123000</v>
      </c>
      <c r="E49" s="347">
        <f t="shared" si="1"/>
        <v>423000</v>
      </c>
      <c r="F49" s="630">
        <f>'Tab 0'!$B$48</f>
        <v>0.12</v>
      </c>
      <c r="G49" s="631">
        <f t="shared" si="2"/>
        <v>50760</v>
      </c>
      <c r="I49" s="660">
        <f>+'All. 12'!G47</f>
        <v>485151.61970022705</v>
      </c>
      <c r="J49" s="659">
        <f>+'All. 12'!H47</f>
        <v>85945.579333244546</v>
      </c>
      <c r="K49" s="347">
        <f t="shared" si="3"/>
        <v>571097.19903347164</v>
      </c>
      <c r="L49" s="630">
        <f>'Tab 0'!$B$48</f>
        <v>0.12</v>
      </c>
      <c r="M49" s="347">
        <f t="shared" si="4"/>
        <v>68531.663884016598</v>
      </c>
      <c r="N49" s="347"/>
      <c r="O49" s="347">
        <f t="shared" si="7"/>
        <v>7404.8599516735821</v>
      </c>
      <c r="P49" s="632">
        <f t="shared" si="5"/>
        <v>0.13296602393463952</v>
      </c>
      <c r="Q49" s="631">
        <f t="shared" si="6"/>
        <v>75936.523835690183</v>
      </c>
    </row>
    <row r="50" spans="2:17" x14ac:dyDescent="0.15">
      <c r="B50" s="160" t="s">
        <v>817</v>
      </c>
      <c r="C50" s="658">
        <f>+'All. 12'!C48</f>
        <v>300000</v>
      </c>
      <c r="D50" s="658">
        <f>+'All. 12'!D48</f>
        <v>123000</v>
      </c>
      <c r="E50" s="347">
        <f t="shared" si="1"/>
        <v>423000</v>
      </c>
      <c r="F50" s="630">
        <f>'Tab 0'!$B$48</f>
        <v>0.12</v>
      </c>
      <c r="G50" s="631">
        <f t="shared" si="2"/>
        <v>50760</v>
      </c>
      <c r="I50" s="660">
        <f>+'All. 12'!G48</f>
        <v>485151.61970022705</v>
      </c>
      <c r="J50" s="659">
        <f>+'All. 12'!H48</f>
        <v>85945.579333244546</v>
      </c>
      <c r="K50" s="347">
        <f t="shared" si="3"/>
        <v>571097.19903347164</v>
      </c>
      <c r="L50" s="630">
        <f>'Tab 0'!$B$48</f>
        <v>0.12</v>
      </c>
      <c r="M50" s="347">
        <f t="shared" si="4"/>
        <v>68531.663884016598</v>
      </c>
      <c r="N50" s="347"/>
      <c r="O50" s="347">
        <f t="shared" si="7"/>
        <v>7404.8599516735821</v>
      </c>
      <c r="P50" s="632">
        <f t="shared" si="5"/>
        <v>0.13296602393463952</v>
      </c>
      <c r="Q50" s="631">
        <f t="shared" si="6"/>
        <v>75936.523835690183</v>
      </c>
    </row>
    <row r="51" spans="2:17" x14ac:dyDescent="0.15">
      <c r="B51" s="160" t="s">
        <v>818</v>
      </c>
      <c r="C51" s="658">
        <f>+'All. 12'!C49</f>
        <v>300000</v>
      </c>
      <c r="D51" s="658">
        <f>+'All. 12'!D49</f>
        <v>123000</v>
      </c>
      <c r="E51" s="347">
        <f t="shared" si="1"/>
        <v>423000</v>
      </c>
      <c r="F51" s="630">
        <f>'Tab 0'!$B$48</f>
        <v>0.12</v>
      </c>
      <c r="G51" s="631">
        <f t="shared" si="2"/>
        <v>50760</v>
      </c>
      <c r="I51" s="660">
        <f>+'All. 12'!G49</f>
        <v>485151.61970022705</v>
      </c>
      <c r="J51" s="659">
        <f>+'All. 12'!H49</f>
        <v>85945.579333244546</v>
      </c>
      <c r="K51" s="347">
        <f t="shared" si="3"/>
        <v>571097.19903347164</v>
      </c>
      <c r="L51" s="630">
        <f>'Tab 0'!$B$48</f>
        <v>0.12</v>
      </c>
      <c r="M51" s="347">
        <f t="shared" si="4"/>
        <v>68531.663884016598</v>
      </c>
      <c r="N51" s="347"/>
      <c r="O51" s="347">
        <f t="shared" si="7"/>
        <v>7404.8599516735821</v>
      </c>
      <c r="P51" s="632">
        <f t="shared" si="5"/>
        <v>0.13296602393463952</v>
      </c>
      <c r="Q51" s="631">
        <f t="shared" si="6"/>
        <v>75936.523835690183</v>
      </c>
    </row>
    <row r="52" spans="2:17" x14ac:dyDescent="0.15">
      <c r="B52" s="160" t="s">
        <v>819</v>
      </c>
      <c r="C52" s="658">
        <f>+'All. 12'!C50</f>
        <v>300000</v>
      </c>
      <c r="D52" s="658">
        <f>+'All. 12'!D50</f>
        <v>123000</v>
      </c>
      <c r="E52" s="347">
        <f t="shared" si="1"/>
        <v>423000</v>
      </c>
      <c r="F52" s="630">
        <f>'Tab 0'!$B$48</f>
        <v>0.12</v>
      </c>
      <c r="G52" s="631">
        <f t="shared" si="2"/>
        <v>50760</v>
      </c>
      <c r="I52" s="660">
        <f>+'All. 12'!G50</f>
        <v>485151.61970022705</v>
      </c>
      <c r="J52" s="659">
        <f>+'All. 12'!H50</f>
        <v>85945.579333244546</v>
      </c>
      <c r="K52" s="347">
        <f t="shared" si="3"/>
        <v>571097.19903347164</v>
      </c>
      <c r="L52" s="630">
        <f>'Tab 0'!$B$48</f>
        <v>0.12</v>
      </c>
      <c r="M52" s="347">
        <f t="shared" si="4"/>
        <v>68531.663884016598</v>
      </c>
      <c r="N52" s="347"/>
      <c r="O52" s="347">
        <f t="shared" si="7"/>
        <v>7404.8599516735821</v>
      </c>
      <c r="P52" s="632">
        <f t="shared" si="5"/>
        <v>0.13296602393463952</v>
      </c>
      <c r="Q52" s="631">
        <f t="shared" si="6"/>
        <v>75936.523835690183</v>
      </c>
    </row>
    <row r="53" spans="2:17" x14ac:dyDescent="0.15">
      <c r="B53" s="160" t="s">
        <v>820</v>
      </c>
      <c r="C53" s="658">
        <f>+'All. 12'!C51</f>
        <v>300000</v>
      </c>
      <c r="D53" s="658">
        <f>+'All. 12'!D51</f>
        <v>123000</v>
      </c>
      <c r="E53" s="347">
        <f t="shared" si="1"/>
        <v>423000</v>
      </c>
      <c r="F53" s="630">
        <f>'Tab 0'!$B$48</f>
        <v>0.12</v>
      </c>
      <c r="G53" s="631">
        <f t="shared" si="2"/>
        <v>50760</v>
      </c>
      <c r="I53" s="660">
        <f>+'All. 12'!G51</f>
        <v>485151.61970022705</v>
      </c>
      <c r="J53" s="659">
        <f>+'All. 12'!H51</f>
        <v>85945.579333244546</v>
      </c>
      <c r="K53" s="347">
        <f t="shared" si="3"/>
        <v>571097.19903347164</v>
      </c>
      <c r="L53" s="630">
        <f>'Tab 0'!$B$48</f>
        <v>0.12</v>
      </c>
      <c r="M53" s="347">
        <f t="shared" si="4"/>
        <v>68531.663884016598</v>
      </c>
      <c r="N53" s="347"/>
      <c r="O53" s="347">
        <f t="shared" si="7"/>
        <v>7404.8599516735821</v>
      </c>
      <c r="P53" s="632">
        <f t="shared" si="5"/>
        <v>0.13296602393463952</v>
      </c>
      <c r="Q53" s="631">
        <f t="shared" si="6"/>
        <v>75936.523835690183</v>
      </c>
    </row>
    <row r="54" spans="2:17" x14ac:dyDescent="0.15">
      <c r="B54" s="160" t="s">
        <v>821</v>
      </c>
      <c r="C54" s="658">
        <f>+'All. 12'!C52</f>
        <v>300000</v>
      </c>
      <c r="D54" s="658">
        <f>+'All. 12'!D52</f>
        <v>123000</v>
      </c>
      <c r="E54" s="347">
        <f t="shared" si="1"/>
        <v>423000</v>
      </c>
      <c r="F54" s="630">
        <f>'Tab 0'!$B$48</f>
        <v>0.12</v>
      </c>
      <c r="G54" s="631">
        <f t="shared" si="2"/>
        <v>50760</v>
      </c>
      <c r="I54" s="660">
        <f>+'All. 12'!G52</f>
        <v>485151.61970022705</v>
      </c>
      <c r="J54" s="659">
        <f>+'All. 12'!H52</f>
        <v>85945.579333244546</v>
      </c>
      <c r="K54" s="347">
        <f t="shared" si="3"/>
        <v>571097.19903347164</v>
      </c>
      <c r="L54" s="630">
        <f>'Tab 0'!$B$48</f>
        <v>0.12</v>
      </c>
      <c r="M54" s="347">
        <f t="shared" si="4"/>
        <v>68531.663884016598</v>
      </c>
      <c r="N54" s="347"/>
      <c r="O54" s="347">
        <f t="shared" si="7"/>
        <v>7404.8599516735821</v>
      </c>
      <c r="P54" s="632">
        <f t="shared" si="5"/>
        <v>0.13296602393463952</v>
      </c>
      <c r="Q54" s="631">
        <f t="shared" si="6"/>
        <v>75936.523835690183</v>
      </c>
    </row>
    <row r="55" spans="2:17" x14ac:dyDescent="0.15">
      <c r="B55" s="160" t="s">
        <v>822</v>
      </c>
      <c r="C55" s="658">
        <f>+'All. 12'!C53</f>
        <v>293820</v>
      </c>
      <c r="D55" s="658">
        <f>+'All. 12'!D53</f>
        <v>78180</v>
      </c>
      <c r="E55" s="347">
        <f t="shared" si="1"/>
        <v>372000</v>
      </c>
      <c r="F55" s="630">
        <f>'Tab 0'!$B$48</f>
        <v>0.12</v>
      </c>
      <c r="G55" s="631">
        <f t="shared" si="2"/>
        <v>44640</v>
      </c>
      <c r="I55" s="660">
        <f>+'All. 12'!G53</f>
        <v>475157.49633440241</v>
      </c>
      <c r="J55" s="659">
        <f>+'All. 12'!H53</f>
        <v>54627.848717667148</v>
      </c>
      <c r="K55" s="347">
        <f t="shared" si="3"/>
        <v>529785.34505206952</v>
      </c>
      <c r="L55" s="630">
        <f>'Tab 0'!$B$48</f>
        <v>0.12</v>
      </c>
      <c r="M55" s="347">
        <f t="shared" si="4"/>
        <v>63574.241406248337</v>
      </c>
      <c r="N55" s="347"/>
      <c r="O55" s="347">
        <f t="shared" si="7"/>
        <v>7889.2672526034767</v>
      </c>
      <c r="P55" s="632">
        <f t="shared" si="5"/>
        <v>0.13489144108323359</v>
      </c>
      <c r="Q55" s="631">
        <f t="shared" si="6"/>
        <v>71463.508658851817</v>
      </c>
    </row>
    <row r="56" spans="2:17" x14ac:dyDescent="0.15">
      <c r="B56" s="160" t="s">
        <v>823</v>
      </c>
      <c r="C56" s="658">
        <f>+'All. 12'!C54</f>
        <v>200000</v>
      </c>
      <c r="D56" s="658">
        <f>+'All. 12'!D54</f>
        <v>82000</v>
      </c>
      <c r="E56" s="347">
        <f t="shared" si="1"/>
        <v>282000</v>
      </c>
      <c r="F56" s="630">
        <f>'Tab 0'!$B$48</f>
        <v>0.12</v>
      </c>
      <c r="G56" s="631">
        <f t="shared" si="2"/>
        <v>33840</v>
      </c>
      <c r="I56" s="660">
        <f>+'All. 12'!G54</f>
        <v>323434.41313348472</v>
      </c>
      <c r="J56" s="659">
        <f>+'All. 12'!H54</f>
        <v>57297.052888829698</v>
      </c>
      <c r="K56" s="347">
        <f t="shared" si="3"/>
        <v>380731.46602231439</v>
      </c>
      <c r="L56" s="630">
        <f>'Tab 0'!$B$48</f>
        <v>0.12</v>
      </c>
      <c r="M56" s="347">
        <f t="shared" si="4"/>
        <v>45687.775922677727</v>
      </c>
      <c r="N56" s="347"/>
      <c r="O56" s="347">
        <f t="shared" si="7"/>
        <v>4936.5733011157199</v>
      </c>
      <c r="P56" s="632">
        <f t="shared" si="5"/>
        <v>0.13296602393463952</v>
      </c>
      <c r="Q56" s="631">
        <f t="shared" si="6"/>
        <v>50624.349223793448</v>
      </c>
    </row>
    <row r="57" spans="2:17" x14ac:dyDescent="0.15">
      <c r="B57" s="160" t="s">
        <v>824</v>
      </c>
      <c r="C57" s="658">
        <f>+'All. 12'!C55</f>
        <v>200000</v>
      </c>
      <c r="D57" s="658">
        <f>+'All. 12'!D55</f>
        <v>82000</v>
      </c>
      <c r="E57" s="347">
        <f t="shared" si="1"/>
        <v>282000</v>
      </c>
      <c r="F57" s="630">
        <f>'Tab 0'!$B$48</f>
        <v>0.12</v>
      </c>
      <c r="G57" s="631">
        <f t="shared" si="2"/>
        <v>33840</v>
      </c>
      <c r="I57" s="660">
        <f>+'All. 12'!G55</f>
        <v>323434.41313348472</v>
      </c>
      <c r="J57" s="659">
        <f>+'All. 12'!H55</f>
        <v>57297.052888829698</v>
      </c>
      <c r="K57" s="347">
        <f t="shared" si="3"/>
        <v>380731.46602231439</v>
      </c>
      <c r="L57" s="630">
        <f>'Tab 0'!$B$48</f>
        <v>0.12</v>
      </c>
      <c r="M57" s="347">
        <f t="shared" si="4"/>
        <v>45687.775922677727</v>
      </c>
      <c r="N57" s="347"/>
      <c r="O57" s="347">
        <f t="shared" si="7"/>
        <v>4936.5733011157199</v>
      </c>
      <c r="P57" s="632">
        <f t="shared" si="5"/>
        <v>0.13296602393463952</v>
      </c>
      <c r="Q57" s="631">
        <f t="shared" si="6"/>
        <v>50624.349223793448</v>
      </c>
    </row>
    <row r="58" spans="2:17" x14ac:dyDescent="0.15">
      <c r="B58" s="160" t="s">
        <v>825</v>
      </c>
      <c r="C58" s="658">
        <f>+'All. 12'!C56</f>
        <v>200000</v>
      </c>
      <c r="D58" s="658">
        <f>+'All. 12'!D56</f>
        <v>82000</v>
      </c>
      <c r="E58" s="347">
        <f t="shared" si="1"/>
        <v>282000</v>
      </c>
      <c r="F58" s="630">
        <f>'Tab 0'!$B$48</f>
        <v>0.12</v>
      </c>
      <c r="G58" s="631">
        <f t="shared" si="2"/>
        <v>33840</v>
      </c>
      <c r="I58" s="660">
        <f>+'All. 12'!G56</f>
        <v>323434.41313348472</v>
      </c>
      <c r="J58" s="659">
        <f>+'All. 12'!H56</f>
        <v>57297.052888829698</v>
      </c>
      <c r="K58" s="347">
        <f t="shared" si="3"/>
        <v>380731.46602231439</v>
      </c>
      <c r="L58" s="630">
        <f>'Tab 0'!$B$48</f>
        <v>0.12</v>
      </c>
      <c r="M58" s="347">
        <f t="shared" si="4"/>
        <v>45687.775922677727</v>
      </c>
      <c r="N58" s="347"/>
      <c r="O58" s="347">
        <f t="shared" si="7"/>
        <v>4936.5733011157199</v>
      </c>
      <c r="P58" s="632">
        <f t="shared" si="5"/>
        <v>0.13296602393463952</v>
      </c>
      <c r="Q58" s="631">
        <f t="shared" si="6"/>
        <v>50624.349223793448</v>
      </c>
    </row>
    <row r="59" spans="2:17" x14ac:dyDescent="0.15">
      <c r="B59" s="160" t="s">
        <v>826</v>
      </c>
      <c r="C59" s="658">
        <f>+'All. 12'!C57</f>
        <v>200000</v>
      </c>
      <c r="D59" s="658">
        <f>+'All. 12'!D57</f>
        <v>82000</v>
      </c>
      <c r="E59" s="347">
        <f t="shared" si="1"/>
        <v>282000</v>
      </c>
      <c r="F59" s="630">
        <f>'Tab 0'!$B$48</f>
        <v>0.12</v>
      </c>
      <c r="G59" s="631">
        <f t="shared" si="2"/>
        <v>33840</v>
      </c>
      <c r="I59" s="660">
        <f>+'All. 12'!G57</f>
        <v>323434.41313348472</v>
      </c>
      <c r="J59" s="659">
        <f>+'All. 12'!H57</f>
        <v>57297.052888829698</v>
      </c>
      <c r="K59" s="347">
        <f t="shared" si="3"/>
        <v>380731.46602231439</v>
      </c>
      <c r="L59" s="630">
        <f>'Tab 0'!$B$48</f>
        <v>0.12</v>
      </c>
      <c r="M59" s="347">
        <f t="shared" si="4"/>
        <v>45687.775922677727</v>
      </c>
      <c r="N59" s="347"/>
      <c r="O59" s="347">
        <f t="shared" si="7"/>
        <v>4936.5733011157199</v>
      </c>
      <c r="P59" s="632">
        <f t="shared" si="5"/>
        <v>0.13296602393463952</v>
      </c>
      <c r="Q59" s="631">
        <f t="shared" si="6"/>
        <v>50624.349223793448</v>
      </c>
    </row>
    <row r="60" spans="2:17" x14ac:dyDescent="0.15">
      <c r="B60" s="160" t="s">
        <v>827</v>
      </c>
      <c r="C60" s="658">
        <f>+'All. 12'!C58</f>
        <v>200000</v>
      </c>
      <c r="D60" s="658">
        <f>+'All. 12'!D58</f>
        <v>82000</v>
      </c>
      <c r="E60" s="347">
        <f t="shared" si="1"/>
        <v>282000</v>
      </c>
      <c r="F60" s="630">
        <f>'Tab 0'!$B$48</f>
        <v>0.12</v>
      </c>
      <c r="G60" s="631">
        <f t="shared" si="2"/>
        <v>33840</v>
      </c>
      <c r="I60" s="660">
        <f>+'All. 12'!G58</f>
        <v>323434.41313348472</v>
      </c>
      <c r="J60" s="659">
        <f>+'All. 12'!H58</f>
        <v>57297.052888829698</v>
      </c>
      <c r="K60" s="347">
        <f t="shared" si="3"/>
        <v>380731.46602231439</v>
      </c>
      <c r="L60" s="630">
        <f>'Tab 0'!$B$48</f>
        <v>0.12</v>
      </c>
      <c r="M60" s="347">
        <f t="shared" si="4"/>
        <v>45687.775922677727</v>
      </c>
      <c r="N60" s="347"/>
      <c r="O60" s="347">
        <f t="shared" si="7"/>
        <v>4936.5733011157199</v>
      </c>
      <c r="P60" s="632">
        <f t="shared" si="5"/>
        <v>0.13296602393463952</v>
      </c>
      <c r="Q60" s="631">
        <f t="shared" si="6"/>
        <v>50624.349223793448</v>
      </c>
    </row>
    <row r="61" spans="2:17" x14ac:dyDescent="0.15">
      <c r="B61" s="160" t="s">
        <v>828</v>
      </c>
      <c r="C61" s="658">
        <f>+'All. 12'!C59</f>
        <v>200000</v>
      </c>
      <c r="D61" s="658">
        <f>+'All. 12'!D59</f>
        <v>82000</v>
      </c>
      <c r="E61" s="347">
        <f t="shared" si="1"/>
        <v>282000</v>
      </c>
      <c r="F61" s="630">
        <f>'Tab 0'!$B$48</f>
        <v>0.12</v>
      </c>
      <c r="G61" s="631">
        <f t="shared" si="2"/>
        <v>33840</v>
      </c>
      <c r="I61" s="660">
        <f>+'All. 12'!G59</f>
        <v>323434.41313348472</v>
      </c>
      <c r="J61" s="659">
        <f>+'All. 12'!H59</f>
        <v>57297.052888829698</v>
      </c>
      <c r="K61" s="347">
        <f t="shared" si="3"/>
        <v>380731.46602231439</v>
      </c>
      <c r="L61" s="630">
        <f>'Tab 0'!$B$48</f>
        <v>0.12</v>
      </c>
      <c r="M61" s="347">
        <f t="shared" si="4"/>
        <v>45687.775922677727</v>
      </c>
      <c r="N61" s="347"/>
      <c r="O61" s="347">
        <f t="shared" si="7"/>
        <v>4936.5733011157199</v>
      </c>
      <c r="P61" s="632">
        <f t="shared" si="5"/>
        <v>0.13296602393463952</v>
      </c>
      <c r="Q61" s="631">
        <f t="shared" si="6"/>
        <v>50624.349223793448</v>
      </c>
    </row>
    <row r="62" spans="2:17" x14ac:dyDescent="0.15">
      <c r="B62" s="160" t="s">
        <v>829</v>
      </c>
      <c r="C62" s="658">
        <f>+'All. 12'!C60</f>
        <v>200000</v>
      </c>
      <c r="D62" s="658">
        <f>+'All. 12'!D60</f>
        <v>82000</v>
      </c>
      <c r="E62" s="347">
        <f t="shared" si="1"/>
        <v>282000</v>
      </c>
      <c r="F62" s="630">
        <f>'Tab 0'!$B$48</f>
        <v>0.12</v>
      </c>
      <c r="G62" s="631">
        <f t="shared" si="2"/>
        <v>33840</v>
      </c>
      <c r="I62" s="660">
        <f>+'All. 12'!G60</f>
        <v>323434.41313348472</v>
      </c>
      <c r="J62" s="659">
        <f>+'All. 12'!H60</f>
        <v>57297.052888829698</v>
      </c>
      <c r="K62" s="347">
        <f t="shared" si="3"/>
        <v>380731.46602231439</v>
      </c>
      <c r="L62" s="630">
        <f>'Tab 0'!$B$48</f>
        <v>0.12</v>
      </c>
      <c r="M62" s="347">
        <f t="shared" si="4"/>
        <v>45687.775922677727</v>
      </c>
      <c r="N62" s="347"/>
      <c r="O62" s="347">
        <f t="shared" si="7"/>
        <v>4936.5733011157199</v>
      </c>
      <c r="P62" s="632">
        <f t="shared" si="5"/>
        <v>0.13296602393463952</v>
      </c>
      <c r="Q62" s="631">
        <f t="shared" si="6"/>
        <v>50624.349223793448</v>
      </c>
    </row>
    <row r="63" spans="2:17" x14ac:dyDescent="0.15">
      <c r="B63" s="160" t="s">
        <v>830</v>
      </c>
      <c r="C63" s="658">
        <f>+'All. 12'!C61</f>
        <v>200000</v>
      </c>
      <c r="D63" s="658">
        <f>+'All. 12'!D61</f>
        <v>82000</v>
      </c>
      <c r="E63" s="347">
        <f t="shared" si="1"/>
        <v>282000</v>
      </c>
      <c r="F63" s="630">
        <f>'Tab 0'!$B$48</f>
        <v>0.12</v>
      </c>
      <c r="G63" s="631">
        <f t="shared" si="2"/>
        <v>33840</v>
      </c>
      <c r="I63" s="660">
        <f>+'All. 12'!G61</f>
        <v>323434.41313348472</v>
      </c>
      <c r="J63" s="659">
        <f>+'All. 12'!H61</f>
        <v>57297.052888829698</v>
      </c>
      <c r="K63" s="347">
        <f t="shared" si="3"/>
        <v>380731.46602231439</v>
      </c>
      <c r="L63" s="630">
        <f>'Tab 0'!$B$48</f>
        <v>0.12</v>
      </c>
      <c r="M63" s="347">
        <f t="shared" si="4"/>
        <v>45687.775922677727</v>
      </c>
      <c r="N63" s="347"/>
      <c r="O63" s="347">
        <f t="shared" si="7"/>
        <v>4936.5733011157199</v>
      </c>
      <c r="P63" s="632">
        <f t="shared" si="5"/>
        <v>0.13296602393463952</v>
      </c>
      <c r="Q63" s="631">
        <f t="shared" si="6"/>
        <v>50624.349223793448</v>
      </c>
    </row>
    <row r="64" spans="2:17" x14ac:dyDescent="0.15">
      <c r="B64" s="160" t="s">
        <v>831</v>
      </c>
      <c r="C64" s="658">
        <f>+'All. 12'!C62</f>
        <v>200000</v>
      </c>
      <c r="D64" s="658">
        <f>+'All. 12'!D62</f>
        <v>82000</v>
      </c>
      <c r="E64" s="347">
        <f t="shared" si="1"/>
        <v>282000</v>
      </c>
      <c r="F64" s="630">
        <f>'Tab 0'!$B$48</f>
        <v>0.12</v>
      </c>
      <c r="G64" s="631">
        <f t="shared" si="2"/>
        <v>33840</v>
      </c>
      <c r="I64" s="660">
        <f>+'All. 12'!G62</f>
        <v>323434.41313348472</v>
      </c>
      <c r="J64" s="659">
        <f>+'All. 12'!H62</f>
        <v>57297.052888829698</v>
      </c>
      <c r="K64" s="347">
        <f t="shared" si="3"/>
        <v>380731.46602231439</v>
      </c>
      <c r="L64" s="630">
        <f>'Tab 0'!$B$48</f>
        <v>0.12</v>
      </c>
      <c r="M64" s="347">
        <f t="shared" si="4"/>
        <v>45687.775922677727</v>
      </c>
      <c r="N64" s="347"/>
      <c r="O64" s="347">
        <f t="shared" si="7"/>
        <v>4936.5733011157199</v>
      </c>
      <c r="P64" s="632">
        <f t="shared" si="5"/>
        <v>0.13296602393463952</v>
      </c>
      <c r="Q64" s="631">
        <f t="shared" si="6"/>
        <v>50624.349223793448</v>
      </c>
    </row>
    <row r="65" spans="2:17" x14ac:dyDescent="0.15">
      <c r="B65" s="160" t="s">
        <v>832</v>
      </c>
      <c r="C65" s="658">
        <f>+'All. 12'!C63</f>
        <v>200000</v>
      </c>
      <c r="D65" s="658">
        <f>+'All. 12'!D63</f>
        <v>82000</v>
      </c>
      <c r="E65" s="347">
        <f t="shared" si="1"/>
        <v>282000</v>
      </c>
      <c r="F65" s="630">
        <f>'Tab 0'!$B$48</f>
        <v>0.12</v>
      </c>
      <c r="G65" s="631">
        <f t="shared" si="2"/>
        <v>33840</v>
      </c>
      <c r="I65" s="660">
        <f>+'All. 12'!G63</f>
        <v>323434.41313348472</v>
      </c>
      <c r="J65" s="659">
        <f>+'All. 12'!H63</f>
        <v>57297.052888829698</v>
      </c>
      <c r="K65" s="347">
        <f t="shared" si="3"/>
        <v>380731.46602231439</v>
      </c>
      <c r="L65" s="630">
        <f>'Tab 0'!$B$48</f>
        <v>0.12</v>
      </c>
      <c r="M65" s="347">
        <f t="shared" si="4"/>
        <v>45687.775922677727</v>
      </c>
      <c r="N65" s="347"/>
      <c r="O65" s="347">
        <f t="shared" si="7"/>
        <v>4936.5733011157199</v>
      </c>
      <c r="P65" s="632">
        <f t="shared" si="5"/>
        <v>0.13296602393463952</v>
      </c>
      <c r="Q65" s="631">
        <f t="shared" si="6"/>
        <v>50624.349223793448</v>
      </c>
    </row>
    <row r="66" spans="2:17" x14ac:dyDescent="0.15">
      <c r="B66" s="160" t="s">
        <v>833</v>
      </c>
      <c r="C66" s="658">
        <f>+'All. 12'!C64</f>
        <v>200000</v>
      </c>
      <c r="D66" s="658">
        <f>+'All. 12'!D64</f>
        <v>82000</v>
      </c>
      <c r="E66" s="347">
        <f t="shared" si="1"/>
        <v>282000</v>
      </c>
      <c r="F66" s="630">
        <f>'Tab 0'!$B$48</f>
        <v>0.12</v>
      </c>
      <c r="G66" s="631">
        <f t="shared" si="2"/>
        <v>33840</v>
      </c>
      <c r="I66" s="660">
        <f>+'All. 12'!G64</f>
        <v>323434.41313348472</v>
      </c>
      <c r="J66" s="659">
        <f>+'All. 12'!H64</f>
        <v>57297.052888829698</v>
      </c>
      <c r="K66" s="347">
        <f t="shared" si="3"/>
        <v>380731.46602231439</v>
      </c>
      <c r="L66" s="630">
        <f>'Tab 0'!$B$48</f>
        <v>0.12</v>
      </c>
      <c r="M66" s="347">
        <f t="shared" si="4"/>
        <v>45687.775922677727</v>
      </c>
      <c r="N66" s="347"/>
      <c r="O66" s="347">
        <f t="shared" si="7"/>
        <v>4936.5733011157199</v>
      </c>
      <c r="P66" s="632">
        <f t="shared" si="5"/>
        <v>0.13296602393463952</v>
      </c>
      <c r="Q66" s="631">
        <f t="shared" si="6"/>
        <v>50624.349223793448</v>
      </c>
    </row>
    <row r="67" spans="2:17" x14ac:dyDescent="0.15">
      <c r="B67" s="160" t="s">
        <v>834</v>
      </c>
      <c r="C67" s="658">
        <f>+'All. 12'!C65</f>
        <v>200000</v>
      </c>
      <c r="D67" s="658">
        <f>+'All. 12'!D65</f>
        <v>82000</v>
      </c>
      <c r="E67" s="347">
        <f t="shared" si="1"/>
        <v>282000</v>
      </c>
      <c r="F67" s="630">
        <f>'Tab 0'!$B$48</f>
        <v>0.12</v>
      </c>
      <c r="G67" s="631">
        <f t="shared" si="2"/>
        <v>33840</v>
      </c>
      <c r="I67" s="660">
        <f>+'All. 12'!G65</f>
        <v>323434.41313348472</v>
      </c>
      <c r="J67" s="659">
        <f>+'All. 12'!H65</f>
        <v>57297.052888829698</v>
      </c>
      <c r="K67" s="347">
        <f t="shared" si="3"/>
        <v>380731.46602231439</v>
      </c>
      <c r="L67" s="630">
        <f>'Tab 0'!$B$48</f>
        <v>0.12</v>
      </c>
      <c r="M67" s="347">
        <f t="shared" si="4"/>
        <v>45687.775922677727</v>
      </c>
      <c r="N67" s="347"/>
      <c r="O67" s="347">
        <f t="shared" si="7"/>
        <v>4936.5733011157199</v>
      </c>
      <c r="P67" s="632">
        <f t="shared" si="5"/>
        <v>0.13296602393463952</v>
      </c>
      <c r="Q67" s="631">
        <f t="shared" si="6"/>
        <v>50624.349223793448</v>
      </c>
    </row>
    <row r="68" spans="2:17" x14ac:dyDescent="0.15">
      <c r="B68" s="160" t="s">
        <v>835</v>
      </c>
      <c r="C68" s="658">
        <f>+'All. 12'!C66</f>
        <v>200000</v>
      </c>
      <c r="D68" s="658">
        <f>+'All. 12'!D66</f>
        <v>82000</v>
      </c>
      <c r="E68" s="347">
        <f t="shared" si="1"/>
        <v>282000</v>
      </c>
      <c r="F68" s="630">
        <f>'Tab 0'!$B$48</f>
        <v>0.12</v>
      </c>
      <c r="G68" s="631">
        <f t="shared" si="2"/>
        <v>33840</v>
      </c>
      <c r="I68" s="660">
        <f>+'All. 12'!G66</f>
        <v>323434.41313348472</v>
      </c>
      <c r="J68" s="659">
        <f>+'All. 12'!H66</f>
        <v>57297.052888829698</v>
      </c>
      <c r="K68" s="347">
        <f t="shared" si="3"/>
        <v>380731.46602231439</v>
      </c>
      <c r="L68" s="630">
        <f>'Tab 0'!$B$48</f>
        <v>0.12</v>
      </c>
      <c r="M68" s="347">
        <f t="shared" si="4"/>
        <v>45687.775922677727</v>
      </c>
      <c r="N68" s="347"/>
      <c r="O68" s="347">
        <f t="shared" si="7"/>
        <v>4936.5733011157199</v>
      </c>
      <c r="P68" s="632">
        <f t="shared" si="5"/>
        <v>0.13296602393463952</v>
      </c>
      <c r="Q68" s="631">
        <f t="shared" si="6"/>
        <v>50624.349223793448</v>
      </c>
    </row>
    <row r="69" spans="2:17" x14ac:dyDescent="0.15">
      <c r="B69" s="160" t="s">
        <v>836</v>
      </c>
      <c r="C69" s="658">
        <f>+'All. 12'!C67</f>
        <v>200000</v>
      </c>
      <c r="D69" s="658">
        <f>+'All. 12'!D67</f>
        <v>82000</v>
      </c>
      <c r="E69" s="347">
        <f t="shared" si="1"/>
        <v>282000</v>
      </c>
      <c r="F69" s="630">
        <f>'Tab 0'!$B$48</f>
        <v>0.12</v>
      </c>
      <c r="G69" s="631">
        <f t="shared" si="2"/>
        <v>33840</v>
      </c>
      <c r="I69" s="660">
        <f>+'All. 12'!G67</f>
        <v>323434.41313348472</v>
      </c>
      <c r="J69" s="659">
        <f>+'All. 12'!H67</f>
        <v>57297.052888829698</v>
      </c>
      <c r="K69" s="347">
        <f t="shared" si="3"/>
        <v>380731.46602231439</v>
      </c>
      <c r="L69" s="630">
        <f>'Tab 0'!$B$48</f>
        <v>0.12</v>
      </c>
      <c r="M69" s="347">
        <f t="shared" si="4"/>
        <v>45687.775922677727</v>
      </c>
      <c r="N69" s="347"/>
      <c r="O69" s="347">
        <f t="shared" si="7"/>
        <v>4936.5733011157199</v>
      </c>
      <c r="P69" s="632">
        <f t="shared" si="5"/>
        <v>0.13296602393463952</v>
      </c>
      <c r="Q69" s="631">
        <f t="shared" si="6"/>
        <v>50624.349223793448</v>
      </c>
    </row>
    <row r="70" spans="2:17" x14ac:dyDescent="0.15">
      <c r="B70" s="160" t="s">
        <v>837</v>
      </c>
      <c r="C70" s="658">
        <f>+'All. 12'!C68</f>
        <v>200000</v>
      </c>
      <c r="D70" s="658">
        <f>+'All. 12'!D68</f>
        <v>82000</v>
      </c>
      <c r="E70" s="347">
        <f t="shared" si="1"/>
        <v>282000</v>
      </c>
      <c r="F70" s="630">
        <f>'Tab 0'!$B$48</f>
        <v>0.12</v>
      </c>
      <c r="G70" s="631">
        <f t="shared" si="2"/>
        <v>33840</v>
      </c>
      <c r="I70" s="660">
        <f>+'All. 12'!G68</f>
        <v>323434.41313348472</v>
      </c>
      <c r="J70" s="659">
        <f>+'All. 12'!H68</f>
        <v>57297.052888829698</v>
      </c>
      <c r="K70" s="347">
        <f t="shared" si="3"/>
        <v>380731.46602231439</v>
      </c>
      <c r="L70" s="630">
        <f>'Tab 0'!$B$48</f>
        <v>0.12</v>
      </c>
      <c r="M70" s="347">
        <f t="shared" si="4"/>
        <v>45687.775922677727</v>
      </c>
      <c r="N70" s="347"/>
      <c r="O70" s="347">
        <f t="shared" si="7"/>
        <v>4936.5733011157199</v>
      </c>
      <c r="P70" s="632">
        <f t="shared" si="5"/>
        <v>0.13296602393463952</v>
      </c>
      <c r="Q70" s="631">
        <f t="shared" si="6"/>
        <v>50624.349223793448</v>
      </c>
    </row>
    <row r="71" spans="2:17" x14ac:dyDescent="0.15">
      <c r="B71" s="160" t="s">
        <v>838</v>
      </c>
      <c r="C71" s="658">
        <f>+'All. 12'!C69</f>
        <v>200000</v>
      </c>
      <c r="D71" s="658">
        <f>+'All. 12'!D69</f>
        <v>82000</v>
      </c>
      <c r="E71" s="347">
        <f t="shared" si="1"/>
        <v>282000</v>
      </c>
      <c r="F71" s="630">
        <f>'Tab 0'!$B$48</f>
        <v>0.12</v>
      </c>
      <c r="G71" s="631">
        <f t="shared" si="2"/>
        <v>33840</v>
      </c>
      <c r="I71" s="660">
        <f>+'All. 12'!G69</f>
        <v>323434.41313348472</v>
      </c>
      <c r="J71" s="659">
        <f>+'All. 12'!H69</f>
        <v>57297.052888829698</v>
      </c>
      <c r="K71" s="347">
        <f t="shared" si="3"/>
        <v>380731.46602231439</v>
      </c>
      <c r="L71" s="630">
        <f>'Tab 0'!$B$48</f>
        <v>0.12</v>
      </c>
      <c r="M71" s="347">
        <f t="shared" si="4"/>
        <v>45687.775922677727</v>
      </c>
      <c r="N71" s="347"/>
      <c r="O71" s="347">
        <f t="shared" si="7"/>
        <v>4936.5733011157199</v>
      </c>
      <c r="P71" s="632">
        <f t="shared" si="5"/>
        <v>0.13296602393463952</v>
      </c>
      <c r="Q71" s="631">
        <f t="shared" si="6"/>
        <v>50624.349223793448</v>
      </c>
    </row>
    <row r="72" spans="2:17" x14ac:dyDescent="0.15">
      <c r="B72" s="160" t="s">
        <v>839</v>
      </c>
      <c r="C72" s="658">
        <f>+'All. 12'!C70</f>
        <v>200000</v>
      </c>
      <c r="D72" s="658">
        <f>+'All. 12'!D70</f>
        <v>82000</v>
      </c>
      <c r="E72" s="347">
        <f t="shared" si="1"/>
        <v>282000</v>
      </c>
      <c r="F72" s="630">
        <f>'Tab 0'!$B$48</f>
        <v>0.12</v>
      </c>
      <c r="G72" s="631">
        <f t="shared" si="2"/>
        <v>33840</v>
      </c>
      <c r="I72" s="660">
        <f>+'All. 12'!G70</f>
        <v>323434.41313348472</v>
      </c>
      <c r="J72" s="659">
        <f>+'All. 12'!H70</f>
        <v>57297.052888829698</v>
      </c>
      <c r="K72" s="347">
        <f t="shared" si="3"/>
        <v>380731.46602231439</v>
      </c>
      <c r="L72" s="630">
        <f>'Tab 0'!$B$48</f>
        <v>0.12</v>
      </c>
      <c r="M72" s="347">
        <f t="shared" si="4"/>
        <v>45687.775922677727</v>
      </c>
      <c r="N72" s="347"/>
      <c r="O72" s="347">
        <f t="shared" si="7"/>
        <v>4936.5733011157199</v>
      </c>
      <c r="P72" s="632">
        <f t="shared" si="5"/>
        <v>0.13296602393463952</v>
      </c>
      <c r="Q72" s="631">
        <f t="shared" si="6"/>
        <v>50624.349223793448</v>
      </c>
    </row>
    <row r="73" spans="2:17" x14ac:dyDescent="0.15">
      <c r="B73" s="160" t="s">
        <v>840</v>
      </c>
      <c r="C73" s="658">
        <f>+'All. 12'!C71</f>
        <v>200000</v>
      </c>
      <c r="D73" s="658">
        <f>+'All. 12'!D71</f>
        <v>82000</v>
      </c>
      <c r="E73" s="347">
        <f t="shared" si="1"/>
        <v>282000</v>
      </c>
      <c r="F73" s="630">
        <f>'Tab 0'!$B$48</f>
        <v>0.12</v>
      </c>
      <c r="G73" s="631">
        <f t="shared" si="2"/>
        <v>33840</v>
      </c>
      <c r="I73" s="660">
        <f>+'All. 12'!G71</f>
        <v>323434.41313348472</v>
      </c>
      <c r="J73" s="659">
        <f>+'All. 12'!H71</f>
        <v>57297.052888829698</v>
      </c>
      <c r="K73" s="347">
        <f t="shared" si="3"/>
        <v>380731.46602231439</v>
      </c>
      <c r="L73" s="630">
        <f>'Tab 0'!$B$48</f>
        <v>0.12</v>
      </c>
      <c r="M73" s="347">
        <f t="shared" si="4"/>
        <v>45687.775922677727</v>
      </c>
      <c r="N73" s="347"/>
      <c r="O73" s="347">
        <f t="shared" ref="O73:O104" si="8">IF(AND(E73&gt;0,K73&gt;E73),(K73-E73)*$C$4,0)</f>
        <v>4936.5733011157199</v>
      </c>
      <c r="P73" s="632">
        <f t="shared" si="5"/>
        <v>0.13296602393463952</v>
      </c>
      <c r="Q73" s="631">
        <f t="shared" si="6"/>
        <v>50624.349223793448</v>
      </c>
    </row>
    <row r="74" spans="2:17" x14ac:dyDescent="0.15">
      <c r="B74" s="160" t="s">
        <v>841</v>
      </c>
      <c r="C74" s="658">
        <f>+'All. 12'!C72</f>
        <v>200000</v>
      </c>
      <c r="D74" s="658">
        <f>+'All. 12'!D72</f>
        <v>82000</v>
      </c>
      <c r="E74" s="347">
        <f t="shared" ref="E74:E131" si="9">SUM(C74:D74)</f>
        <v>282000</v>
      </c>
      <c r="F74" s="630">
        <f>'Tab 0'!$B$48</f>
        <v>0.12</v>
      </c>
      <c r="G74" s="631">
        <f t="shared" ref="G74:G131" si="10">+E74*F74</f>
        <v>33840</v>
      </c>
      <c r="I74" s="660">
        <f>+'All. 12'!G72</f>
        <v>323434.41313348472</v>
      </c>
      <c r="J74" s="659">
        <f>+'All. 12'!H72</f>
        <v>57297.052888829698</v>
      </c>
      <c r="K74" s="347">
        <f t="shared" ref="K74:K123" si="11">SUM(I74:J74)</f>
        <v>380731.46602231439</v>
      </c>
      <c r="L74" s="630">
        <f>'Tab 0'!$B$48</f>
        <v>0.12</v>
      </c>
      <c r="M74" s="347">
        <f t="shared" ref="M74:M123" si="12">+K74*L74</f>
        <v>45687.775922677727</v>
      </c>
      <c r="N74" s="347"/>
      <c r="O74" s="347">
        <f t="shared" si="8"/>
        <v>4936.5733011157199</v>
      </c>
      <c r="P74" s="632">
        <f t="shared" ref="P74:P137" si="13">IFERROR(Q74/K74,0)</f>
        <v>0.13296602393463952</v>
      </c>
      <c r="Q74" s="631">
        <f t="shared" ref="Q74:Q131" si="14">+M74+N74+O74</f>
        <v>50624.349223793448</v>
      </c>
    </row>
    <row r="75" spans="2:17" x14ac:dyDescent="0.15">
      <c r="B75" s="160" t="s">
        <v>842</v>
      </c>
      <c r="C75" s="658">
        <f>+'All. 12'!C73</f>
        <v>200000</v>
      </c>
      <c r="D75" s="658">
        <f>+'All. 12'!D73</f>
        <v>82000</v>
      </c>
      <c r="E75" s="347">
        <f t="shared" si="9"/>
        <v>282000</v>
      </c>
      <c r="F75" s="630">
        <f>'Tab 0'!$B$48</f>
        <v>0.12</v>
      </c>
      <c r="G75" s="631">
        <f t="shared" si="10"/>
        <v>33840</v>
      </c>
      <c r="I75" s="660">
        <f>+'All. 12'!G73</f>
        <v>323434.41313348472</v>
      </c>
      <c r="J75" s="659">
        <f>+'All. 12'!H73</f>
        <v>57297.052888829698</v>
      </c>
      <c r="K75" s="347">
        <f t="shared" si="11"/>
        <v>380731.46602231439</v>
      </c>
      <c r="L75" s="630">
        <f>'Tab 0'!$B$48</f>
        <v>0.12</v>
      </c>
      <c r="M75" s="347">
        <f t="shared" si="12"/>
        <v>45687.775922677727</v>
      </c>
      <c r="N75" s="347"/>
      <c r="O75" s="347">
        <f t="shared" si="8"/>
        <v>4936.5733011157199</v>
      </c>
      <c r="P75" s="632">
        <f t="shared" si="13"/>
        <v>0.13296602393463952</v>
      </c>
      <c r="Q75" s="631">
        <f t="shared" si="14"/>
        <v>50624.349223793448</v>
      </c>
    </row>
    <row r="76" spans="2:17" x14ac:dyDescent="0.15">
      <c r="B76" s="160" t="s">
        <v>843</v>
      </c>
      <c r="C76" s="658">
        <f>+'All. 12'!C74</f>
        <v>200000</v>
      </c>
      <c r="D76" s="658">
        <f>+'All. 12'!D74</f>
        <v>82000</v>
      </c>
      <c r="E76" s="347">
        <f t="shared" si="9"/>
        <v>282000</v>
      </c>
      <c r="F76" s="630">
        <f>'Tab 0'!$B$48</f>
        <v>0.12</v>
      </c>
      <c r="G76" s="631">
        <f t="shared" si="10"/>
        <v>33840</v>
      </c>
      <c r="I76" s="660">
        <f>+'All. 12'!G74</f>
        <v>323434.41313348472</v>
      </c>
      <c r="J76" s="659">
        <f>+'All. 12'!H74</f>
        <v>57297.052888829698</v>
      </c>
      <c r="K76" s="347">
        <f t="shared" si="11"/>
        <v>380731.46602231439</v>
      </c>
      <c r="L76" s="630">
        <f>'Tab 0'!$B$48</f>
        <v>0.12</v>
      </c>
      <c r="M76" s="347">
        <f t="shared" si="12"/>
        <v>45687.775922677727</v>
      </c>
      <c r="N76" s="347"/>
      <c r="O76" s="347">
        <f t="shared" si="8"/>
        <v>4936.5733011157199</v>
      </c>
      <c r="P76" s="632">
        <f t="shared" si="13"/>
        <v>0.13296602393463952</v>
      </c>
      <c r="Q76" s="631">
        <f t="shared" si="14"/>
        <v>50624.349223793448</v>
      </c>
    </row>
    <row r="77" spans="2:17" x14ac:dyDescent="0.15">
      <c r="B77" s="160" t="s">
        <v>844</v>
      </c>
      <c r="C77" s="658">
        <f>+'All. 12'!C75</f>
        <v>200000</v>
      </c>
      <c r="D77" s="658">
        <f>+'All. 12'!D75</f>
        <v>82000</v>
      </c>
      <c r="E77" s="347">
        <f t="shared" si="9"/>
        <v>282000</v>
      </c>
      <c r="F77" s="630">
        <f>'Tab 0'!$B$48</f>
        <v>0.12</v>
      </c>
      <c r="G77" s="631">
        <f t="shared" si="10"/>
        <v>33840</v>
      </c>
      <c r="I77" s="660">
        <f>+'All. 12'!G75</f>
        <v>323434.41313348472</v>
      </c>
      <c r="J77" s="659">
        <f>+'All. 12'!H75</f>
        <v>57297.052888829698</v>
      </c>
      <c r="K77" s="347">
        <f t="shared" si="11"/>
        <v>380731.46602231439</v>
      </c>
      <c r="L77" s="630">
        <f>'Tab 0'!$B$48</f>
        <v>0.12</v>
      </c>
      <c r="M77" s="347">
        <f t="shared" si="12"/>
        <v>45687.775922677727</v>
      </c>
      <c r="N77" s="347"/>
      <c r="O77" s="347">
        <f t="shared" si="8"/>
        <v>4936.5733011157199</v>
      </c>
      <c r="P77" s="632">
        <f t="shared" si="13"/>
        <v>0.13296602393463952</v>
      </c>
      <c r="Q77" s="631">
        <f t="shared" si="14"/>
        <v>50624.349223793448</v>
      </c>
    </row>
    <row r="78" spans="2:17" x14ac:dyDescent="0.15">
      <c r="B78" s="160" t="s">
        <v>845</v>
      </c>
      <c r="C78" s="658">
        <f>+'All. 12'!C76</f>
        <v>200000</v>
      </c>
      <c r="D78" s="658">
        <f>+'All. 12'!D76</f>
        <v>82000</v>
      </c>
      <c r="E78" s="347">
        <f t="shared" si="9"/>
        <v>282000</v>
      </c>
      <c r="F78" s="630">
        <f>'Tab 0'!$B$48</f>
        <v>0.12</v>
      </c>
      <c r="G78" s="631">
        <f t="shared" si="10"/>
        <v>33840</v>
      </c>
      <c r="I78" s="660">
        <f>+'All. 12'!G76</f>
        <v>323434.41313348472</v>
      </c>
      <c r="J78" s="659">
        <f>+'All. 12'!H76</f>
        <v>57297.052888829698</v>
      </c>
      <c r="K78" s="347">
        <f t="shared" si="11"/>
        <v>380731.46602231439</v>
      </c>
      <c r="L78" s="630">
        <f>'Tab 0'!$B$48</f>
        <v>0.12</v>
      </c>
      <c r="M78" s="347">
        <f t="shared" si="12"/>
        <v>45687.775922677727</v>
      </c>
      <c r="N78" s="347"/>
      <c r="O78" s="347">
        <f t="shared" si="8"/>
        <v>4936.5733011157199</v>
      </c>
      <c r="P78" s="632">
        <f t="shared" si="13"/>
        <v>0.13296602393463952</v>
      </c>
      <c r="Q78" s="631">
        <f t="shared" si="14"/>
        <v>50624.349223793448</v>
      </c>
    </row>
    <row r="79" spans="2:17" x14ac:dyDescent="0.15">
      <c r="B79" s="160" t="s">
        <v>846</v>
      </c>
      <c r="C79" s="658">
        <f>+'All. 12'!C77</f>
        <v>200000</v>
      </c>
      <c r="D79" s="658">
        <f>+'All. 12'!D77</f>
        <v>82000</v>
      </c>
      <c r="E79" s="347">
        <f t="shared" si="9"/>
        <v>282000</v>
      </c>
      <c r="F79" s="630">
        <f>'Tab 0'!$B$48</f>
        <v>0.12</v>
      </c>
      <c r="G79" s="631">
        <f t="shared" si="10"/>
        <v>33840</v>
      </c>
      <c r="I79" s="660">
        <f>+'All. 12'!G77</f>
        <v>323434.41313348472</v>
      </c>
      <c r="J79" s="659">
        <f>+'All. 12'!H77</f>
        <v>57297.052888829698</v>
      </c>
      <c r="K79" s="347">
        <f t="shared" si="11"/>
        <v>380731.46602231439</v>
      </c>
      <c r="L79" s="630">
        <f>'Tab 0'!$B$48</f>
        <v>0.12</v>
      </c>
      <c r="M79" s="347">
        <f t="shared" si="12"/>
        <v>45687.775922677727</v>
      </c>
      <c r="N79" s="347"/>
      <c r="O79" s="347">
        <f t="shared" si="8"/>
        <v>4936.5733011157199</v>
      </c>
      <c r="P79" s="632">
        <f t="shared" si="13"/>
        <v>0.13296602393463952</v>
      </c>
      <c r="Q79" s="631">
        <f t="shared" si="14"/>
        <v>50624.349223793448</v>
      </c>
    </row>
    <row r="80" spans="2:17" x14ac:dyDescent="0.15">
      <c r="B80" s="160" t="s">
        <v>847</v>
      </c>
      <c r="C80" s="658">
        <f>+'All. 12'!C78</f>
        <v>200000</v>
      </c>
      <c r="D80" s="658">
        <f>+'All. 12'!D78</f>
        <v>82000</v>
      </c>
      <c r="E80" s="347">
        <f t="shared" si="9"/>
        <v>282000</v>
      </c>
      <c r="F80" s="630">
        <f>'Tab 0'!$B$48</f>
        <v>0.12</v>
      </c>
      <c r="G80" s="631">
        <f t="shared" si="10"/>
        <v>33840</v>
      </c>
      <c r="I80" s="660">
        <f>+'All. 12'!G78</f>
        <v>323434.41313348472</v>
      </c>
      <c r="J80" s="659">
        <f>+'All. 12'!H78</f>
        <v>57297.052888829698</v>
      </c>
      <c r="K80" s="347">
        <f t="shared" si="11"/>
        <v>380731.46602231439</v>
      </c>
      <c r="L80" s="630">
        <f>'Tab 0'!$B$48</f>
        <v>0.12</v>
      </c>
      <c r="M80" s="347">
        <f t="shared" si="12"/>
        <v>45687.775922677727</v>
      </c>
      <c r="N80" s="347"/>
      <c r="O80" s="347">
        <f t="shared" si="8"/>
        <v>4936.5733011157199</v>
      </c>
      <c r="P80" s="632">
        <f t="shared" si="13"/>
        <v>0.13296602393463952</v>
      </c>
      <c r="Q80" s="631">
        <f t="shared" si="14"/>
        <v>50624.349223793448</v>
      </c>
    </row>
    <row r="81" spans="2:17" x14ac:dyDescent="0.15">
      <c r="B81" s="160" t="s">
        <v>848</v>
      </c>
      <c r="C81" s="658">
        <f>+'All. 12'!C79</f>
        <v>200000</v>
      </c>
      <c r="D81" s="658">
        <f>+'All. 12'!D79</f>
        <v>82000</v>
      </c>
      <c r="E81" s="347">
        <f t="shared" si="9"/>
        <v>282000</v>
      </c>
      <c r="F81" s="630">
        <f>'Tab 0'!$B$48</f>
        <v>0.12</v>
      </c>
      <c r="G81" s="631">
        <f t="shared" si="10"/>
        <v>33840</v>
      </c>
      <c r="I81" s="660">
        <f>+'All. 12'!G79</f>
        <v>323434.41313348472</v>
      </c>
      <c r="J81" s="659">
        <f>+'All. 12'!H79</f>
        <v>57297.052888829698</v>
      </c>
      <c r="K81" s="347">
        <f t="shared" si="11"/>
        <v>380731.46602231439</v>
      </c>
      <c r="L81" s="630">
        <f>'Tab 0'!$B$48</f>
        <v>0.12</v>
      </c>
      <c r="M81" s="347">
        <f t="shared" si="12"/>
        <v>45687.775922677727</v>
      </c>
      <c r="N81" s="347"/>
      <c r="O81" s="347">
        <f t="shared" si="8"/>
        <v>4936.5733011157199</v>
      </c>
      <c r="P81" s="632">
        <f t="shared" si="13"/>
        <v>0.13296602393463952</v>
      </c>
      <c r="Q81" s="631">
        <f t="shared" si="14"/>
        <v>50624.349223793448</v>
      </c>
    </row>
    <row r="82" spans="2:17" x14ac:dyDescent="0.15">
      <c r="B82" s="160" t="s">
        <v>849</v>
      </c>
      <c r="C82" s="658">
        <f>+'All. 12'!C80</f>
        <v>200000</v>
      </c>
      <c r="D82" s="658">
        <f>+'All. 12'!D80</f>
        <v>82000</v>
      </c>
      <c r="E82" s="347">
        <f t="shared" si="9"/>
        <v>282000</v>
      </c>
      <c r="F82" s="630">
        <f>'Tab 0'!$B$48</f>
        <v>0.12</v>
      </c>
      <c r="G82" s="631">
        <f t="shared" si="10"/>
        <v>33840</v>
      </c>
      <c r="I82" s="660">
        <f>+'All. 12'!G80</f>
        <v>323434.41313348472</v>
      </c>
      <c r="J82" s="659">
        <f>+'All. 12'!H80</f>
        <v>57297.052888829698</v>
      </c>
      <c r="K82" s="347">
        <f t="shared" si="11"/>
        <v>380731.46602231439</v>
      </c>
      <c r="L82" s="630">
        <f>'Tab 0'!$B$48</f>
        <v>0.12</v>
      </c>
      <c r="M82" s="347">
        <f t="shared" si="12"/>
        <v>45687.775922677727</v>
      </c>
      <c r="N82" s="347"/>
      <c r="O82" s="347">
        <f t="shared" si="8"/>
        <v>4936.5733011157199</v>
      </c>
      <c r="P82" s="632">
        <f t="shared" si="13"/>
        <v>0.13296602393463952</v>
      </c>
      <c r="Q82" s="631">
        <f t="shared" si="14"/>
        <v>50624.349223793448</v>
      </c>
    </row>
    <row r="83" spans="2:17" x14ac:dyDescent="0.15">
      <c r="B83" s="160" t="s">
        <v>850</v>
      </c>
      <c r="C83" s="658">
        <f>+'All. 12'!C81</f>
        <v>200000</v>
      </c>
      <c r="D83" s="658">
        <f>+'All. 12'!D81</f>
        <v>82000</v>
      </c>
      <c r="E83" s="347">
        <f t="shared" si="9"/>
        <v>282000</v>
      </c>
      <c r="F83" s="630">
        <f>'Tab 0'!$B$48</f>
        <v>0.12</v>
      </c>
      <c r="G83" s="631">
        <f t="shared" si="10"/>
        <v>33840</v>
      </c>
      <c r="I83" s="660">
        <f>+'All. 12'!G81</f>
        <v>323434.41313348472</v>
      </c>
      <c r="J83" s="659">
        <f>+'All. 12'!H81</f>
        <v>57297.052888829698</v>
      </c>
      <c r="K83" s="347">
        <f t="shared" si="11"/>
        <v>380731.46602231439</v>
      </c>
      <c r="L83" s="630">
        <f>'Tab 0'!$B$48</f>
        <v>0.12</v>
      </c>
      <c r="M83" s="347">
        <f t="shared" si="12"/>
        <v>45687.775922677727</v>
      </c>
      <c r="N83" s="347"/>
      <c r="O83" s="347">
        <f t="shared" si="8"/>
        <v>4936.5733011157199</v>
      </c>
      <c r="P83" s="632">
        <f t="shared" si="13"/>
        <v>0.13296602393463952</v>
      </c>
      <c r="Q83" s="631">
        <f t="shared" si="14"/>
        <v>50624.349223793448</v>
      </c>
    </row>
    <row r="84" spans="2:17" x14ac:dyDescent="0.15">
      <c r="B84" s="160" t="s">
        <v>851</v>
      </c>
      <c r="C84" s="658">
        <f>+'All. 12'!C82</f>
        <v>100000</v>
      </c>
      <c r="D84" s="658">
        <f>+'All. 12'!D82</f>
        <v>41000</v>
      </c>
      <c r="E84" s="347">
        <f t="shared" si="9"/>
        <v>141000</v>
      </c>
      <c r="F84" s="630">
        <f>'Tab 0'!$B$48</f>
        <v>0.12</v>
      </c>
      <c r="G84" s="631">
        <f t="shared" si="10"/>
        <v>16920</v>
      </c>
      <c r="I84" s="660">
        <f>+'All. 12'!G82</f>
        <v>161717.20656674236</v>
      </c>
      <c r="J84" s="659">
        <f>+'All. 12'!H82</f>
        <v>28648.526444414849</v>
      </c>
      <c r="K84" s="347">
        <f t="shared" si="11"/>
        <v>190365.73301115719</v>
      </c>
      <c r="L84" s="630">
        <f>'Tab 0'!$B$48</f>
        <v>0.12</v>
      </c>
      <c r="M84" s="347">
        <f t="shared" si="12"/>
        <v>22843.887961338864</v>
      </c>
      <c r="N84" s="347"/>
      <c r="O84" s="347">
        <f t="shared" si="8"/>
        <v>2468.28665055786</v>
      </c>
      <c r="P84" s="632">
        <f t="shared" si="13"/>
        <v>0.13296602393463952</v>
      </c>
      <c r="Q84" s="631">
        <f t="shared" si="14"/>
        <v>25312.174611896724</v>
      </c>
    </row>
    <row r="85" spans="2:17" x14ac:dyDescent="0.15">
      <c r="B85" s="160" t="s">
        <v>852</v>
      </c>
      <c r="C85" s="658">
        <f>+'All. 12'!C83</f>
        <v>100000</v>
      </c>
      <c r="D85" s="658">
        <f>+'All. 12'!D83</f>
        <v>41000</v>
      </c>
      <c r="E85" s="347">
        <f t="shared" si="9"/>
        <v>141000</v>
      </c>
      <c r="F85" s="630">
        <f>'Tab 0'!$B$48</f>
        <v>0.12</v>
      </c>
      <c r="G85" s="631">
        <f t="shared" si="10"/>
        <v>16920</v>
      </c>
      <c r="I85" s="660">
        <f>+'All. 12'!G83</f>
        <v>161717.20656674236</v>
      </c>
      <c r="J85" s="659">
        <f>+'All. 12'!H83</f>
        <v>28648.526444414849</v>
      </c>
      <c r="K85" s="347">
        <f t="shared" si="11"/>
        <v>190365.73301115719</v>
      </c>
      <c r="L85" s="630">
        <f>'Tab 0'!$B$48</f>
        <v>0.12</v>
      </c>
      <c r="M85" s="347">
        <f t="shared" si="12"/>
        <v>22843.887961338864</v>
      </c>
      <c r="N85" s="347"/>
      <c r="O85" s="347">
        <f t="shared" si="8"/>
        <v>2468.28665055786</v>
      </c>
      <c r="P85" s="632">
        <f t="shared" si="13"/>
        <v>0.13296602393463952</v>
      </c>
      <c r="Q85" s="631">
        <f t="shared" si="14"/>
        <v>25312.174611896724</v>
      </c>
    </row>
    <row r="86" spans="2:17" x14ac:dyDescent="0.15">
      <c r="B86" s="160" t="s">
        <v>853</v>
      </c>
      <c r="C86" s="658">
        <f>+'All. 12'!C84</f>
        <v>100000</v>
      </c>
      <c r="D86" s="658">
        <f>+'All. 12'!D84</f>
        <v>41000</v>
      </c>
      <c r="E86" s="347">
        <f t="shared" si="9"/>
        <v>141000</v>
      </c>
      <c r="F86" s="630">
        <f>'Tab 0'!$B$48</f>
        <v>0.12</v>
      </c>
      <c r="G86" s="631">
        <f t="shared" si="10"/>
        <v>16920</v>
      </c>
      <c r="I86" s="660">
        <f>+'All. 12'!G84</f>
        <v>161717.20656674236</v>
      </c>
      <c r="J86" s="659">
        <f>+'All. 12'!H84</f>
        <v>28648.526444414849</v>
      </c>
      <c r="K86" s="347">
        <f t="shared" si="11"/>
        <v>190365.73301115719</v>
      </c>
      <c r="L86" s="630">
        <f>'Tab 0'!$B$48</f>
        <v>0.12</v>
      </c>
      <c r="M86" s="347">
        <f t="shared" si="12"/>
        <v>22843.887961338864</v>
      </c>
      <c r="N86" s="347"/>
      <c r="O86" s="347">
        <f t="shared" si="8"/>
        <v>2468.28665055786</v>
      </c>
      <c r="P86" s="632">
        <f t="shared" si="13"/>
        <v>0.13296602393463952</v>
      </c>
      <c r="Q86" s="631">
        <f t="shared" si="14"/>
        <v>25312.174611896724</v>
      </c>
    </row>
    <row r="87" spans="2:17" x14ac:dyDescent="0.15">
      <c r="B87" s="160" t="s">
        <v>854</v>
      </c>
      <c r="C87" s="658">
        <f>+'All. 12'!C85</f>
        <v>100000</v>
      </c>
      <c r="D87" s="658">
        <f>+'All. 12'!D85</f>
        <v>41000</v>
      </c>
      <c r="E87" s="347">
        <f t="shared" si="9"/>
        <v>141000</v>
      </c>
      <c r="F87" s="630">
        <f>'Tab 0'!$B$48</f>
        <v>0.12</v>
      </c>
      <c r="G87" s="631">
        <f t="shared" si="10"/>
        <v>16920</v>
      </c>
      <c r="I87" s="660">
        <f>+'All. 12'!G85</f>
        <v>161717.20656674236</v>
      </c>
      <c r="J87" s="659">
        <f>+'All. 12'!H85</f>
        <v>28648.526444414849</v>
      </c>
      <c r="K87" s="347">
        <f t="shared" si="11"/>
        <v>190365.73301115719</v>
      </c>
      <c r="L87" s="630">
        <f>'Tab 0'!$B$48</f>
        <v>0.12</v>
      </c>
      <c r="M87" s="347">
        <f t="shared" si="12"/>
        <v>22843.887961338864</v>
      </c>
      <c r="N87" s="347"/>
      <c r="O87" s="347">
        <f t="shared" si="8"/>
        <v>2468.28665055786</v>
      </c>
      <c r="P87" s="632">
        <f t="shared" si="13"/>
        <v>0.13296602393463952</v>
      </c>
      <c r="Q87" s="631">
        <f t="shared" si="14"/>
        <v>25312.174611896724</v>
      </c>
    </row>
    <row r="88" spans="2:17" x14ac:dyDescent="0.15">
      <c r="B88" s="160" t="s">
        <v>855</v>
      </c>
      <c r="C88" s="658">
        <f>+'All. 12'!C86</f>
        <v>100000</v>
      </c>
      <c r="D88" s="658">
        <f>+'All. 12'!D86</f>
        <v>41000</v>
      </c>
      <c r="E88" s="347">
        <f t="shared" si="9"/>
        <v>141000</v>
      </c>
      <c r="F88" s="630">
        <f>'Tab 0'!$B$48</f>
        <v>0.12</v>
      </c>
      <c r="G88" s="631">
        <f t="shared" si="10"/>
        <v>16920</v>
      </c>
      <c r="I88" s="660">
        <f>+'All. 12'!G86</f>
        <v>161717.20656674236</v>
      </c>
      <c r="J88" s="659">
        <f>+'All. 12'!H86</f>
        <v>28648.526444414849</v>
      </c>
      <c r="K88" s="347">
        <f t="shared" si="11"/>
        <v>190365.73301115719</v>
      </c>
      <c r="L88" s="630">
        <f>'Tab 0'!$B$48</f>
        <v>0.12</v>
      </c>
      <c r="M88" s="347">
        <f t="shared" si="12"/>
        <v>22843.887961338864</v>
      </c>
      <c r="N88" s="347"/>
      <c r="O88" s="347">
        <f t="shared" si="8"/>
        <v>2468.28665055786</v>
      </c>
      <c r="P88" s="632">
        <f t="shared" si="13"/>
        <v>0.13296602393463952</v>
      </c>
      <c r="Q88" s="631">
        <f t="shared" si="14"/>
        <v>25312.174611896724</v>
      </c>
    </row>
    <row r="89" spans="2:17" x14ac:dyDescent="0.15">
      <c r="B89" s="160" t="s">
        <v>856</v>
      </c>
      <c r="C89" s="658">
        <f>+'All. 12'!C87</f>
        <v>100000</v>
      </c>
      <c r="D89" s="658">
        <f>+'All. 12'!D87</f>
        <v>41000</v>
      </c>
      <c r="E89" s="347">
        <f t="shared" si="9"/>
        <v>141000</v>
      </c>
      <c r="F89" s="630">
        <f>'Tab 0'!$B$48</f>
        <v>0.12</v>
      </c>
      <c r="G89" s="631">
        <f t="shared" si="10"/>
        <v>16920</v>
      </c>
      <c r="I89" s="660">
        <f>+'All. 12'!G87</f>
        <v>161717.20656674236</v>
      </c>
      <c r="J89" s="659">
        <f>+'All. 12'!H87</f>
        <v>28648.526444414849</v>
      </c>
      <c r="K89" s="347">
        <f t="shared" si="11"/>
        <v>190365.73301115719</v>
      </c>
      <c r="L89" s="630">
        <f>'Tab 0'!$B$48</f>
        <v>0.12</v>
      </c>
      <c r="M89" s="347">
        <f t="shared" si="12"/>
        <v>22843.887961338864</v>
      </c>
      <c r="N89" s="347"/>
      <c r="O89" s="347">
        <f t="shared" si="8"/>
        <v>2468.28665055786</v>
      </c>
      <c r="P89" s="632">
        <f t="shared" si="13"/>
        <v>0.13296602393463952</v>
      </c>
      <c r="Q89" s="631">
        <f t="shared" si="14"/>
        <v>25312.174611896724</v>
      </c>
    </row>
    <row r="90" spans="2:17" x14ac:dyDescent="0.15">
      <c r="B90" s="160" t="s">
        <v>857</v>
      </c>
      <c r="C90" s="658">
        <f>+'All. 12'!C88</f>
        <v>100000</v>
      </c>
      <c r="D90" s="658">
        <f>+'All. 12'!D88</f>
        <v>41000</v>
      </c>
      <c r="E90" s="347">
        <f t="shared" si="9"/>
        <v>141000</v>
      </c>
      <c r="F90" s="630">
        <f>'Tab 0'!$B$48</f>
        <v>0.12</v>
      </c>
      <c r="G90" s="631">
        <f t="shared" si="10"/>
        <v>16920</v>
      </c>
      <c r="I90" s="660">
        <f>+'All. 12'!G88</f>
        <v>161717.20656674236</v>
      </c>
      <c r="J90" s="659">
        <f>+'All. 12'!H88</f>
        <v>28648.526444414849</v>
      </c>
      <c r="K90" s="347">
        <f t="shared" si="11"/>
        <v>190365.73301115719</v>
      </c>
      <c r="L90" s="630">
        <f>'Tab 0'!$B$48</f>
        <v>0.12</v>
      </c>
      <c r="M90" s="347">
        <f t="shared" si="12"/>
        <v>22843.887961338864</v>
      </c>
      <c r="N90" s="347"/>
      <c r="O90" s="347">
        <f t="shared" si="8"/>
        <v>2468.28665055786</v>
      </c>
      <c r="P90" s="632">
        <f t="shared" si="13"/>
        <v>0.13296602393463952</v>
      </c>
      <c r="Q90" s="631">
        <f t="shared" si="14"/>
        <v>25312.174611896724</v>
      </c>
    </row>
    <row r="91" spans="2:17" x14ac:dyDescent="0.15">
      <c r="B91" s="160" t="s">
        <v>858</v>
      </c>
      <c r="C91" s="658">
        <f>+'All. 12'!C89</f>
        <v>100000</v>
      </c>
      <c r="D91" s="658">
        <f>+'All. 12'!D89</f>
        <v>41000</v>
      </c>
      <c r="E91" s="347">
        <f t="shared" si="9"/>
        <v>141000</v>
      </c>
      <c r="F91" s="630">
        <f>'Tab 0'!$B$48</f>
        <v>0.12</v>
      </c>
      <c r="G91" s="631">
        <f t="shared" si="10"/>
        <v>16920</v>
      </c>
      <c r="I91" s="660">
        <f>+'All. 12'!G89</f>
        <v>161717.20656674236</v>
      </c>
      <c r="J91" s="659">
        <f>+'All. 12'!H89</f>
        <v>28648.526444414849</v>
      </c>
      <c r="K91" s="347">
        <f t="shared" si="11"/>
        <v>190365.73301115719</v>
      </c>
      <c r="L91" s="630">
        <f>'Tab 0'!$B$48</f>
        <v>0.12</v>
      </c>
      <c r="M91" s="347">
        <f t="shared" si="12"/>
        <v>22843.887961338864</v>
      </c>
      <c r="N91" s="347"/>
      <c r="O91" s="347">
        <f t="shared" si="8"/>
        <v>2468.28665055786</v>
      </c>
      <c r="P91" s="632">
        <f t="shared" si="13"/>
        <v>0.13296602393463952</v>
      </c>
      <c r="Q91" s="631">
        <f t="shared" si="14"/>
        <v>25312.174611896724</v>
      </c>
    </row>
    <row r="92" spans="2:17" x14ac:dyDescent="0.15">
      <c r="B92" s="160" t="s">
        <v>859</v>
      </c>
      <c r="C92" s="658">
        <f>+'All. 12'!C90</f>
        <v>100000</v>
      </c>
      <c r="D92" s="658">
        <f>+'All. 12'!D90</f>
        <v>41000</v>
      </c>
      <c r="E92" s="347">
        <f t="shared" si="9"/>
        <v>141000</v>
      </c>
      <c r="F92" s="630">
        <f>'Tab 0'!$B$48</f>
        <v>0.12</v>
      </c>
      <c r="G92" s="631">
        <f t="shared" si="10"/>
        <v>16920</v>
      </c>
      <c r="I92" s="660">
        <f>+'All. 12'!G90</f>
        <v>161717.20656674236</v>
      </c>
      <c r="J92" s="659">
        <f>+'All. 12'!H90</f>
        <v>28648.526444414849</v>
      </c>
      <c r="K92" s="347">
        <f t="shared" si="11"/>
        <v>190365.73301115719</v>
      </c>
      <c r="L92" s="630">
        <f>'Tab 0'!$B$48</f>
        <v>0.12</v>
      </c>
      <c r="M92" s="347">
        <f t="shared" si="12"/>
        <v>22843.887961338864</v>
      </c>
      <c r="N92" s="347"/>
      <c r="O92" s="347">
        <f t="shared" si="8"/>
        <v>2468.28665055786</v>
      </c>
      <c r="P92" s="632">
        <f t="shared" si="13"/>
        <v>0.13296602393463952</v>
      </c>
      <c r="Q92" s="631">
        <f t="shared" si="14"/>
        <v>25312.174611896724</v>
      </c>
    </row>
    <row r="93" spans="2:17" x14ac:dyDescent="0.15">
      <c r="B93" s="160" t="s">
        <v>860</v>
      </c>
      <c r="C93" s="658">
        <f>+'All. 12'!C91</f>
        <v>100000</v>
      </c>
      <c r="D93" s="658">
        <f>+'All. 12'!D91</f>
        <v>41000</v>
      </c>
      <c r="E93" s="347">
        <f t="shared" si="9"/>
        <v>141000</v>
      </c>
      <c r="F93" s="630">
        <f>'Tab 0'!$B$48</f>
        <v>0.12</v>
      </c>
      <c r="G93" s="631">
        <f t="shared" si="10"/>
        <v>16920</v>
      </c>
      <c r="I93" s="660">
        <f>+'All. 12'!G91</f>
        <v>161717.20656674236</v>
      </c>
      <c r="J93" s="659">
        <f>+'All. 12'!H91</f>
        <v>28648.526444414849</v>
      </c>
      <c r="K93" s="347">
        <f t="shared" si="11"/>
        <v>190365.73301115719</v>
      </c>
      <c r="L93" s="630">
        <f>'Tab 0'!$B$48</f>
        <v>0.12</v>
      </c>
      <c r="M93" s="347">
        <f t="shared" si="12"/>
        <v>22843.887961338864</v>
      </c>
      <c r="N93" s="347"/>
      <c r="O93" s="347">
        <f t="shared" si="8"/>
        <v>2468.28665055786</v>
      </c>
      <c r="P93" s="632">
        <f t="shared" si="13"/>
        <v>0.13296602393463952</v>
      </c>
      <c r="Q93" s="631">
        <f t="shared" si="14"/>
        <v>25312.174611896724</v>
      </c>
    </row>
    <row r="94" spans="2:17" x14ac:dyDescent="0.15">
      <c r="B94" s="160" t="s">
        <v>861</v>
      </c>
      <c r="C94" s="658">
        <f>+'All. 12'!C92</f>
        <v>100000</v>
      </c>
      <c r="D94" s="658">
        <f>+'All. 12'!D92</f>
        <v>41000</v>
      </c>
      <c r="E94" s="347">
        <f t="shared" si="9"/>
        <v>141000</v>
      </c>
      <c r="F94" s="630">
        <f>'Tab 0'!$B$48</f>
        <v>0.12</v>
      </c>
      <c r="G94" s="631">
        <f t="shared" si="10"/>
        <v>16920</v>
      </c>
      <c r="I94" s="660">
        <f>+'All. 12'!G92</f>
        <v>161717.20656674236</v>
      </c>
      <c r="J94" s="659">
        <f>+'All. 12'!H92</f>
        <v>28648.526444414849</v>
      </c>
      <c r="K94" s="347">
        <f t="shared" si="11"/>
        <v>190365.73301115719</v>
      </c>
      <c r="L94" s="630">
        <f>'Tab 0'!$B$48</f>
        <v>0.12</v>
      </c>
      <c r="M94" s="347">
        <f t="shared" si="12"/>
        <v>22843.887961338864</v>
      </c>
      <c r="N94" s="347"/>
      <c r="O94" s="347">
        <f t="shared" si="8"/>
        <v>2468.28665055786</v>
      </c>
      <c r="P94" s="632">
        <f t="shared" si="13"/>
        <v>0.13296602393463952</v>
      </c>
      <c r="Q94" s="631">
        <f t="shared" si="14"/>
        <v>25312.174611896724</v>
      </c>
    </row>
    <row r="95" spans="2:17" x14ac:dyDescent="0.15">
      <c r="B95" s="160" t="s">
        <v>862</v>
      </c>
      <c r="C95" s="658">
        <f>+'All. 12'!C93</f>
        <v>100000</v>
      </c>
      <c r="D95" s="658">
        <f>+'All. 12'!D93</f>
        <v>41000</v>
      </c>
      <c r="E95" s="347">
        <f t="shared" si="9"/>
        <v>141000</v>
      </c>
      <c r="F95" s="630">
        <f>'Tab 0'!$B$48</f>
        <v>0.12</v>
      </c>
      <c r="G95" s="631">
        <f t="shared" si="10"/>
        <v>16920</v>
      </c>
      <c r="I95" s="660">
        <f>+'All. 12'!G93</f>
        <v>161717.20656674236</v>
      </c>
      <c r="J95" s="659">
        <f>+'All. 12'!H93</f>
        <v>28648.526444414849</v>
      </c>
      <c r="K95" s="347">
        <f t="shared" si="11"/>
        <v>190365.73301115719</v>
      </c>
      <c r="L95" s="630">
        <f>'Tab 0'!$B$48</f>
        <v>0.12</v>
      </c>
      <c r="M95" s="347">
        <f t="shared" si="12"/>
        <v>22843.887961338864</v>
      </c>
      <c r="N95" s="347"/>
      <c r="O95" s="347">
        <f t="shared" si="8"/>
        <v>2468.28665055786</v>
      </c>
      <c r="P95" s="632">
        <f t="shared" si="13"/>
        <v>0.13296602393463952</v>
      </c>
      <c r="Q95" s="631">
        <f t="shared" si="14"/>
        <v>25312.174611896724</v>
      </c>
    </row>
    <row r="96" spans="2:17" x14ac:dyDescent="0.15">
      <c r="B96" s="160" t="s">
        <v>863</v>
      </c>
      <c r="C96" s="658">
        <f>+'All. 12'!C94</f>
        <v>100000</v>
      </c>
      <c r="D96" s="658">
        <f>+'All. 12'!D94</f>
        <v>41000</v>
      </c>
      <c r="E96" s="347">
        <f t="shared" si="9"/>
        <v>141000</v>
      </c>
      <c r="F96" s="630">
        <f>'Tab 0'!$B$48</f>
        <v>0.12</v>
      </c>
      <c r="G96" s="631">
        <f t="shared" si="10"/>
        <v>16920</v>
      </c>
      <c r="I96" s="660">
        <f>+'All. 12'!G94</f>
        <v>161717.20656674236</v>
      </c>
      <c r="J96" s="659">
        <f>+'All. 12'!H94</f>
        <v>28648.526444414849</v>
      </c>
      <c r="K96" s="347">
        <f t="shared" si="11"/>
        <v>190365.73301115719</v>
      </c>
      <c r="L96" s="630">
        <f>'Tab 0'!$B$48</f>
        <v>0.12</v>
      </c>
      <c r="M96" s="347">
        <f t="shared" si="12"/>
        <v>22843.887961338864</v>
      </c>
      <c r="N96" s="347"/>
      <c r="O96" s="347">
        <f t="shared" si="8"/>
        <v>2468.28665055786</v>
      </c>
      <c r="P96" s="632">
        <f t="shared" si="13"/>
        <v>0.13296602393463952</v>
      </c>
      <c r="Q96" s="631">
        <f t="shared" si="14"/>
        <v>25312.174611896724</v>
      </c>
    </row>
    <row r="97" spans="2:17" x14ac:dyDescent="0.15">
      <c r="B97" s="160" t="s">
        <v>864</v>
      </c>
      <c r="C97" s="658">
        <f>+'All. 12'!C95</f>
        <v>100000</v>
      </c>
      <c r="D97" s="658">
        <f>+'All. 12'!D95</f>
        <v>41000</v>
      </c>
      <c r="E97" s="347">
        <f t="shared" si="9"/>
        <v>141000</v>
      </c>
      <c r="F97" s="630">
        <f>'Tab 0'!$B$48</f>
        <v>0.12</v>
      </c>
      <c r="G97" s="631">
        <f t="shared" si="10"/>
        <v>16920</v>
      </c>
      <c r="I97" s="660">
        <f>+'All. 12'!G95</f>
        <v>161717.20656674236</v>
      </c>
      <c r="J97" s="659">
        <f>+'All. 12'!H95</f>
        <v>28648.526444414849</v>
      </c>
      <c r="K97" s="347">
        <f t="shared" si="11"/>
        <v>190365.73301115719</v>
      </c>
      <c r="L97" s="630">
        <f>'Tab 0'!$B$48</f>
        <v>0.12</v>
      </c>
      <c r="M97" s="347">
        <f t="shared" si="12"/>
        <v>22843.887961338864</v>
      </c>
      <c r="N97" s="347"/>
      <c r="O97" s="347">
        <f t="shared" si="8"/>
        <v>2468.28665055786</v>
      </c>
      <c r="P97" s="632">
        <f t="shared" si="13"/>
        <v>0.13296602393463952</v>
      </c>
      <c r="Q97" s="631">
        <f t="shared" si="14"/>
        <v>25312.174611896724</v>
      </c>
    </row>
    <row r="98" spans="2:17" x14ac:dyDescent="0.15">
      <c r="B98" s="160" t="s">
        <v>865</v>
      </c>
      <c r="C98" s="658">
        <f>+'All. 12'!C96</f>
        <v>100000</v>
      </c>
      <c r="D98" s="658">
        <f>+'All. 12'!D96</f>
        <v>41000</v>
      </c>
      <c r="E98" s="347">
        <f t="shared" si="9"/>
        <v>141000</v>
      </c>
      <c r="F98" s="630">
        <f>'Tab 0'!$B$48</f>
        <v>0.12</v>
      </c>
      <c r="G98" s="631">
        <f t="shared" si="10"/>
        <v>16920</v>
      </c>
      <c r="I98" s="660">
        <f>+'All. 12'!G96</f>
        <v>161717.20656674236</v>
      </c>
      <c r="J98" s="659">
        <f>+'All. 12'!H96</f>
        <v>28648.526444414849</v>
      </c>
      <c r="K98" s="347">
        <f t="shared" si="11"/>
        <v>190365.73301115719</v>
      </c>
      <c r="L98" s="630">
        <f>'Tab 0'!$B$48</f>
        <v>0.12</v>
      </c>
      <c r="M98" s="347">
        <f t="shared" si="12"/>
        <v>22843.887961338864</v>
      </c>
      <c r="N98" s="347"/>
      <c r="O98" s="347">
        <f t="shared" si="8"/>
        <v>2468.28665055786</v>
      </c>
      <c r="P98" s="632">
        <f t="shared" si="13"/>
        <v>0.13296602393463952</v>
      </c>
      <c r="Q98" s="631">
        <f t="shared" si="14"/>
        <v>25312.174611896724</v>
      </c>
    </row>
    <row r="99" spans="2:17" x14ac:dyDescent="0.15">
      <c r="B99" s="160" t="s">
        <v>866</v>
      </c>
      <c r="C99" s="658">
        <f>+'All. 12'!C97</f>
        <v>100000</v>
      </c>
      <c r="D99" s="658">
        <f>+'All. 12'!D97</f>
        <v>41000</v>
      </c>
      <c r="E99" s="347">
        <f t="shared" si="9"/>
        <v>141000</v>
      </c>
      <c r="F99" s="630">
        <f>'Tab 0'!$B$48</f>
        <v>0.12</v>
      </c>
      <c r="G99" s="631">
        <f t="shared" si="10"/>
        <v>16920</v>
      </c>
      <c r="I99" s="660">
        <f>+'All. 12'!G97</f>
        <v>161717.20656674236</v>
      </c>
      <c r="J99" s="659">
        <f>+'All. 12'!H97</f>
        <v>28648.526444414849</v>
      </c>
      <c r="K99" s="347">
        <f t="shared" si="11"/>
        <v>190365.73301115719</v>
      </c>
      <c r="L99" s="630">
        <f>'Tab 0'!$B$48</f>
        <v>0.12</v>
      </c>
      <c r="M99" s="347">
        <f t="shared" si="12"/>
        <v>22843.887961338864</v>
      </c>
      <c r="N99" s="347"/>
      <c r="O99" s="347">
        <f t="shared" si="8"/>
        <v>2468.28665055786</v>
      </c>
      <c r="P99" s="632">
        <f t="shared" si="13"/>
        <v>0.13296602393463952</v>
      </c>
      <c r="Q99" s="631">
        <f t="shared" si="14"/>
        <v>25312.174611896724</v>
      </c>
    </row>
    <row r="100" spans="2:17" x14ac:dyDescent="0.15">
      <c r="B100" s="160" t="s">
        <v>867</v>
      </c>
      <c r="C100" s="658">
        <f>+'All. 12'!C98</f>
        <v>100000</v>
      </c>
      <c r="D100" s="658">
        <f>+'All. 12'!D98</f>
        <v>41000</v>
      </c>
      <c r="E100" s="347">
        <f t="shared" si="9"/>
        <v>141000</v>
      </c>
      <c r="F100" s="630">
        <f>'Tab 0'!$B$48</f>
        <v>0.12</v>
      </c>
      <c r="G100" s="631">
        <f t="shared" si="10"/>
        <v>16920</v>
      </c>
      <c r="I100" s="660">
        <f>+'All. 12'!G98</f>
        <v>161717.20656674236</v>
      </c>
      <c r="J100" s="659">
        <f>+'All. 12'!H98</f>
        <v>28648.526444414849</v>
      </c>
      <c r="K100" s="347">
        <f t="shared" si="11"/>
        <v>190365.73301115719</v>
      </c>
      <c r="L100" s="630">
        <f>'Tab 0'!$B$48</f>
        <v>0.12</v>
      </c>
      <c r="M100" s="347">
        <f t="shared" si="12"/>
        <v>22843.887961338864</v>
      </c>
      <c r="N100" s="347"/>
      <c r="O100" s="347">
        <f t="shared" si="8"/>
        <v>2468.28665055786</v>
      </c>
      <c r="P100" s="632">
        <f t="shared" si="13"/>
        <v>0.13296602393463952</v>
      </c>
      <c r="Q100" s="631">
        <f t="shared" si="14"/>
        <v>25312.174611896724</v>
      </c>
    </row>
    <row r="101" spans="2:17" x14ac:dyDescent="0.15">
      <c r="B101" s="160" t="s">
        <v>868</v>
      </c>
      <c r="C101" s="658">
        <f>+'All. 12'!C99</f>
        <v>100000</v>
      </c>
      <c r="D101" s="658">
        <f>+'All. 12'!D99</f>
        <v>41000</v>
      </c>
      <c r="E101" s="347">
        <f t="shared" si="9"/>
        <v>141000</v>
      </c>
      <c r="F101" s="630">
        <f>'Tab 0'!$B$48</f>
        <v>0.12</v>
      </c>
      <c r="G101" s="631">
        <f t="shared" si="10"/>
        <v>16920</v>
      </c>
      <c r="I101" s="660">
        <f>+'All. 12'!G99</f>
        <v>161717.20656674236</v>
      </c>
      <c r="J101" s="659">
        <f>+'All. 12'!H99</f>
        <v>28648.526444414849</v>
      </c>
      <c r="K101" s="347">
        <f t="shared" si="11"/>
        <v>190365.73301115719</v>
      </c>
      <c r="L101" s="630">
        <f>'Tab 0'!$B$48</f>
        <v>0.12</v>
      </c>
      <c r="M101" s="347">
        <f t="shared" si="12"/>
        <v>22843.887961338864</v>
      </c>
      <c r="N101" s="347"/>
      <c r="O101" s="347">
        <f t="shared" si="8"/>
        <v>2468.28665055786</v>
      </c>
      <c r="P101" s="632">
        <f t="shared" si="13"/>
        <v>0.13296602393463952</v>
      </c>
      <c r="Q101" s="631">
        <f t="shared" si="14"/>
        <v>25312.174611896724</v>
      </c>
    </row>
    <row r="102" spans="2:17" x14ac:dyDescent="0.15">
      <c r="B102" s="160" t="s">
        <v>869</v>
      </c>
      <c r="C102" s="658">
        <f>+'All. 12'!C100</f>
        <v>100000</v>
      </c>
      <c r="D102" s="658">
        <f>+'All. 12'!D100</f>
        <v>41000</v>
      </c>
      <c r="E102" s="347">
        <f t="shared" si="9"/>
        <v>141000</v>
      </c>
      <c r="F102" s="630">
        <f>'Tab 0'!$B$48</f>
        <v>0.12</v>
      </c>
      <c r="G102" s="631">
        <f t="shared" si="10"/>
        <v>16920</v>
      </c>
      <c r="I102" s="660">
        <f>+'All. 12'!G100</f>
        <v>161717.20656674236</v>
      </c>
      <c r="J102" s="659">
        <f>+'All. 12'!H100</f>
        <v>28648.526444414849</v>
      </c>
      <c r="K102" s="347">
        <f t="shared" si="11"/>
        <v>190365.73301115719</v>
      </c>
      <c r="L102" s="630">
        <f>'Tab 0'!$B$48</f>
        <v>0.12</v>
      </c>
      <c r="M102" s="347">
        <f t="shared" si="12"/>
        <v>22843.887961338864</v>
      </c>
      <c r="N102" s="347"/>
      <c r="O102" s="347">
        <f t="shared" si="8"/>
        <v>2468.28665055786</v>
      </c>
      <c r="P102" s="632">
        <f t="shared" si="13"/>
        <v>0.13296602393463952</v>
      </c>
      <c r="Q102" s="631">
        <f t="shared" si="14"/>
        <v>25312.174611896724</v>
      </c>
    </row>
    <row r="103" spans="2:17" x14ac:dyDescent="0.15">
      <c r="B103" s="160" t="s">
        <v>870</v>
      </c>
      <c r="C103" s="658">
        <f>+'All. 12'!C101</f>
        <v>100000</v>
      </c>
      <c r="D103" s="658">
        <f>+'All. 12'!D101</f>
        <v>41000</v>
      </c>
      <c r="E103" s="347">
        <f t="shared" si="9"/>
        <v>141000</v>
      </c>
      <c r="F103" s="630">
        <f>'Tab 0'!$B$48</f>
        <v>0.12</v>
      </c>
      <c r="G103" s="631">
        <f t="shared" si="10"/>
        <v>16920</v>
      </c>
      <c r="I103" s="660">
        <f>+'All. 12'!G101</f>
        <v>161717.20656674236</v>
      </c>
      <c r="J103" s="659">
        <f>+'All. 12'!H101</f>
        <v>28648.526444414849</v>
      </c>
      <c r="K103" s="347">
        <f t="shared" si="11"/>
        <v>190365.73301115719</v>
      </c>
      <c r="L103" s="630">
        <f>'Tab 0'!$B$48</f>
        <v>0.12</v>
      </c>
      <c r="M103" s="347">
        <f t="shared" si="12"/>
        <v>22843.887961338864</v>
      </c>
      <c r="N103" s="347"/>
      <c r="O103" s="347">
        <f t="shared" si="8"/>
        <v>2468.28665055786</v>
      </c>
      <c r="P103" s="632">
        <f t="shared" si="13"/>
        <v>0.13296602393463952</v>
      </c>
      <c r="Q103" s="631">
        <f t="shared" si="14"/>
        <v>25312.174611896724</v>
      </c>
    </row>
    <row r="104" spans="2:17" x14ac:dyDescent="0.15">
      <c r="B104" s="160" t="s">
        <v>871</v>
      </c>
      <c r="C104" s="658">
        <f>+'All. 12'!C102</f>
        <v>100000</v>
      </c>
      <c r="D104" s="658">
        <f>+'All. 12'!D102</f>
        <v>41000</v>
      </c>
      <c r="E104" s="347">
        <f t="shared" si="9"/>
        <v>141000</v>
      </c>
      <c r="F104" s="630">
        <f>'Tab 0'!$B$48</f>
        <v>0.12</v>
      </c>
      <c r="G104" s="631">
        <f t="shared" si="10"/>
        <v>16920</v>
      </c>
      <c r="I104" s="660">
        <f>+'All. 12'!G102</f>
        <v>161717.20656674236</v>
      </c>
      <c r="J104" s="659">
        <f>+'All. 12'!H102</f>
        <v>28648.526444414849</v>
      </c>
      <c r="K104" s="347">
        <f t="shared" si="11"/>
        <v>190365.73301115719</v>
      </c>
      <c r="L104" s="630">
        <f>'Tab 0'!$B$48</f>
        <v>0.12</v>
      </c>
      <c r="M104" s="347">
        <f t="shared" si="12"/>
        <v>22843.887961338864</v>
      </c>
      <c r="N104" s="347"/>
      <c r="O104" s="347">
        <f t="shared" si="8"/>
        <v>2468.28665055786</v>
      </c>
      <c r="P104" s="632">
        <f t="shared" si="13"/>
        <v>0.13296602393463952</v>
      </c>
      <c r="Q104" s="631">
        <f t="shared" si="14"/>
        <v>25312.174611896724</v>
      </c>
    </row>
    <row r="105" spans="2:17" x14ac:dyDescent="0.15">
      <c r="B105" s="160" t="s">
        <v>872</v>
      </c>
      <c r="C105" s="658">
        <f>+'All. 12'!C103</f>
        <v>100000</v>
      </c>
      <c r="D105" s="658">
        <f>+'All. 12'!D103</f>
        <v>41000</v>
      </c>
      <c r="E105" s="347">
        <f t="shared" si="9"/>
        <v>141000</v>
      </c>
      <c r="F105" s="630">
        <f>'Tab 0'!$B$48</f>
        <v>0.12</v>
      </c>
      <c r="G105" s="631">
        <f t="shared" si="10"/>
        <v>16920</v>
      </c>
      <c r="I105" s="660">
        <f>+'All. 12'!G103</f>
        <v>161717.20656674236</v>
      </c>
      <c r="J105" s="659">
        <f>+'All. 12'!H103</f>
        <v>28648.526444414849</v>
      </c>
      <c r="K105" s="347">
        <f t="shared" si="11"/>
        <v>190365.73301115719</v>
      </c>
      <c r="L105" s="630">
        <f>'Tab 0'!$B$48</f>
        <v>0.12</v>
      </c>
      <c r="M105" s="347">
        <f t="shared" si="12"/>
        <v>22843.887961338864</v>
      </c>
      <c r="N105" s="347"/>
      <c r="O105" s="347">
        <f t="shared" ref="O105:O123" si="15">IF(AND(E105&gt;0,K105&gt;E105),(K105-E105)*$C$4,0)</f>
        <v>2468.28665055786</v>
      </c>
      <c r="P105" s="632">
        <f t="shared" si="13"/>
        <v>0.13296602393463952</v>
      </c>
      <c r="Q105" s="631">
        <f t="shared" si="14"/>
        <v>25312.174611896724</v>
      </c>
    </row>
    <row r="106" spans="2:17" x14ac:dyDescent="0.15">
      <c r="B106" s="160" t="s">
        <v>873</v>
      </c>
      <c r="C106" s="658">
        <f>+'All. 12'!C104</f>
        <v>100000</v>
      </c>
      <c r="D106" s="658">
        <f>+'All. 12'!D104</f>
        <v>41000</v>
      </c>
      <c r="E106" s="347">
        <f t="shared" si="9"/>
        <v>141000</v>
      </c>
      <c r="F106" s="630">
        <f>'Tab 0'!$B$48</f>
        <v>0.12</v>
      </c>
      <c r="G106" s="631">
        <f t="shared" si="10"/>
        <v>16920</v>
      </c>
      <c r="I106" s="660">
        <f>+'All. 12'!G104</f>
        <v>161717.20656674236</v>
      </c>
      <c r="J106" s="659">
        <f>+'All. 12'!H104</f>
        <v>28648.526444414849</v>
      </c>
      <c r="K106" s="347">
        <f t="shared" si="11"/>
        <v>190365.73301115719</v>
      </c>
      <c r="L106" s="630">
        <f>'Tab 0'!$B$48</f>
        <v>0.12</v>
      </c>
      <c r="M106" s="347">
        <f t="shared" si="12"/>
        <v>22843.887961338864</v>
      </c>
      <c r="N106" s="347"/>
      <c r="O106" s="347">
        <f t="shared" si="15"/>
        <v>2468.28665055786</v>
      </c>
      <c r="P106" s="632">
        <f t="shared" si="13"/>
        <v>0.13296602393463952</v>
      </c>
      <c r="Q106" s="631">
        <f t="shared" si="14"/>
        <v>25312.174611896724</v>
      </c>
    </row>
    <row r="107" spans="2:17" x14ac:dyDescent="0.15">
      <c r="B107" s="160" t="s">
        <v>874</v>
      </c>
      <c r="C107" s="658">
        <f>+'All. 12'!C105</f>
        <v>100000</v>
      </c>
      <c r="D107" s="658">
        <f>+'All. 12'!D105</f>
        <v>41000</v>
      </c>
      <c r="E107" s="347">
        <f t="shared" si="9"/>
        <v>141000</v>
      </c>
      <c r="F107" s="630">
        <f>'Tab 0'!$B$48</f>
        <v>0.12</v>
      </c>
      <c r="G107" s="631">
        <f t="shared" si="10"/>
        <v>16920</v>
      </c>
      <c r="I107" s="660">
        <f>+'All. 12'!G105</f>
        <v>161717.20656674236</v>
      </c>
      <c r="J107" s="659">
        <f>+'All. 12'!H105</f>
        <v>28648.526444414849</v>
      </c>
      <c r="K107" s="347">
        <f t="shared" si="11"/>
        <v>190365.73301115719</v>
      </c>
      <c r="L107" s="630">
        <f>'Tab 0'!$B$48</f>
        <v>0.12</v>
      </c>
      <c r="M107" s="347">
        <f t="shared" si="12"/>
        <v>22843.887961338864</v>
      </c>
      <c r="N107" s="347"/>
      <c r="O107" s="347">
        <f t="shared" si="15"/>
        <v>2468.28665055786</v>
      </c>
      <c r="P107" s="632">
        <f t="shared" si="13"/>
        <v>0.13296602393463952</v>
      </c>
      <c r="Q107" s="631">
        <f t="shared" si="14"/>
        <v>25312.174611896724</v>
      </c>
    </row>
    <row r="108" spans="2:17" x14ac:dyDescent="0.15">
      <c r="B108" s="160" t="s">
        <v>875</v>
      </c>
      <c r="C108" s="658">
        <f>+'All. 12'!C106</f>
        <v>100000</v>
      </c>
      <c r="D108" s="658">
        <f>+'All. 12'!D106</f>
        <v>41000</v>
      </c>
      <c r="E108" s="347">
        <f t="shared" si="9"/>
        <v>141000</v>
      </c>
      <c r="F108" s="630">
        <f>'Tab 0'!$B$48</f>
        <v>0.12</v>
      </c>
      <c r="G108" s="631">
        <f t="shared" si="10"/>
        <v>16920</v>
      </c>
      <c r="I108" s="660">
        <f>+'All. 12'!G106</f>
        <v>161717.20656674236</v>
      </c>
      <c r="J108" s="659">
        <f>+'All. 12'!H106</f>
        <v>28648.526444414849</v>
      </c>
      <c r="K108" s="347">
        <f t="shared" si="11"/>
        <v>190365.73301115719</v>
      </c>
      <c r="L108" s="630">
        <f>'Tab 0'!$B$48</f>
        <v>0.12</v>
      </c>
      <c r="M108" s="347">
        <f t="shared" si="12"/>
        <v>22843.887961338864</v>
      </c>
      <c r="N108" s="347"/>
      <c r="O108" s="347">
        <f t="shared" si="15"/>
        <v>2468.28665055786</v>
      </c>
      <c r="P108" s="632">
        <f t="shared" si="13"/>
        <v>0.13296602393463952</v>
      </c>
      <c r="Q108" s="631">
        <f t="shared" si="14"/>
        <v>25312.174611896724</v>
      </c>
    </row>
    <row r="109" spans="2:17" x14ac:dyDescent="0.15">
      <c r="B109" s="160" t="s">
        <v>876</v>
      </c>
      <c r="C109" s="658">
        <f>+'All. 12'!C107</f>
        <v>100000</v>
      </c>
      <c r="D109" s="658">
        <f>+'All. 12'!D107</f>
        <v>41000</v>
      </c>
      <c r="E109" s="347">
        <f t="shared" si="9"/>
        <v>141000</v>
      </c>
      <c r="F109" s="630">
        <f>'Tab 0'!$B$48</f>
        <v>0.12</v>
      </c>
      <c r="G109" s="631">
        <f t="shared" si="10"/>
        <v>16920</v>
      </c>
      <c r="I109" s="660">
        <f>+'All. 12'!G107</f>
        <v>161717.20656674236</v>
      </c>
      <c r="J109" s="659">
        <f>+'All. 12'!H107</f>
        <v>28648.526444414849</v>
      </c>
      <c r="K109" s="347">
        <f t="shared" si="11"/>
        <v>190365.73301115719</v>
      </c>
      <c r="L109" s="630">
        <f>'Tab 0'!$B$48</f>
        <v>0.12</v>
      </c>
      <c r="M109" s="347">
        <f t="shared" si="12"/>
        <v>22843.887961338864</v>
      </c>
      <c r="N109" s="347"/>
      <c r="O109" s="347">
        <f t="shared" si="15"/>
        <v>2468.28665055786</v>
      </c>
      <c r="P109" s="632">
        <f t="shared" si="13"/>
        <v>0.13296602393463952</v>
      </c>
      <c r="Q109" s="631">
        <f t="shared" si="14"/>
        <v>25312.174611896724</v>
      </c>
    </row>
    <row r="110" spans="2:17" x14ac:dyDescent="0.15">
      <c r="B110" s="160" t="s">
        <v>877</v>
      </c>
      <c r="C110" s="658">
        <f>+'All. 12'!C108</f>
        <v>100000</v>
      </c>
      <c r="D110" s="658">
        <f>+'All. 12'!D108</f>
        <v>41000</v>
      </c>
      <c r="E110" s="347">
        <f t="shared" si="9"/>
        <v>141000</v>
      </c>
      <c r="F110" s="630">
        <f>'Tab 0'!$B$48</f>
        <v>0.12</v>
      </c>
      <c r="G110" s="631">
        <f t="shared" si="10"/>
        <v>16920</v>
      </c>
      <c r="I110" s="660">
        <f>+'All. 12'!G108</f>
        <v>161717.20656674236</v>
      </c>
      <c r="J110" s="659">
        <f>+'All. 12'!H108</f>
        <v>28648.526444414849</v>
      </c>
      <c r="K110" s="347">
        <f t="shared" si="11"/>
        <v>190365.73301115719</v>
      </c>
      <c r="L110" s="630">
        <f>'Tab 0'!$B$48</f>
        <v>0.12</v>
      </c>
      <c r="M110" s="347">
        <f t="shared" si="12"/>
        <v>22843.887961338864</v>
      </c>
      <c r="N110" s="347"/>
      <c r="O110" s="347">
        <f t="shared" si="15"/>
        <v>2468.28665055786</v>
      </c>
      <c r="P110" s="632">
        <f t="shared" si="13"/>
        <v>0.13296602393463952</v>
      </c>
      <c r="Q110" s="631">
        <f t="shared" si="14"/>
        <v>25312.174611896724</v>
      </c>
    </row>
    <row r="111" spans="2:17" x14ac:dyDescent="0.15">
      <c r="B111" s="160" t="s">
        <v>878</v>
      </c>
      <c r="C111" s="658">
        <f>+'All. 12'!C109</f>
        <v>100000</v>
      </c>
      <c r="D111" s="658">
        <f>+'All. 12'!D109</f>
        <v>41000</v>
      </c>
      <c r="E111" s="347">
        <f t="shared" si="9"/>
        <v>141000</v>
      </c>
      <c r="F111" s="630">
        <f>'Tab 0'!$B$48</f>
        <v>0.12</v>
      </c>
      <c r="G111" s="631">
        <f t="shared" si="10"/>
        <v>16920</v>
      </c>
      <c r="I111" s="660">
        <f>+'All. 12'!G109</f>
        <v>161717.20656674236</v>
      </c>
      <c r="J111" s="659">
        <f>+'All. 12'!H109</f>
        <v>28648.526444414849</v>
      </c>
      <c r="K111" s="347">
        <f t="shared" si="11"/>
        <v>190365.73301115719</v>
      </c>
      <c r="L111" s="630">
        <f>'Tab 0'!$B$48</f>
        <v>0.12</v>
      </c>
      <c r="M111" s="347">
        <f t="shared" si="12"/>
        <v>22843.887961338864</v>
      </c>
      <c r="N111" s="347"/>
      <c r="O111" s="347">
        <f t="shared" si="15"/>
        <v>2468.28665055786</v>
      </c>
      <c r="P111" s="632">
        <f t="shared" si="13"/>
        <v>0.13296602393463952</v>
      </c>
      <c r="Q111" s="631">
        <f t="shared" si="14"/>
        <v>25312.174611896724</v>
      </c>
    </row>
    <row r="112" spans="2:17" x14ac:dyDescent="0.15">
      <c r="B112" s="160" t="s">
        <v>879</v>
      </c>
      <c r="C112" s="658">
        <f>+'All. 12'!C110</f>
        <v>50000</v>
      </c>
      <c r="D112" s="658">
        <f>+'All. 12'!D110</f>
        <v>20500</v>
      </c>
      <c r="E112" s="347">
        <f t="shared" si="9"/>
        <v>70500</v>
      </c>
      <c r="F112" s="630">
        <f>'Tab 0'!$B$48</f>
        <v>0.12</v>
      </c>
      <c r="G112" s="631">
        <f t="shared" si="10"/>
        <v>8460</v>
      </c>
      <c r="I112" s="660">
        <f>+'All. 12'!G110</f>
        <v>80858.60328337118</v>
      </c>
      <c r="J112" s="659">
        <f>+'All. 12'!H110</f>
        <v>14324.263222207424</v>
      </c>
      <c r="K112" s="347">
        <f t="shared" si="11"/>
        <v>95182.866505578597</v>
      </c>
      <c r="L112" s="630">
        <f>'Tab 0'!$B$48</f>
        <v>0.12</v>
      </c>
      <c r="M112" s="347">
        <f t="shared" si="12"/>
        <v>11421.943980669432</v>
      </c>
      <c r="N112" s="347"/>
      <c r="O112" s="347">
        <f t="shared" si="15"/>
        <v>1234.14332527893</v>
      </c>
      <c r="P112" s="632">
        <f t="shared" si="13"/>
        <v>0.13296602393463952</v>
      </c>
      <c r="Q112" s="631">
        <f t="shared" si="14"/>
        <v>12656.087305948362</v>
      </c>
    </row>
    <row r="113" spans="2:17" x14ac:dyDescent="0.15">
      <c r="B113" s="160" t="s">
        <v>880</v>
      </c>
      <c r="C113" s="658">
        <f>+'All. 12'!C111</f>
        <v>50000</v>
      </c>
      <c r="D113" s="658">
        <f>+'All. 12'!D111</f>
        <v>20500</v>
      </c>
      <c r="E113" s="347">
        <f t="shared" si="9"/>
        <v>70500</v>
      </c>
      <c r="F113" s="630">
        <f>'Tab 0'!$B$48</f>
        <v>0.12</v>
      </c>
      <c r="G113" s="631">
        <f t="shared" si="10"/>
        <v>8460</v>
      </c>
      <c r="I113" s="660">
        <f>+'All. 12'!G111</f>
        <v>80858.60328337118</v>
      </c>
      <c r="J113" s="659">
        <f>+'All. 12'!H111</f>
        <v>14324.263222207424</v>
      </c>
      <c r="K113" s="347">
        <f t="shared" si="11"/>
        <v>95182.866505578597</v>
      </c>
      <c r="L113" s="630">
        <f>'Tab 0'!$B$48</f>
        <v>0.12</v>
      </c>
      <c r="M113" s="347">
        <f t="shared" si="12"/>
        <v>11421.943980669432</v>
      </c>
      <c r="N113" s="347"/>
      <c r="O113" s="347">
        <f t="shared" si="15"/>
        <v>1234.14332527893</v>
      </c>
      <c r="P113" s="632">
        <f t="shared" si="13"/>
        <v>0.13296602393463952</v>
      </c>
      <c r="Q113" s="631">
        <f t="shared" si="14"/>
        <v>12656.087305948362</v>
      </c>
    </row>
    <row r="114" spans="2:17" x14ac:dyDescent="0.15">
      <c r="B114" s="160" t="s">
        <v>881</v>
      </c>
      <c r="C114" s="658">
        <f>+'All. 12'!C112</f>
        <v>50000</v>
      </c>
      <c r="D114" s="658">
        <f>+'All. 12'!D112</f>
        <v>20500</v>
      </c>
      <c r="E114" s="347">
        <f t="shared" si="9"/>
        <v>70500</v>
      </c>
      <c r="F114" s="630">
        <f>'Tab 0'!$B$48</f>
        <v>0.12</v>
      </c>
      <c r="G114" s="631">
        <f t="shared" si="10"/>
        <v>8460</v>
      </c>
      <c r="I114" s="660">
        <f>+'All. 12'!G112</f>
        <v>80858.60328337118</v>
      </c>
      <c r="J114" s="659">
        <f>+'All. 12'!H112</f>
        <v>14324.263222207424</v>
      </c>
      <c r="K114" s="347">
        <f t="shared" si="11"/>
        <v>95182.866505578597</v>
      </c>
      <c r="L114" s="630">
        <f>'Tab 0'!$B$48</f>
        <v>0.12</v>
      </c>
      <c r="M114" s="347">
        <f t="shared" si="12"/>
        <v>11421.943980669432</v>
      </c>
      <c r="N114" s="347"/>
      <c r="O114" s="347">
        <f t="shared" si="15"/>
        <v>1234.14332527893</v>
      </c>
      <c r="P114" s="632">
        <f t="shared" si="13"/>
        <v>0.13296602393463952</v>
      </c>
      <c r="Q114" s="631">
        <f t="shared" si="14"/>
        <v>12656.087305948362</v>
      </c>
    </row>
    <row r="115" spans="2:17" x14ac:dyDescent="0.15">
      <c r="B115" s="160" t="s">
        <v>882</v>
      </c>
      <c r="C115" s="658">
        <f>+'All. 12'!C113</f>
        <v>50000</v>
      </c>
      <c r="D115" s="658">
        <f>+'All. 12'!D113</f>
        <v>20500</v>
      </c>
      <c r="E115" s="347">
        <f t="shared" si="9"/>
        <v>70500</v>
      </c>
      <c r="F115" s="630">
        <f>'Tab 0'!$B$48</f>
        <v>0.12</v>
      </c>
      <c r="G115" s="631">
        <f t="shared" si="10"/>
        <v>8460</v>
      </c>
      <c r="I115" s="660">
        <f>+'All. 12'!G113</f>
        <v>80858.60328337118</v>
      </c>
      <c r="J115" s="659">
        <f>+'All. 12'!H113</f>
        <v>14324.263222207424</v>
      </c>
      <c r="K115" s="347">
        <f t="shared" si="11"/>
        <v>95182.866505578597</v>
      </c>
      <c r="L115" s="630">
        <f>'Tab 0'!$B$48</f>
        <v>0.12</v>
      </c>
      <c r="M115" s="347">
        <f t="shared" si="12"/>
        <v>11421.943980669432</v>
      </c>
      <c r="N115" s="347"/>
      <c r="O115" s="347">
        <f t="shared" si="15"/>
        <v>1234.14332527893</v>
      </c>
      <c r="P115" s="632">
        <f t="shared" si="13"/>
        <v>0.13296602393463952</v>
      </c>
      <c r="Q115" s="631">
        <f t="shared" si="14"/>
        <v>12656.087305948362</v>
      </c>
    </row>
    <row r="116" spans="2:17" x14ac:dyDescent="0.15">
      <c r="B116" s="160" t="s">
        <v>883</v>
      </c>
      <c r="C116" s="658">
        <f>+'All. 12'!C114</f>
        <v>50000</v>
      </c>
      <c r="D116" s="658">
        <f>+'All. 12'!D114</f>
        <v>20500</v>
      </c>
      <c r="E116" s="347">
        <f t="shared" si="9"/>
        <v>70500</v>
      </c>
      <c r="F116" s="630">
        <f>'Tab 0'!$B$48</f>
        <v>0.12</v>
      </c>
      <c r="G116" s="631">
        <f t="shared" si="10"/>
        <v>8460</v>
      </c>
      <c r="I116" s="660">
        <f>+'All. 12'!G114</f>
        <v>80858.60328337118</v>
      </c>
      <c r="J116" s="659">
        <f>+'All. 12'!H114</f>
        <v>14324.263222207424</v>
      </c>
      <c r="K116" s="347">
        <f t="shared" si="11"/>
        <v>95182.866505578597</v>
      </c>
      <c r="L116" s="630">
        <f>'Tab 0'!$B$48</f>
        <v>0.12</v>
      </c>
      <c r="M116" s="347">
        <f t="shared" si="12"/>
        <v>11421.943980669432</v>
      </c>
      <c r="N116" s="347"/>
      <c r="O116" s="347">
        <f t="shared" si="15"/>
        <v>1234.14332527893</v>
      </c>
      <c r="P116" s="632">
        <f t="shared" si="13"/>
        <v>0.13296602393463952</v>
      </c>
      <c r="Q116" s="631">
        <f t="shared" si="14"/>
        <v>12656.087305948362</v>
      </c>
    </row>
    <row r="117" spans="2:17" x14ac:dyDescent="0.15">
      <c r="B117" s="160" t="s">
        <v>884</v>
      </c>
      <c r="C117" s="658">
        <f>+'All. 12'!C115</f>
        <v>50000</v>
      </c>
      <c r="D117" s="658">
        <f>+'All. 12'!D115</f>
        <v>20500</v>
      </c>
      <c r="E117" s="347">
        <f t="shared" si="9"/>
        <v>70500</v>
      </c>
      <c r="F117" s="630">
        <f>'Tab 0'!$B$48</f>
        <v>0.12</v>
      </c>
      <c r="G117" s="631">
        <f t="shared" si="10"/>
        <v>8460</v>
      </c>
      <c r="I117" s="660">
        <f>+'All. 12'!G115</f>
        <v>80858.60328337118</v>
      </c>
      <c r="J117" s="659">
        <f>+'All. 12'!H115</f>
        <v>14324.263222207424</v>
      </c>
      <c r="K117" s="347">
        <f t="shared" si="11"/>
        <v>95182.866505578597</v>
      </c>
      <c r="L117" s="630">
        <f>'Tab 0'!$B$48</f>
        <v>0.12</v>
      </c>
      <c r="M117" s="347">
        <f t="shared" si="12"/>
        <v>11421.943980669432</v>
      </c>
      <c r="N117" s="347"/>
      <c r="O117" s="347">
        <f t="shared" si="15"/>
        <v>1234.14332527893</v>
      </c>
      <c r="P117" s="632">
        <f t="shared" si="13"/>
        <v>0.13296602393463952</v>
      </c>
      <c r="Q117" s="631">
        <f t="shared" si="14"/>
        <v>12656.087305948362</v>
      </c>
    </row>
    <row r="118" spans="2:17" x14ac:dyDescent="0.15">
      <c r="B118" s="160" t="s">
        <v>885</v>
      </c>
      <c r="C118" s="658">
        <f>+'All. 12'!C116</f>
        <v>50000</v>
      </c>
      <c r="D118" s="658">
        <f>+'All. 12'!D116</f>
        <v>20500</v>
      </c>
      <c r="E118" s="347">
        <f t="shared" si="9"/>
        <v>70500</v>
      </c>
      <c r="F118" s="630">
        <f>'Tab 0'!$B$48</f>
        <v>0.12</v>
      </c>
      <c r="G118" s="631">
        <f t="shared" si="10"/>
        <v>8460</v>
      </c>
      <c r="I118" s="660">
        <f>+'All. 12'!G116</f>
        <v>80858.60328337118</v>
      </c>
      <c r="J118" s="659">
        <f>+'All. 12'!H116</f>
        <v>14324.263222207424</v>
      </c>
      <c r="K118" s="347">
        <f t="shared" si="11"/>
        <v>95182.866505578597</v>
      </c>
      <c r="L118" s="630">
        <f>'Tab 0'!$B$48</f>
        <v>0.12</v>
      </c>
      <c r="M118" s="347">
        <f t="shared" si="12"/>
        <v>11421.943980669432</v>
      </c>
      <c r="N118" s="347"/>
      <c r="O118" s="347">
        <f t="shared" si="15"/>
        <v>1234.14332527893</v>
      </c>
      <c r="P118" s="632">
        <f t="shared" si="13"/>
        <v>0.13296602393463952</v>
      </c>
      <c r="Q118" s="631">
        <f t="shared" si="14"/>
        <v>12656.087305948362</v>
      </c>
    </row>
    <row r="119" spans="2:17" x14ac:dyDescent="0.15">
      <c r="B119" s="160" t="s">
        <v>886</v>
      </c>
      <c r="C119" s="658">
        <f>+'All. 12'!C117</f>
        <v>50000</v>
      </c>
      <c r="D119" s="658">
        <f>+'All. 12'!D117</f>
        <v>20500</v>
      </c>
      <c r="E119" s="347">
        <f t="shared" si="9"/>
        <v>70500</v>
      </c>
      <c r="F119" s="630">
        <f>'Tab 0'!$B$48</f>
        <v>0.12</v>
      </c>
      <c r="G119" s="631">
        <f t="shared" si="10"/>
        <v>8460</v>
      </c>
      <c r="I119" s="660">
        <f>+'All. 12'!G117</f>
        <v>80858.60328337118</v>
      </c>
      <c r="J119" s="659">
        <f>+'All. 12'!H117</f>
        <v>14324.263222207424</v>
      </c>
      <c r="K119" s="347">
        <f t="shared" si="11"/>
        <v>95182.866505578597</v>
      </c>
      <c r="L119" s="630">
        <f>'Tab 0'!$B$48</f>
        <v>0.12</v>
      </c>
      <c r="M119" s="347">
        <f t="shared" si="12"/>
        <v>11421.943980669432</v>
      </c>
      <c r="N119" s="347"/>
      <c r="O119" s="347">
        <f t="shared" si="15"/>
        <v>1234.14332527893</v>
      </c>
      <c r="P119" s="632">
        <f t="shared" si="13"/>
        <v>0.13296602393463952</v>
      </c>
      <c r="Q119" s="631">
        <f t="shared" si="14"/>
        <v>12656.087305948362</v>
      </c>
    </row>
    <row r="120" spans="2:17" x14ac:dyDescent="0.15">
      <c r="B120" s="160" t="s">
        <v>887</v>
      </c>
      <c r="C120" s="658">
        <f>+'All. 12'!C118</f>
        <v>50000</v>
      </c>
      <c r="D120" s="658">
        <f>+'All. 12'!D118</f>
        <v>20500</v>
      </c>
      <c r="E120" s="347">
        <f t="shared" si="9"/>
        <v>70500</v>
      </c>
      <c r="F120" s="630">
        <f>'Tab 0'!$B$48</f>
        <v>0.12</v>
      </c>
      <c r="G120" s="631">
        <f t="shared" si="10"/>
        <v>8460</v>
      </c>
      <c r="I120" s="660">
        <f>+'All. 12'!G118</f>
        <v>80858.60328337118</v>
      </c>
      <c r="J120" s="659">
        <f>+'All. 12'!H118</f>
        <v>14324.263222207424</v>
      </c>
      <c r="K120" s="347">
        <f t="shared" si="11"/>
        <v>95182.866505578597</v>
      </c>
      <c r="L120" s="630">
        <f>'Tab 0'!$B$48</f>
        <v>0.12</v>
      </c>
      <c r="M120" s="347">
        <f t="shared" si="12"/>
        <v>11421.943980669432</v>
      </c>
      <c r="N120" s="347"/>
      <c r="O120" s="347">
        <f t="shared" si="15"/>
        <v>1234.14332527893</v>
      </c>
      <c r="P120" s="632">
        <f t="shared" si="13"/>
        <v>0.13296602393463952</v>
      </c>
      <c r="Q120" s="631">
        <f t="shared" si="14"/>
        <v>12656.087305948362</v>
      </c>
    </row>
    <row r="121" spans="2:17" x14ac:dyDescent="0.15">
      <c r="B121" s="160" t="s">
        <v>888</v>
      </c>
      <c r="C121" s="658">
        <f>+'All. 12'!C119</f>
        <v>50000</v>
      </c>
      <c r="D121" s="658">
        <f>+'All. 12'!D119</f>
        <v>20500</v>
      </c>
      <c r="E121" s="347">
        <f t="shared" si="9"/>
        <v>70500</v>
      </c>
      <c r="F121" s="630">
        <f>'Tab 0'!$B$48</f>
        <v>0.12</v>
      </c>
      <c r="G121" s="631">
        <f t="shared" si="10"/>
        <v>8460</v>
      </c>
      <c r="I121" s="660">
        <f>+'All. 12'!G119</f>
        <v>80858.60328337118</v>
      </c>
      <c r="J121" s="659">
        <f>+'All. 12'!H119</f>
        <v>14324.263222207424</v>
      </c>
      <c r="K121" s="347">
        <f t="shared" si="11"/>
        <v>95182.866505578597</v>
      </c>
      <c r="L121" s="630">
        <f>'Tab 0'!$B$48</f>
        <v>0.12</v>
      </c>
      <c r="M121" s="347">
        <f t="shared" si="12"/>
        <v>11421.943980669432</v>
      </c>
      <c r="N121" s="347"/>
      <c r="O121" s="347">
        <f t="shared" si="15"/>
        <v>1234.14332527893</v>
      </c>
      <c r="P121" s="632">
        <f t="shared" si="13"/>
        <v>0.13296602393463952</v>
      </c>
      <c r="Q121" s="631">
        <f t="shared" si="14"/>
        <v>12656.087305948362</v>
      </c>
    </row>
    <row r="122" spans="2:17" x14ac:dyDescent="0.15">
      <c r="B122" s="160" t="s">
        <v>889</v>
      </c>
      <c r="C122" s="658">
        <f>+'All. 12'!C120</f>
        <v>50000</v>
      </c>
      <c r="D122" s="658">
        <f>+'All. 12'!D120</f>
        <v>20500</v>
      </c>
      <c r="E122" s="347">
        <f t="shared" si="9"/>
        <v>70500</v>
      </c>
      <c r="F122" s="630">
        <f>'Tab 0'!$B$48</f>
        <v>0.12</v>
      </c>
      <c r="G122" s="631">
        <f t="shared" si="10"/>
        <v>8460</v>
      </c>
      <c r="I122" s="660">
        <f>+'All. 12'!G120</f>
        <v>80858.60328337118</v>
      </c>
      <c r="J122" s="659">
        <f>+'All. 12'!H120</f>
        <v>14324.263222207424</v>
      </c>
      <c r="K122" s="347">
        <f t="shared" si="11"/>
        <v>95182.866505578597</v>
      </c>
      <c r="L122" s="630">
        <f>'Tab 0'!$B$48</f>
        <v>0.12</v>
      </c>
      <c r="M122" s="347">
        <f t="shared" si="12"/>
        <v>11421.943980669432</v>
      </c>
      <c r="N122" s="347"/>
      <c r="O122" s="347">
        <f t="shared" si="15"/>
        <v>1234.14332527893</v>
      </c>
      <c r="P122" s="632">
        <f t="shared" si="13"/>
        <v>0.13296602393463952</v>
      </c>
      <c r="Q122" s="631">
        <f t="shared" si="14"/>
        <v>12656.087305948362</v>
      </c>
    </row>
    <row r="123" spans="2:17" x14ac:dyDescent="0.15">
      <c r="B123" s="160" t="s">
        <v>890</v>
      </c>
      <c r="C123" s="658">
        <f>+'All. 12'!C121</f>
        <v>50000</v>
      </c>
      <c r="D123" s="658">
        <f>+'All. 12'!D121</f>
        <v>20500</v>
      </c>
      <c r="E123" s="347">
        <f t="shared" si="9"/>
        <v>70500</v>
      </c>
      <c r="F123" s="630">
        <f>'Tab 0'!$B$48</f>
        <v>0.12</v>
      </c>
      <c r="G123" s="631">
        <f t="shared" si="10"/>
        <v>8460</v>
      </c>
      <c r="I123" s="660">
        <f>+'All. 12'!G121</f>
        <v>80858.60328337118</v>
      </c>
      <c r="J123" s="659">
        <f>+'All. 12'!H121</f>
        <v>14324.263222207424</v>
      </c>
      <c r="K123" s="347">
        <f t="shared" si="11"/>
        <v>95182.866505578597</v>
      </c>
      <c r="L123" s="630">
        <f>'Tab 0'!$B$48</f>
        <v>0.12</v>
      </c>
      <c r="M123" s="347">
        <f t="shared" si="12"/>
        <v>11421.943980669432</v>
      </c>
      <c r="N123" s="347"/>
      <c r="O123" s="347">
        <f t="shared" si="15"/>
        <v>1234.14332527893</v>
      </c>
      <c r="P123" s="632">
        <f t="shared" si="13"/>
        <v>0.13296602393463952</v>
      </c>
      <c r="Q123" s="631">
        <f t="shared" si="14"/>
        <v>12656.087305948362</v>
      </c>
    </row>
    <row r="124" spans="2:17" x14ac:dyDescent="0.15">
      <c r="B124" s="634" t="s">
        <v>898</v>
      </c>
      <c r="C124" s="635">
        <f>SUM(C9:C123)</f>
        <v>27293820</v>
      </c>
      <c r="D124" s="635">
        <f t="shared" ref="D124:E124" si="16">SUM(D9:D123)</f>
        <v>11148180</v>
      </c>
      <c r="E124" s="635">
        <f t="shared" si="16"/>
        <v>38442000</v>
      </c>
      <c r="F124" s="636">
        <f>IFERROR(+G124/E124,0)</f>
        <v>0.12</v>
      </c>
      <c r="G124" s="637">
        <f t="shared" ref="G124" si="17">SUM(G9:G123)</f>
        <v>4613040</v>
      </c>
      <c r="I124" s="653">
        <f>SUM(I9:I123)</f>
        <v>44138803.269354858</v>
      </c>
      <c r="J124" s="635">
        <f t="shared" ref="J124" si="18">SUM(J9:J123)</f>
        <v>7789729.9887096612</v>
      </c>
      <c r="K124" s="635">
        <f t="shared" ref="K124" si="19">SUM(K9:K123)</f>
        <v>51928533.258064449</v>
      </c>
      <c r="L124" s="636">
        <f>IFERROR(+M124/K124,0)</f>
        <v>0.12000000000000025</v>
      </c>
      <c r="M124" s="635">
        <f t="shared" ref="M124:Q124" si="20">SUM(M9:M123)</f>
        <v>6231423.9909677468</v>
      </c>
      <c r="N124" s="635">
        <f t="shared" si="20"/>
        <v>0</v>
      </c>
      <c r="O124" s="635">
        <f t="shared" si="20"/>
        <v>674326.66290322645</v>
      </c>
      <c r="P124" s="638">
        <f t="shared" si="13"/>
        <v>0.13298566742781046</v>
      </c>
      <c r="Q124" s="637">
        <f t="shared" si="20"/>
        <v>6905750.6538709532</v>
      </c>
    </row>
    <row r="125" spans="2:17" x14ac:dyDescent="0.15">
      <c r="B125" s="160" t="s">
        <v>891</v>
      </c>
      <c r="C125" s="658">
        <f>+'All. 12'!C123</f>
        <v>0</v>
      </c>
      <c r="D125" s="658">
        <f>+'All. 12'!D123</f>
        <v>0</v>
      </c>
      <c r="E125" s="347">
        <f t="shared" si="9"/>
        <v>0</v>
      </c>
      <c r="F125" s="630">
        <v>0</v>
      </c>
      <c r="G125" s="631">
        <f t="shared" si="10"/>
        <v>0</v>
      </c>
      <c r="I125" s="660">
        <f>+'All. 12'!G123</f>
        <v>30000</v>
      </c>
      <c r="J125" s="659">
        <f>+'All. 12'!H123</f>
        <v>5000</v>
      </c>
      <c r="K125" s="347">
        <f t="shared" ref="K125:K131" si="21">SUM(I125:J125)</f>
        <v>35000</v>
      </c>
      <c r="L125" s="630">
        <v>0.12</v>
      </c>
      <c r="M125" s="347">
        <f t="shared" ref="M125:M131" si="22">+K125*L125</f>
        <v>4200</v>
      </c>
      <c r="N125" s="346">
        <f>IF(M125&lt;$C$5,($C$5-M125),M125)</f>
        <v>15800</v>
      </c>
      <c r="O125" s="347">
        <f t="shared" ref="O125:O131" si="23">IF(AND(E125&gt;0,K125&gt;E125),(K125-E125)*$C$4,0)</f>
        <v>0</v>
      </c>
      <c r="P125" s="632">
        <f t="shared" si="13"/>
        <v>0.5714285714285714</v>
      </c>
      <c r="Q125" s="631">
        <f t="shared" si="14"/>
        <v>20000</v>
      </c>
    </row>
    <row r="126" spans="2:17" x14ac:dyDescent="0.15">
      <c r="B126" s="160" t="s">
        <v>892</v>
      </c>
      <c r="C126" s="658">
        <f>+'All. 12'!C124</f>
        <v>0</v>
      </c>
      <c r="D126" s="658">
        <f>+'All. 12'!D124</f>
        <v>0</v>
      </c>
      <c r="E126" s="347">
        <f t="shared" si="9"/>
        <v>0</v>
      </c>
      <c r="F126" s="630">
        <v>0</v>
      </c>
      <c r="G126" s="631">
        <f t="shared" si="10"/>
        <v>0</v>
      </c>
      <c r="I126" s="660">
        <f>+'All. 12'!G124</f>
        <v>30000</v>
      </c>
      <c r="J126" s="659">
        <f>+'All. 12'!H124</f>
        <v>5000</v>
      </c>
      <c r="K126" s="347">
        <f t="shared" si="21"/>
        <v>35000</v>
      </c>
      <c r="L126" s="630">
        <v>0.12</v>
      </c>
      <c r="M126" s="347">
        <f t="shared" si="22"/>
        <v>4200</v>
      </c>
      <c r="N126" s="346">
        <f t="shared" ref="N126:N131" si="24">IF(M126&lt;$C$5,($C$5-M126),M126)</f>
        <v>15800</v>
      </c>
      <c r="O126" s="347">
        <f t="shared" si="23"/>
        <v>0</v>
      </c>
      <c r="P126" s="632">
        <f t="shared" si="13"/>
        <v>0.5714285714285714</v>
      </c>
      <c r="Q126" s="631">
        <f t="shared" si="14"/>
        <v>20000</v>
      </c>
    </row>
    <row r="127" spans="2:17" x14ac:dyDescent="0.15">
      <c r="B127" s="160" t="s">
        <v>893</v>
      </c>
      <c r="C127" s="658">
        <f>+'All. 12'!C125</f>
        <v>0</v>
      </c>
      <c r="D127" s="658">
        <f>+'All. 12'!D125</f>
        <v>0</v>
      </c>
      <c r="E127" s="347">
        <f t="shared" si="9"/>
        <v>0</v>
      </c>
      <c r="F127" s="630">
        <v>0</v>
      </c>
      <c r="G127" s="631">
        <f t="shared" si="10"/>
        <v>0</v>
      </c>
      <c r="I127" s="660">
        <f>+'All. 12'!G125</f>
        <v>30000</v>
      </c>
      <c r="J127" s="659">
        <f>+'All. 12'!H125</f>
        <v>5000</v>
      </c>
      <c r="K127" s="347">
        <f t="shared" si="21"/>
        <v>35000</v>
      </c>
      <c r="L127" s="630">
        <v>0.12</v>
      </c>
      <c r="M127" s="347">
        <f t="shared" si="22"/>
        <v>4200</v>
      </c>
      <c r="N127" s="346">
        <f t="shared" si="24"/>
        <v>15800</v>
      </c>
      <c r="O127" s="347">
        <f t="shared" si="23"/>
        <v>0</v>
      </c>
      <c r="P127" s="632">
        <f t="shared" si="13"/>
        <v>0.5714285714285714</v>
      </c>
      <c r="Q127" s="631">
        <f t="shared" si="14"/>
        <v>20000</v>
      </c>
    </row>
    <row r="128" spans="2:17" x14ac:dyDescent="0.15">
      <c r="B128" s="160" t="s">
        <v>894</v>
      </c>
      <c r="C128" s="658">
        <f>+'All. 12'!C126</f>
        <v>0</v>
      </c>
      <c r="D128" s="658">
        <f>+'All. 12'!D126</f>
        <v>0</v>
      </c>
      <c r="E128" s="347">
        <f t="shared" si="9"/>
        <v>0</v>
      </c>
      <c r="F128" s="630">
        <v>0</v>
      </c>
      <c r="G128" s="631">
        <f t="shared" si="10"/>
        <v>0</v>
      </c>
      <c r="I128" s="660">
        <f>+'All. 12'!G126</f>
        <v>30000</v>
      </c>
      <c r="J128" s="659">
        <f>+'All. 12'!H126</f>
        <v>5000</v>
      </c>
      <c r="K128" s="347">
        <f t="shared" si="21"/>
        <v>35000</v>
      </c>
      <c r="L128" s="630">
        <v>0.12</v>
      </c>
      <c r="M128" s="347">
        <f t="shared" si="22"/>
        <v>4200</v>
      </c>
      <c r="N128" s="346">
        <f t="shared" si="24"/>
        <v>15800</v>
      </c>
      <c r="O128" s="347">
        <f t="shared" si="23"/>
        <v>0</v>
      </c>
      <c r="P128" s="632">
        <f t="shared" si="13"/>
        <v>0.5714285714285714</v>
      </c>
      <c r="Q128" s="631">
        <f t="shared" si="14"/>
        <v>20000</v>
      </c>
    </row>
    <row r="129" spans="2:17" x14ac:dyDescent="0.15">
      <c r="B129" s="160" t="s">
        <v>895</v>
      </c>
      <c r="C129" s="658">
        <f>+'All. 12'!C127</f>
        <v>0</v>
      </c>
      <c r="D129" s="658">
        <f>+'All. 12'!D127</f>
        <v>0</v>
      </c>
      <c r="E129" s="347">
        <f t="shared" si="9"/>
        <v>0</v>
      </c>
      <c r="F129" s="630">
        <v>0</v>
      </c>
      <c r="G129" s="631">
        <f t="shared" si="10"/>
        <v>0</v>
      </c>
      <c r="I129" s="660">
        <f>+'All. 12'!G127</f>
        <v>30000</v>
      </c>
      <c r="J129" s="659">
        <f>+'All. 12'!H127</f>
        <v>5000</v>
      </c>
      <c r="K129" s="347">
        <f t="shared" si="21"/>
        <v>35000</v>
      </c>
      <c r="L129" s="630">
        <v>0.12</v>
      </c>
      <c r="M129" s="347">
        <f t="shared" si="22"/>
        <v>4200</v>
      </c>
      <c r="N129" s="346">
        <f t="shared" si="24"/>
        <v>15800</v>
      </c>
      <c r="O129" s="347">
        <f t="shared" si="23"/>
        <v>0</v>
      </c>
      <c r="P129" s="632">
        <f t="shared" si="13"/>
        <v>0.5714285714285714</v>
      </c>
      <c r="Q129" s="631">
        <f t="shared" si="14"/>
        <v>20000</v>
      </c>
    </row>
    <row r="130" spans="2:17" x14ac:dyDescent="0.15">
      <c r="B130" s="160" t="s">
        <v>896</v>
      </c>
      <c r="C130" s="658">
        <f>+'All. 12'!C128</f>
        <v>0</v>
      </c>
      <c r="D130" s="658">
        <f>+'All. 12'!D128</f>
        <v>0</v>
      </c>
      <c r="E130" s="347">
        <f t="shared" si="9"/>
        <v>0</v>
      </c>
      <c r="F130" s="630">
        <v>0</v>
      </c>
      <c r="G130" s="631">
        <f t="shared" si="10"/>
        <v>0</v>
      </c>
      <c r="I130" s="660">
        <f>+'All. 12'!G128</f>
        <v>20000</v>
      </c>
      <c r="J130" s="659">
        <f>+'All. 12'!H128</f>
        <v>4000</v>
      </c>
      <c r="K130" s="347">
        <f t="shared" si="21"/>
        <v>24000</v>
      </c>
      <c r="L130" s="630">
        <v>0.12</v>
      </c>
      <c r="M130" s="347">
        <f t="shared" si="22"/>
        <v>2880</v>
      </c>
      <c r="N130" s="346">
        <f t="shared" si="24"/>
        <v>17120</v>
      </c>
      <c r="O130" s="347">
        <f t="shared" si="23"/>
        <v>0</v>
      </c>
      <c r="P130" s="632">
        <f t="shared" si="13"/>
        <v>0.83333333333333337</v>
      </c>
      <c r="Q130" s="631">
        <f t="shared" si="14"/>
        <v>20000</v>
      </c>
    </row>
    <row r="131" spans="2:17" x14ac:dyDescent="0.15">
      <c r="B131" s="160" t="s">
        <v>897</v>
      </c>
      <c r="C131" s="658">
        <f>+'All. 12'!C129</f>
        <v>0</v>
      </c>
      <c r="D131" s="658">
        <f>+'All. 12'!D129</f>
        <v>0</v>
      </c>
      <c r="E131" s="347">
        <f t="shared" si="9"/>
        <v>0</v>
      </c>
      <c r="F131" s="630">
        <v>0</v>
      </c>
      <c r="G131" s="631">
        <f t="shared" si="10"/>
        <v>0</v>
      </c>
      <c r="I131" s="660">
        <f>+'All. 12'!G129</f>
        <v>20000</v>
      </c>
      <c r="J131" s="659">
        <f>+'All. 12'!H129</f>
        <v>4000</v>
      </c>
      <c r="K131" s="347">
        <f t="shared" si="21"/>
        <v>24000</v>
      </c>
      <c r="L131" s="630">
        <v>0.12</v>
      </c>
      <c r="M131" s="347">
        <f t="shared" si="22"/>
        <v>2880</v>
      </c>
      <c r="N131" s="346">
        <f t="shared" si="24"/>
        <v>17120</v>
      </c>
      <c r="O131" s="347">
        <f t="shared" si="23"/>
        <v>0</v>
      </c>
      <c r="P131" s="632">
        <f t="shared" si="13"/>
        <v>0.83333333333333337</v>
      </c>
      <c r="Q131" s="631">
        <f t="shared" si="14"/>
        <v>20000</v>
      </c>
    </row>
    <row r="132" spans="2:17" x14ac:dyDescent="0.15">
      <c r="B132" s="634" t="s">
        <v>899</v>
      </c>
      <c r="C132" s="635">
        <f>SUM(C125:C131)</f>
        <v>0</v>
      </c>
      <c r="D132" s="635">
        <f t="shared" ref="D132:E132" si="25">SUM(D125:D131)</f>
        <v>0</v>
      </c>
      <c r="E132" s="635">
        <f t="shared" si="25"/>
        <v>0</v>
      </c>
      <c r="F132" s="636">
        <f>IFERROR(+G132/E132,0)</f>
        <v>0</v>
      </c>
      <c r="G132" s="637">
        <f t="shared" ref="G132" si="26">SUM(G125:G131)</f>
        <v>0</v>
      </c>
      <c r="I132" s="653">
        <f>SUM(I125:I131)</f>
        <v>190000</v>
      </c>
      <c r="J132" s="635">
        <f t="shared" ref="J132" si="27">SUM(J125:J131)</f>
        <v>33000</v>
      </c>
      <c r="K132" s="635">
        <f t="shared" ref="K132" si="28">SUM(K125:K131)</f>
        <v>223000</v>
      </c>
      <c r="L132" s="636">
        <f>IFERROR(+M132/K132,0)</f>
        <v>0.12</v>
      </c>
      <c r="M132" s="635">
        <f t="shared" ref="M132:Q132" si="29">SUM(M125:M131)</f>
        <v>26760</v>
      </c>
      <c r="N132" s="635">
        <f t="shared" ref="N132" si="30">SUM(N125:N131)</f>
        <v>113240</v>
      </c>
      <c r="O132" s="635">
        <f t="shared" ref="O132" si="31">SUM(O125:O131)</f>
        <v>0</v>
      </c>
      <c r="P132" s="638">
        <f t="shared" si="13"/>
        <v>0.62780269058295968</v>
      </c>
      <c r="Q132" s="637">
        <f t="shared" si="29"/>
        <v>140000</v>
      </c>
    </row>
    <row r="133" spans="2:17" x14ac:dyDescent="0.15">
      <c r="B133" s="640" t="s">
        <v>906</v>
      </c>
      <c r="C133" s="641">
        <f>+C124+C132</f>
        <v>27293820</v>
      </c>
      <c r="D133" s="641">
        <f t="shared" ref="D133:E133" si="32">+D124+D132</f>
        <v>11148180</v>
      </c>
      <c r="E133" s="641">
        <f t="shared" si="32"/>
        <v>38442000</v>
      </c>
      <c r="F133" s="642">
        <f>+G133/E133</f>
        <v>0.12</v>
      </c>
      <c r="G133" s="643">
        <f t="shared" ref="G133" si="33">+G124+G132</f>
        <v>4613040</v>
      </c>
      <c r="I133" s="655">
        <f>+I124+I132</f>
        <v>44328803.269354858</v>
      </c>
      <c r="J133" s="641">
        <f t="shared" ref="J133" si="34">+J124+J132</f>
        <v>7822729.9887096612</v>
      </c>
      <c r="K133" s="641">
        <f t="shared" ref="K133" si="35">+K124+K132</f>
        <v>52151533.258064449</v>
      </c>
      <c r="L133" s="642">
        <f>+M133/K133</f>
        <v>0.12000000000000025</v>
      </c>
      <c r="M133" s="641">
        <f t="shared" ref="M133:Q133" si="36">+M124+M132</f>
        <v>6258183.9909677468</v>
      </c>
      <c r="N133" s="641">
        <f t="shared" ref="N133" si="37">+N124+N132</f>
        <v>113240</v>
      </c>
      <c r="O133" s="641">
        <f t="shared" ref="O133" si="38">+O124+O132</f>
        <v>674326.66290322645</v>
      </c>
      <c r="P133" s="644">
        <f t="shared" si="13"/>
        <v>0.13510150543429006</v>
      </c>
      <c r="Q133" s="643">
        <f t="shared" si="36"/>
        <v>7045750.6538709532</v>
      </c>
    </row>
    <row r="134" spans="2:17" x14ac:dyDescent="0.15">
      <c r="B134" s="160"/>
      <c r="C134" s="639"/>
      <c r="D134" s="639"/>
      <c r="E134" s="639"/>
      <c r="F134" s="104"/>
      <c r="G134" s="283"/>
      <c r="I134" s="656"/>
      <c r="J134" s="639"/>
      <c r="K134" s="639"/>
      <c r="L134" s="104"/>
      <c r="M134" s="639"/>
      <c r="N134" s="639"/>
      <c r="O134" s="639"/>
      <c r="P134" s="104"/>
      <c r="Q134" s="651"/>
    </row>
    <row r="135" spans="2:17" x14ac:dyDescent="0.15">
      <c r="B135" s="640" t="s">
        <v>900</v>
      </c>
      <c r="C135" s="641">
        <f>+'Tab 2'!H6</f>
        <v>79446800</v>
      </c>
      <c r="D135" s="641">
        <f>+'Tab 2'!H7</f>
        <v>0</v>
      </c>
      <c r="E135" s="641">
        <f>+C135+D135</f>
        <v>79446800</v>
      </c>
      <c r="F135" s="642">
        <v>0</v>
      </c>
      <c r="G135" s="643">
        <f>E135*F135</f>
        <v>0</v>
      </c>
      <c r="I135" s="655">
        <f>+'Tab 2'!H14</f>
        <v>77857864</v>
      </c>
      <c r="J135" s="641">
        <f>+'Tab 2'!H15</f>
        <v>0</v>
      </c>
      <c r="K135" s="641">
        <f>+I135+J135</f>
        <v>77857864</v>
      </c>
      <c r="L135" s="642">
        <v>0</v>
      </c>
      <c r="M135" s="641">
        <f>K135*L135</f>
        <v>0</v>
      </c>
      <c r="N135" s="641">
        <v>0</v>
      </c>
      <c r="O135" s="641">
        <f>IF(AND(E135&gt;0,K135&gt;E135),(K135-E135)*$C$4,0)</f>
        <v>0</v>
      </c>
      <c r="P135" s="644">
        <f t="shared" si="13"/>
        <v>0</v>
      </c>
      <c r="Q135" s="643">
        <f>+M135+N135+O135</f>
        <v>0</v>
      </c>
    </row>
    <row r="136" spans="2:17" x14ac:dyDescent="0.15">
      <c r="B136" s="160"/>
      <c r="C136" s="639"/>
      <c r="D136" s="639"/>
      <c r="E136" s="639"/>
      <c r="F136" s="104"/>
      <c r="G136" s="283"/>
      <c r="I136" s="656"/>
      <c r="J136" s="639"/>
      <c r="K136" s="639"/>
      <c r="L136" s="104"/>
      <c r="M136" s="639"/>
      <c r="N136" s="639"/>
      <c r="O136" s="639"/>
      <c r="P136" s="104"/>
      <c r="Q136" s="651"/>
    </row>
    <row r="137" spans="2:17" x14ac:dyDescent="0.15">
      <c r="B137" s="160" t="s">
        <v>776</v>
      </c>
      <c r="C137" s="658">
        <f>+'All. 12'!C135</f>
        <v>100000</v>
      </c>
      <c r="D137" s="658">
        <f>+'All. 12'!D135</f>
        <v>1000000</v>
      </c>
      <c r="E137" s="347">
        <f t="shared" ref="E137:E148" si="39">SUM(C137:D137)</f>
        <v>1100000</v>
      </c>
      <c r="F137" s="630">
        <f>'Tab 0'!$D$48</f>
        <v>0.06</v>
      </c>
      <c r="G137" s="631">
        <f t="shared" ref="G137:G148" si="40">+E137*F137</f>
        <v>66000</v>
      </c>
      <c r="I137" s="660">
        <f>+'All. 12'!G135</f>
        <v>74787.992300088503</v>
      </c>
      <c r="J137" s="659">
        <f>+'All. 12'!H135</f>
        <v>1405356.7783862774</v>
      </c>
      <c r="K137" s="347">
        <f t="shared" ref="K137:K148" si="41">SUM(I137:J137)</f>
        <v>1480144.7706863659</v>
      </c>
      <c r="L137" s="630">
        <f>'Tab 0'!$D$48</f>
        <v>0.06</v>
      </c>
      <c r="M137" s="347">
        <f t="shared" ref="M137:M148" si="42">+K137*L137</f>
        <v>88808.686241181946</v>
      </c>
      <c r="N137" s="347"/>
      <c r="O137" s="347">
        <f t="shared" ref="O137:O148" si="43">IF(AND(E137&gt;0,K137&gt;E137),(K137-E137)*$C$4,0)</f>
        <v>19007.238534318294</v>
      </c>
      <c r="P137" s="632">
        <f t="shared" si="13"/>
        <v>7.2841472611834004E-2</v>
      </c>
      <c r="Q137" s="631">
        <f t="shared" ref="Q137:Q148" si="44">+M137+N137+O137</f>
        <v>107815.92477550024</v>
      </c>
    </row>
    <row r="138" spans="2:17" x14ac:dyDescent="0.15">
      <c r="B138" s="160" t="s">
        <v>777</v>
      </c>
      <c r="C138" s="658">
        <f>+'All. 12'!C136</f>
        <v>100000</v>
      </c>
      <c r="D138" s="658">
        <f>+'All. 12'!D136</f>
        <v>900000</v>
      </c>
      <c r="E138" s="347">
        <f t="shared" si="39"/>
        <v>1000000</v>
      </c>
      <c r="F138" s="630">
        <f>'Tab 0'!$D$48</f>
        <v>0.06</v>
      </c>
      <c r="G138" s="631">
        <f t="shared" si="40"/>
        <v>60000</v>
      </c>
      <c r="I138" s="660">
        <f>+'All. 12'!G136</f>
        <v>74787.992300088503</v>
      </c>
      <c r="J138" s="659">
        <f>+'All. 12'!H136</f>
        <v>1264821.1005476497</v>
      </c>
      <c r="K138" s="347">
        <f t="shared" si="41"/>
        <v>1339609.0928477382</v>
      </c>
      <c r="L138" s="630">
        <f>'Tab 0'!$D$48</f>
        <v>0.06</v>
      </c>
      <c r="M138" s="347">
        <f t="shared" si="42"/>
        <v>80376.545570864284</v>
      </c>
      <c r="N138" s="347"/>
      <c r="O138" s="347">
        <f t="shared" si="43"/>
        <v>16980.454642386911</v>
      </c>
      <c r="P138" s="632">
        <f t="shared" ref="P138:P149" si="45">IFERROR(Q138/K138,0)</f>
        <v>7.2675678847692715E-2</v>
      </c>
      <c r="Q138" s="631">
        <f t="shared" si="44"/>
        <v>97357.000213251187</v>
      </c>
    </row>
    <row r="139" spans="2:17" x14ac:dyDescent="0.15">
      <c r="B139" s="160" t="s">
        <v>778</v>
      </c>
      <c r="C139" s="658">
        <f>+'All. 12'!C137</f>
        <v>100000</v>
      </c>
      <c r="D139" s="658">
        <f>+'All. 12'!D137</f>
        <v>900000</v>
      </c>
      <c r="E139" s="347">
        <f t="shared" si="39"/>
        <v>1000000</v>
      </c>
      <c r="F139" s="630">
        <f>'Tab 0'!$D$48</f>
        <v>0.06</v>
      </c>
      <c r="G139" s="631">
        <f t="shared" si="40"/>
        <v>60000</v>
      </c>
      <c r="I139" s="660">
        <f>+'All. 12'!G137</f>
        <v>74787.992300088503</v>
      </c>
      <c r="J139" s="659">
        <f>+'All. 12'!H137</f>
        <v>1264821.1005476497</v>
      </c>
      <c r="K139" s="347">
        <f t="shared" si="41"/>
        <v>1339609.0928477382</v>
      </c>
      <c r="L139" s="630">
        <f>'Tab 0'!$D$48</f>
        <v>0.06</v>
      </c>
      <c r="M139" s="347">
        <f t="shared" si="42"/>
        <v>80376.545570864284</v>
      </c>
      <c r="N139" s="347"/>
      <c r="O139" s="347">
        <f t="shared" si="43"/>
        <v>16980.454642386911</v>
      </c>
      <c r="P139" s="632">
        <f t="shared" si="45"/>
        <v>7.2675678847692715E-2</v>
      </c>
      <c r="Q139" s="631">
        <f t="shared" si="44"/>
        <v>97357.000213251187</v>
      </c>
    </row>
    <row r="140" spans="2:17" x14ac:dyDescent="0.15">
      <c r="B140" s="160" t="s">
        <v>779</v>
      </c>
      <c r="C140" s="658">
        <f>+'All. 12'!C138</f>
        <v>100000</v>
      </c>
      <c r="D140" s="658">
        <f>+'All. 12'!D138</f>
        <v>800000</v>
      </c>
      <c r="E140" s="347">
        <f t="shared" si="39"/>
        <v>900000</v>
      </c>
      <c r="F140" s="630">
        <f>'Tab 0'!$D$48</f>
        <v>0.06</v>
      </c>
      <c r="G140" s="631">
        <f t="shared" si="40"/>
        <v>54000</v>
      </c>
      <c r="I140" s="660">
        <f>+'All. 12'!G138</f>
        <v>74787.992300088503</v>
      </c>
      <c r="J140" s="659">
        <f>+'All. 12'!H138</f>
        <v>1124285.422709022</v>
      </c>
      <c r="K140" s="347">
        <f t="shared" si="41"/>
        <v>1199073.4150091105</v>
      </c>
      <c r="L140" s="630">
        <f>'Tab 0'!$D$48</f>
        <v>0.06</v>
      </c>
      <c r="M140" s="347">
        <f t="shared" si="42"/>
        <v>71944.404900546622</v>
      </c>
      <c r="N140" s="347"/>
      <c r="O140" s="347">
        <f t="shared" si="43"/>
        <v>14953.670750455523</v>
      </c>
      <c r="P140" s="632">
        <f t="shared" si="45"/>
        <v>7.2471021843430586E-2</v>
      </c>
      <c r="Q140" s="631">
        <f t="shared" si="44"/>
        <v>86898.075651002146</v>
      </c>
    </row>
    <row r="141" spans="2:17" x14ac:dyDescent="0.15">
      <c r="B141" s="160" t="s">
        <v>780</v>
      </c>
      <c r="C141" s="658">
        <f>+'All. 12'!C139</f>
        <v>75000</v>
      </c>
      <c r="D141" s="658">
        <f>+'All. 12'!D139</f>
        <v>800000</v>
      </c>
      <c r="E141" s="347">
        <f t="shared" si="39"/>
        <v>875000</v>
      </c>
      <c r="F141" s="630">
        <f>'Tab 0'!$D$48</f>
        <v>0.06</v>
      </c>
      <c r="G141" s="631">
        <f t="shared" si="40"/>
        <v>52500</v>
      </c>
      <c r="I141" s="660">
        <f>+'All. 12'!G139</f>
        <v>56090.994225066373</v>
      </c>
      <c r="J141" s="659">
        <f>+'All. 12'!H139</f>
        <v>1124285.422709022</v>
      </c>
      <c r="K141" s="347">
        <f t="shared" si="41"/>
        <v>1180376.4169340883</v>
      </c>
      <c r="L141" s="630">
        <f>'Tab 0'!$D$48</f>
        <v>0.06</v>
      </c>
      <c r="M141" s="347">
        <f t="shared" si="42"/>
        <v>70822.585016045297</v>
      </c>
      <c r="N141" s="347"/>
      <c r="O141" s="347">
        <f t="shared" si="43"/>
        <v>15268.820846704417</v>
      </c>
      <c r="P141" s="632">
        <f t="shared" si="45"/>
        <v>7.2935552276081284E-2</v>
      </c>
      <c r="Q141" s="631">
        <f t="shared" si="44"/>
        <v>86091.405862749714</v>
      </c>
    </row>
    <row r="142" spans="2:17" x14ac:dyDescent="0.15">
      <c r="B142" s="160" t="s">
        <v>781</v>
      </c>
      <c r="C142" s="658">
        <f>+'All. 12'!C140</f>
        <v>75000</v>
      </c>
      <c r="D142" s="658">
        <f>+'All. 12'!D140</f>
        <v>800000</v>
      </c>
      <c r="E142" s="347">
        <f t="shared" si="39"/>
        <v>875000</v>
      </c>
      <c r="F142" s="630">
        <f>'Tab 0'!$D$48</f>
        <v>0.06</v>
      </c>
      <c r="G142" s="631">
        <f t="shared" si="40"/>
        <v>52500</v>
      </c>
      <c r="I142" s="660">
        <f>+'All. 12'!G140</f>
        <v>56090.994225066373</v>
      </c>
      <c r="J142" s="659">
        <f>+'All. 12'!H140</f>
        <v>1124285.422709022</v>
      </c>
      <c r="K142" s="347">
        <f t="shared" si="41"/>
        <v>1180376.4169340883</v>
      </c>
      <c r="L142" s="630">
        <f>'Tab 0'!$D$48</f>
        <v>0.06</v>
      </c>
      <c r="M142" s="347">
        <f t="shared" si="42"/>
        <v>70822.585016045297</v>
      </c>
      <c r="N142" s="347"/>
      <c r="O142" s="347">
        <f t="shared" si="43"/>
        <v>15268.820846704417</v>
      </c>
      <c r="P142" s="632">
        <f t="shared" si="45"/>
        <v>7.2935552276081284E-2</v>
      </c>
      <c r="Q142" s="631">
        <f t="shared" si="44"/>
        <v>86091.405862749714</v>
      </c>
    </row>
    <row r="143" spans="2:17" x14ac:dyDescent="0.15">
      <c r="B143" s="160" t="s">
        <v>782</v>
      </c>
      <c r="C143" s="658">
        <f>+'All. 12'!C141</f>
        <v>75000</v>
      </c>
      <c r="D143" s="658">
        <f>+'All. 12'!D141</f>
        <v>700000</v>
      </c>
      <c r="E143" s="347">
        <f t="shared" si="39"/>
        <v>775000</v>
      </c>
      <c r="F143" s="630">
        <f>'Tab 0'!$D$48</f>
        <v>0.06</v>
      </c>
      <c r="G143" s="631">
        <f t="shared" si="40"/>
        <v>46500</v>
      </c>
      <c r="I143" s="660">
        <f>+'All. 12'!G141</f>
        <v>56090.994225066373</v>
      </c>
      <c r="J143" s="659">
        <f>+'All. 12'!H141</f>
        <v>983749.74487039424</v>
      </c>
      <c r="K143" s="347">
        <f t="shared" si="41"/>
        <v>1039840.7390954606</v>
      </c>
      <c r="L143" s="630">
        <f>'Tab 0'!$D$48</f>
        <v>0.06</v>
      </c>
      <c r="M143" s="347">
        <f t="shared" si="42"/>
        <v>62390.444345727636</v>
      </c>
      <c r="N143" s="347"/>
      <c r="O143" s="347">
        <f t="shared" si="43"/>
        <v>13242.036954773032</v>
      </c>
      <c r="P143" s="632">
        <f t="shared" si="45"/>
        <v>7.2734677972217221E-2</v>
      </c>
      <c r="Q143" s="631">
        <f t="shared" si="44"/>
        <v>75632.481300500673</v>
      </c>
    </row>
    <row r="144" spans="2:17" x14ac:dyDescent="0.15">
      <c r="B144" s="160" t="s">
        <v>783</v>
      </c>
      <c r="C144" s="658">
        <f>+'All. 12'!C142</f>
        <v>50000</v>
      </c>
      <c r="D144" s="658">
        <f>+'All. 12'!D142</f>
        <v>700000</v>
      </c>
      <c r="E144" s="347">
        <f t="shared" si="39"/>
        <v>750000</v>
      </c>
      <c r="F144" s="630">
        <f>'Tab 0'!$D$48</f>
        <v>0.06</v>
      </c>
      <c r="G144" s="631">
        <f t="shared" si="40"/>
        <v>45000</v>
      </c>
      <c r="I144" s="660">
        <f>+'All. 12'!G142</f>
        <v>37393.996150044251</v>
      </c>
      <c r="J144" s="659">
        <f>+'All. 12'!H142</f>
        <v>983749.74487039424</v>
      </c>
      <c r="K144" s="347">
        <f t="shared" si="41"/>
        <v>1021143.7410204385</v>
      </c>
      <c r="L144" s="630">
        <f>'Tab 0'!$D$48</f>
        <v>0.06</v>
      </c>
      <c r="M144" s="347">
        <f t="shared" si="42"/>
        <v>61268.624461226311</v>
      </c>
      <c r="N144" s="347"/>
      <c r="O144" s="347">
        <f t="shared" si="43"/>
        <v>13557.187051021925</v>
      </c>
      <c r="P144" s="632">
        <f t="shared" si="45"/>
        <v>7.327647274954073E-2</v>
      </c>
      <c r="Q144" s="631">
        <f t="shared" si="44"/>
        <v>74825.811512248241</v>
      </c>
    </row>
    <row r="145" spans="2:17" x14ac:dyDescent="0.15">
      <c r="B145" s="160" t="s">
        <v>784</v>
      </c>
      <c r="C145" s="658">
        <f>+'All. 12'!C143</f>
        <v>50000</v>
      </c>
      <c r="D145" s="658">
        <f>+'All. 12'!D143</f>
        <v>700000</v>
      </c>
      <c r="E145" s="347">
        <f t="shared" si="39"/>
        <v>750000</v>
      </c>
      <c r="F145" s="630">
        <f>'Tab 0'!$D$48</f>
        <v>0.06</v>
      </c>
      <c r="G145" s="631">
        <f t="shared" si="40"/>
        <v>45000</v>
      </c>
      <c r="I145" s="660">
        <f>+'All. 12'!G143</f>
        <v>37393.996150044251</v>
      </c>
      <c r="J145" s="659">
        <f>+'All. 12'!H143</f>
        <v>983749.74487039424</v>
      </c>
      <c r="K145" s="347">
        <f t="shared" si="41"/>
        <v>1021143.7410204385</v>
      </c>
      <c r="L145" s="630">
        <f>'Tab 0'!$D$48</f>
        <v>0.06</v>
      </c>
      <c r="M145" s="347">
        <f t="shared" si="42"/>
        <v>61268.624461226311</v>
      </c>
      <c r="N145" s="347"/>
      <c r="O145" s="347">
        <f t="shared" si="43"/>
        <v>13557.187051021925</v>
      </c>
      <c r="P145" s="632">
        <f t="shared" si="45"/>
        <v>7.327647274954073E-2</v>
      </c>
      <c r="Q145" s="631">
        <f t="shared" si="44"/>
        <v>74825.811512248241</v>
      </c>
    </row>
    <row r="146" spans="2:17" x14ac:dyDescent="0.15">
      <c r="B146" s="160" t="s">
        <v>785</v>
      </c>
      <c r="C146" s="658">
        <f>+'All. 12'!C144</f>
        <v>97608</v>
      </c>
      <c r="D146" s="658">
        <f>+'All. 12'!D144</f>
        <v>700000</v>
      </c>
      <c r="E146" s="347">
        <f t="shared" si="39"/>
        <v>797608</v>
      </c>
      <c r="F146" s="630">
        <f>'Tab 0'!$D$48</f>
        <v>0.06</v>
      </c>
      <c r="G146" s="631">
        <f t="shared" si="40"/>
        <v>47856.479999999996</v>
      </c>
      <c r="I146" s="660">
        <f>+'All. 12'!G144</f>
        <v>72999.063524270387</v>
      </c>
      <c r="J146" s="659">
        <f>+'All. 12'!H144</f>
        <v>983749.74487039424</v>
      </c>
      <c r="K146" s="347">
        <f t="shared" si="41"/>
        <v>1056748.8083946647</v>
      </c>
      <c r="L146" s="630">
        <f>'Tab 0'!$D$48</f>
        <v>0.06</v>
      </c>
      <c r="M146" s="347">
        <f t="shared" si="42"/>
        <v>63404.928503679876</v>
      </c>
      <c r="N146" s="347"/>
      <c r="O146" s="347">
        <f t="shared" si="43"/>
        <v>12957.040419733234</v>
      </c>
      <c r="P146" s="632">
        <f t="shared" si="45"/>
        <v>7.2261230215548214E-2</v>
      </c>
      <c r="Q146" s="631">
        <f t="shared" si="44"/>
        <v>76361.968923413107</v>
      </c>
    </row>
    <row r="147" spans="2:17" x14ac:dyDescent="0.15">
      <c r="B147" s="160" t="s">
        <v>786</v>
      </c>
      <c r="C147" s="658">
        <f>+'All. 12'!C145</f>
        <v>50000</v>
      </c>
      <c r="D147" s="658">
        <f>+'All. 12'!D145</f>
        <v>600000</v>
      </c>
      <c r="E147" s="347">
        <f t="shared" si="39"/>
        <v>650000</v>
      </c>
      <c r="F147" s="630">
        <f>'Tab 0'!$D$48</f>
        <v>0.06</v>
      </c>
      <c r="G147" s="631">
        <f t="shared" si="40"/>
        <v>39000</v>
      </c>
      <c r="I147" s="660">
        <f>+'All. 12'!G145</f>
        <v>37393.996150044251</v>
      </c>
      <c r="J147" s="659">
        <f>+'All. 12'!H145</f>
        <v>843214.06703176652</v>
      </c>
      <c r="K147" s="347">
        <f t="shared" si="41"/>
        <v>880608.06318181078</v>
      </c>
      <c r="L147" s="630">
        <f>'Tab 0'!$D$48</f>
        <v>0.06</v>
      </c>
      <c r="M147" s="347">
        <f t="shared" si="42"/>
        <v>52836.483790908642</v>
      </c>
      <c r="N147" s="347"/>
      <c r="O147" s="347">
        <f t="shared" si="43"/>
        <v>11530.40315909054</v>
      </c>
      <c r="P147" s="632">
        <f t="shared" si="45"/>
        <v>7.3093683377629906E-2</v>
      </c>
      <c r="Q147" s="631">
        <f t="shared" si="44"/>
        <v>64366.886949999185</v>
      </c>
    </row>
    <row r="148" spans="2:17" x14ac:dyDescent="0.15">
      <c r="B148" s="160" t="s">
        <v>787</v>
      </c>
      <c r="C148" s="658">
        <f>+'All. 12'!C146</f>
        <v>50000</v>
      </c>
      <c r="D148" s="658">
        <f>+'All. 12'!D146</f>
        <v>728592</v>
      </c>
      <c r="E148" s="347">
        <f t="shared" si="39"/>
        <v>778592</v>
      </c>
      <c r="F148" s="630">
        <f>'Tab 0'!$D$48</f>
        <v>0.06</v>
      </c>
      <c r="G148" s="631">
        <f t="shared" si="40"/>
        <v>46715.519999999997</v>
      </c>
      <c r="I148" s="660">
        <f>+'All. 12'!G146</f>
        <v>37393.996150044251</v>
      </c>
      <c r="J148" s="659">
        <f>+'All. 12'!H146</f>
        <v>1023931.7058780147</v>
      </c>
      <c r="K148" s="347">
        <f t="shared" si="41"/>
        <v>1061325.7020280589</v>
      </c>
      <c r="L148" s="630">
        <f>'Tab 0'!$D$48</f>
        <v>0.06</v>
      </c>
      <c r="M148" s="347">
        <f t="shared" si="42"/>
        <v>63679.542121683531</v>
      </c>
      <c r="N148" s="347"/>
      <c r="O148" s="347">
        <f t="shared" si="43"/>
        <v>14136.685101402947</v>
      </c>
      <c r="P148" s="632">
        <f t="shared" si="45"/>
        <v>7.3319836761127646E-2</v>
      </c>
      <c r="Q148" s="631">
        <f t="shared" si="44"/>
        <v>77816.227223086476</v>
      </c>
    </row>
    <row r="149" spans="2:17" x14ac:dyDescent="0.15">
      <c r="B149" s="640" t="s">
        <v>901</v>
      </c>
      <c r="C149" s="641">
        <f>SUM(C137:C148)</f>
        <v>922608</v>
      </c>
      <c r="D149" s="641">
        <f t="shared" ref="D149:E149" si="46">SUM(D137:D148)</f>
        <v>9328592</v>
      </c>
      <c r="E149" s="641">
        <f t="shared" si="46"/>
        <v>10251200</v>
      </c>
      <c r="F149" s="642">
        <f>+G149/E149</f>
        <v>0.06</v>
      </c>
      <c r="G149" s="643">
        <f t="shared" ref="G149" si="47">SUM(G137:G148)</f>
        <v>615072</v>
      </c>
      <c r="I149" s="655">
        <f>SUM(I137:I148)</f>
        <v>690000.00000000058</v>
      </c>
      <c r="J149" s="641">
        <f t="shared" ref="J149" si="48">SUM(J137:J148)</f>
        <v>13110000</v>
      </c>
      <c r="K149" s="641">
        <f t="shared" ref="K149" si="49">SUM(K137:K148)</f>
        <v>13800000.000000002</v>
      </c>
      <c r="L149" s="642">
        <f>+M149/K149</f>
        <v>5.9999999999999991E-2</v>
      </c>
      <c r="M149" s="641">
        <f>SUM(M137:M148)</f>
        <v>828000</v>
      </c>
      <c r="N149" s="641">
        <f>SUM(N137:N148)</f>
        <v>0</v>
      </c>
      <c r="O149" s="641">
        <f t="shared" ref="O149:Q149" si="50">SUM(O137:O148)</f>
        <v>177440.00000000012</v>
      </c>
      <c r="P149" s="644">
        <f t="shared" si="45"/>
        <v>7.2857971014492748E-2</v>
      </c>
      <c r="Q149" s="643">
        <f t="shared" si="50"/>
        <v>1005440.0000000001</v>
      </c>
    </row>
    <row r="150" spans="2:17" x14ac:dyDescent="0.15">
      <c r="B150" s="160"/>
      <c r="C150" s="639"/>
      <c r="D150" s="639"/>
      <c r="E150" s="639"/>
      <c r="F150" s="104"/>
      <c r="G150" s="283"/>
      <c r="I150" s="656"/>
      <c r="J150" s="639"/>
      <c r="K150" s="639"/>
      <c r="L150" s="104"/>
      <c r="M150" s="639"/>
      <c r="N150" s="639"/>
      <c r="O150" s="639"/>
      <c r="P150" s="104"/>
      <c r="Q150" s="651"/>
    </row>
    <row r="151" spans="2:17" ht="17" thickBot="1" x14ac:dyDescent="0.2">
      <c r="B151" s="645" t="s">
        <v>902</v>
      </c>
      <c r="C151" s="646">
        <f>+C133+C135+C149</f>
        <v>107663228</v>
      </c>
      <c r="D151" s="646">
        <f t="shared" ref="D151:G151" si="51">+D133+D135+D149</f>
        <v>20476772</v>
      </c>
      <c r="E151" s="646">
        <f t="shared" si="51"/>
        <v>128140000</v>
      </c>
      <c r="F151" s="647">
        <f>+G151/E151</f>
        <v>4.0800000000000003E-2</v>
      </c>
      <c r="G151" s="648">
        <f t="shared" si="51"/>
        <v>5228112</v>
      </c>
      <c r="I151" s="657">
        <f>+I133+I135+I149</f>
        <v>122876667.26935485</v>
      </c>
      <c r="J151" s="646">
        <f t="shared" ref="J151:K151" si="52">+J133+J135+J149</f>
        <v>20932729.988709662</v>
      </c>
      <c r="K151" s="646">
        <f t="shared" si="52"/>
        <v>143809397.25806445</v>
      </c>
      <c r="L151" s="647">
        <f>+M151/K151</f>
        <v>4.9274832702703456E-2</v>
      </c>
      <c r="M151" s="646">
        <f>+M133+M135+M149</f>
        <v>7086183.9909677468</v>
      </c>
      <c r="N151" s="646">
        <f t="shared" ref="N151:O151" si="53">+N133+N135+N149</f>
        <v>113240</v>
      </c>
      <c r="O151" s="646">
        <f t="shared" si="53"/>
        <v>851766.66290322656</v>
      </c>
      <c r="P151" s="650">
        <f t="shared" ref="P151" si="54">IFERROR(Q151/K151,0)</f>
        <v>5.5985149839847925E-2</v>
      </c>
      <c r="Q151" s="648">
        <f t="shared" ref="Q151" si="55">+Q133+Q135+Q149</f>
        <v>8051190.6538709532</v>
      </c>
    </row>
    <row r="154" spans="2:17" x14ac:dyDescent="0.15">
      <c r="B154" s="84" t="s">
        <v>913</v>
      </c>
      <c r="C154" s="649">
        <f>+C133-'Tab 2'!E6</f>
        <v>0</v>
      </c>
      <c r="D154" s="649">
        <f>+D133-'Tab 2'!E7</f>
        <v>0</v>
      </c>
      <c r="I154" s="649">
        <f>+I133-'Tab 2'!E14</f>
        <v>0</v>
      </c>
      <c r="J154" s="649">
        <f>+J133-'Tab 2'!E15</f>
        <v>-1.7695128917694092E-8</v>
      </c>
    </row>
    <row r="156" spans="2:17" x14ac:dyDescent="0.15">
      <c r="B156" s="84" t="s">
        <v>914</v>
      </c>
      <c r="C156" s="649">
        <f>C149-'Tab 2'!K6</f>
        <v>0</v>
      </c>
      <c r="D156" s="649">
        <f>+D149-'Tab 2'!K7</f>
        <v>0</v>
      </c>
      <c r="I156" s="649">
        <f>+I149-'Tab 2'!K14</f>
        <v>0</v>
      </c>
      <c r="J156" s="649">
        <f>+J149-'Tab 2'!K15</f>
        <v>0</v>
      </c>
    </row>
  </sheetData>
  <mergeCells count="2">
    <mergeCell ref="C7:G7"/>
    <mergeCell ref="I7:Q7"/>
  </mergeCells>
  <phoneticPr fontId="4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B0A30-D4FE-6348-A79B-7E645D227C6C}">
  <dimension ref="B1:Q39"/>
  <sheetViews>
    <sheetView zoomScale="125" zoomScaleNormal="150" workbookViewId="0">
      <selection activeCell="C5" sqref="C5:O5"/>
    </sheetView>
  </sheetViews>
  <sheetFormatPr baseColWidth="10" defaultRowHeight="13" x14ac:dyDescent="0.15"/>
  <cols>
    <col min="2" max="2" width="17.6640625" customWidth="1"/>
    <col min="3" max="15" width="16" customWidth="1"/>
  </cols>
  <sheetData>
    <row r="1" spans="2:15" s="4" customFormat="1" ht="16" x14ac:dyDescent="0.2"/>
    <row r="2" spans="2:15" s="4" customFormat="1" ht="16" x14ac:dyDescent="0.2">
      <c r="B2" s="4" t="s">
        <v>922</v>
      </c>
    </row>
    <row r="3" spans="2:15" s="4" customFormat="1" ht="17" thickBot="1" x14ac:dyDescent="0.25"/>
    <row r="4" spans="2:15" s="4" customFormat="1" ht="16" x14ac:dyDescent="0.2">
      <c r="B4" s="15"/>
      <c r="C4" s="768" t="s">
        <v>99</v>
      </c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70"/>
    </row>
    <row r="5" spans="2:15" s="4" customFormat="1" ht="16" x14ac:dyDescent="0.2">
      <c r="B5" s="253"/>
      <c r="C5" s="622" t="s">
        <v>114</v>
      </c>
      <c r="D5" s="623" t="s">
        <v>115</v>
      </c>
      <c r="E5" s="623" t="s">
        <v>116</v>
      </c>
      <c r="F5" s="623" t="s">
        <v>117</v>
      </c>
      <c r="G5" s="623" t="s">
        <v>118</v>
      </c>
      <c r="H5" s="623" t="s">
        <v>119</v>
      </c>
      <c r="I5" s="623" t="s">
        <v>120</v>
      </c>
      <c r="J5" s="623" t="s">
        <v>121</v>
      </c>
      <c r="K5" s="623" t="s">
        <v>122</v>
      </c>
      <c r="L5" s="623" t="s">
        <v>123</v>
      </c>
      <c r="M5" s="623" t="s">
        <v>124</v>
      </c>
      <c r="N5" s="623" t="s">
        <v>125</v>
      </c>
      <c r="O5" s="673" t="s">
        <v>82</v>
      </c>
    </row>
    <row r="6" spans="2:15" s="4" customFormat="1" ht="16" x14ac:dyDescent="0.2">
      <c r="B6" s="661" t="s">
        <v>929</v>
      </c>
      <c r="C6" s="249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257"/>
    </row>
    <row r="7" spans="2:15" s="4" customFormat="1" ht="16" x14ac:dyDescent="0.2">
      <c r="B7" s="661"/>
      <c r="C7" s="249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257"/>
    </row>
    <row r="8" spans="2:15" s="4" customFormat="1" ht="16" x14ac:dyDescent="0.2">
      <c r="B8" s="99" t="s">
        <v>102</v>
      </c>
      <c r="C8" s="249">
        <f>MOLLE!B31+POLIUR!B31</f>
        <v>3994585.5261496222</v>
      </c>
      <c r="D8" s="91">
        <f>MOLLE!C31+POLIUR!C31</f>
        <v>4438428.3623884683</v>
      </c>
      <c r="E8" s="91">
        <f>MOLLE!D31+POLIUR!D31</f>
        <v>5104192.6167467395</v>
      </c>
      <c r="F8" s="91">
        <f>MOLLE!E31+POLIUR!E31</f>
        <v>4660349.7805078924</v>
      </c>
      <c r="G8" s="91">
        <f>MOLLE!F31+POLIUR!F31</f>
        <v>4660349.7805078924</v>
      </c>
      <c r="H8" s="91">
        <f>MOLLE!G31+POLIUR!G31</f>
        <v>4882271.1986273155</v>
      </c>
      <c r="I8" s="91">
        <f>MOLLE!H31+POLIUR!H31</f>
        <v>4882271.1986273155</v>
      </c>
      <c r="J8" s="91">
        <f>MOLLE!I31+POLIUR!I31</f>
        <v>2663057.0174330808</v>
      </c>
      <c r="K8" s="91">
        <f>MOLLE!J31+POLIUR!J31</f>
        <v>4882271.1986273155</v>
      </c>
      <c r="L8" s="91">
        <f>MOLLE!K31+POLIUR!K31</f>
        <v>4660349.7805078924</v>
      </c>
      <c r="M8" s="91">
        <f>MOLLE!L31+POLIUR!L31</f>
        <v>4660349.7805078924</v>
      </c>
      <c r="N8" s="91">
        <f>MOLLE!M31+POLIUR!M31</f>
        <v>2663057.0174330808</v>
      </c>
      <c r="O8" s="257">
        <f>SUM(C8:N8)</f>
        <v>52151533.258064508</v>
      </c>
    </row>
    <row r="9" spans="2:15" s="4" customFormat="1" ht="16" x14ac:dyDescent="0.2">
      <c r="B9" s="99" t="s">
        <v>103</v>
      </c>
      <c r="C9" s="249">
        <f>MOLLE!B54+POLIUR!B56</f>
        <v>5963581.0723404242</v>
      </c>
      <c r="D9" s="91">
        <f>MOLLE!C54+POLIUR!C56</f>
        <v>6626201.1914893612</v>
      </c>
      <c r="E9" s="91">
        <f>MOLLE!D54+POLIUR!D56</f>
        <v>7620131.3702127654</v>
      </c>
      <c r="F9" s="91">
        <f>MOLLE!E54+POLIUR!E56</f>
        <v>6957511.2510638293</v>
      </c>
      <c r="G9" s="91">
        <f>MOLLE!F54+POLIUR!F56</f>
        <v>6957511.2510638293</v>
      </c>
      <c r="H9" s="91">
        <f>MOLLE!G54+POLIUR!G56</f>
        <v>7288821.3106382973</v>
      </c>
      <c r="I9" s="91">
        <f>MOLLE!H54+POLIUR!H56</f>
        <v>7288821.3106382973</v>
      </c>
      <c r="J9" s="91">
        <f>MOLLE!I54+POLIUR!I56</f>
        <v>3975720.7148936167</v>
      </c>
      <c r="K9" s="91">
        <f>MOLLE!J54+POLIUR!J56</f>
        <v>7288821.3106382973</v>
      </c>
      <c r="L9" s="91">
        <f>MOLLE!K54+POLIUR!K56</f>
        <v>6957511.2510638293</v>
      </c>
      <c r="M9" s="91">
        <f>MOLLE!L54+POLIUR!L56</f>
        <v>6957511.2510638293</v>
      </c>
      <c r="N9" s="91">
        <f>MOLLE!M54+POLIUR!M56</f>
        <v>3975720.7148936167</v>
      </c>
      <c r="O9" s="257">
        <f t="shared" ref="O9:O10" si="0">SUM(C9:N9)</f>
        <v>77857864</v>
      </c>
    </row>
    <row r="10" spans="2:15" s="4" customFormat="1" ht="16" x14ac:dyDescent="0.2">
      <c r="B10" s="19" t="s">
        <v>104</v>
      </c>
      <c r="C10" s="251">
        <f>MOLLE!B79+POLIUR!B81</f>
        <v>1057021.2765957448</v>
      </c>
      <c r="D10" s="252">
        <f>MOLLE!C79+POLIUR!C81</f>
        <v>1174468.0851063831</v>
      </c>
      <c r="E10" s="252">
        <f>MOLLE!D79+POLIUR!D81</f>
        <v>1350638.2978723408</v>
      </c>
      <c r="F10" s="252">
        <f>MOLLE!E79+POLIUR!E81</f>
        <v>1233191.4893617022</v>
      </c>
      <c r="G10" s="252">
        <f>MOLLE!F79+POLIUR!F81</f>
        <v>1233191.4893617022</v>
      </c>
      <c r="H10" s="252">
        <f>MOLLE!G79+POLIUR!G81</f>
        <v>1291914.8936170214</v>
      </c>
      <c r="I10" s="252">
        <f>MOLLE!H79+POLIUR!H81</f>
        <v>1291914.8936170214</v>
      </c>
      <c r="J10" s="252">
        <f>MOLLE!I79+POLIUR!I81</f>
        <v>704680.85106382985</v>
      </c>
      <c r="K10" s="252">
        <f>MOLLE!J79+POLIUR!J81</f>
        <v>1291914.8936170214</v>
      </c>
      <c r="L10" s="252">
        <f>MOLLE!K79+POLIUR!K81</f>
        <v>1233191.4893617022</v>
      </c>
      <c r="M10" s="252">
        <f>MOLLE!L79+POLIUR!L81</f>
        <v>1233191.4893617022</v>
      </c>
      <c r="N10" s="252">
        <f>MOLLE!M79+POLIUR!M81</f>
        <v>704680.85106382985</v>
      </c>
      <c r="O10" s="258">
        <f t="shared" si="0"/>
        <v>13800000</v>
      </c>
    </row>
    <row r="11" spans="2:15" s="4" customFormat="1" ht="17" thickBot="1" x14ac:dyDescent="0.25">
      <c r="B11" s="259" t="s">
        <v>37</v>
      </c>
      <c r="C11" s="260">
        <f t="shared" ref="C11:O11" si="1">SUM(C8:C10)</f>
        <v>11015187.875085792</v>
      </c>
      <c r="D11" s="246">
        <f t="shared" si="1"/>
        <v>12239097.638984215</v>
      </c>
      <c r="E11" s="246">
        <f t="shared" si="1"/>
        <v>14074962.284831846</v>
      </c>
      <c r="F11" s="246">
        <f t="shared" si="1"/>
        <v>12851052.520933423</v>
      </c>
      <c r="G11" s="246">
        <f t="shared" si="1"/>
        <v>12851052.520933423</v>
      </c>
      <c r="H11" s="246">
        <f t="shared" si="1"/>
        <v>13463007.402882634</v>
      </c>
      <c r="I11" s="246">
        <f t="shared" si="1"/>
        <v>13463007.402882634</v>
      </c>
      <c r="J11" s="246">
        <f t="shared" si="1"/>
        <v>7343458.5833905274</v>
      </c>
      <c r="K11" s="246">
        <f t="shared" si="1"/>
        <v>13463007.402882634</v>
      </c>
      <c r="L11" s="246">
        <f t="shared" si="1"/>
        <v>12851052.520933423</v>
      </c>
      <c r="M11" s="246">
        <f t="shared" si="1"/>
        <v>12851052.520933423</v>
      </c>
      <c r="N11" s="246">
        <f t="shared" si="1"/>
        <v>7343458.5833905274</v>
      </c>
      <c r="O11" s="261">
        <f t="shared" si="1"/>
        <v>143809397.25806451</v>
      </c>
    </row>
    <row r="12" spans="2:15" s="4" customFormat="1" ht="16" x14ac:dyDescent="0.2">
      <c r="B12" s="99"/>
      <c r="C12" s="249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257"/>
    </row>
    <row r="13" spans="2:15" s="4" customFormat="1" ht="16" x14ac:dyDescent="0.2">
      <c r="B13" s="661" t="s">
        <v>923</v>
      </c>
      <c r="C13" s="249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257"/>
    </row>
    <row r="14" spans="2:15" s="4" customFormat="1" ht="16" x14ac:dyDescent="0.2">
      <c r="B14" s="99"/>
      <c r="C14" s="249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257"/>
    </row>
    <row r="15" spans="2:15" s="4" customFormat="1" ht="16" x14ac:dyDescent="0.2">
      <c r="B15" s="99" t="s">
        <v>102</v>
      </c>
      <c r="C15" s="249">
        <f>C8*'Tab. 18'!$L$133</f>
        <v>479350.26313795563</v>
      </c>
      <c r="D15" s="91">
        <f>D8*'Tab. 18'!$L$133</f>
        <v>532611.40348661726</v>
      </c>
      <c r="E15" s="91">
        <f>E8*'Tab. 18'!$L$133</f>
        <v>612503.11400961003</v>
      </c>
      <c r="F15" s="91">
        <f>F8*'Tab. 18'!$L$133</f>
        <v>559241.97366094822</v>
      </c>
      <c r="G15" s="91">
        <f>G8*'Tab. 18'!$L$133</f>
        <v>559241.97366094822</v>
      </c>
      <c r="H15" s="91">
        <f>H8*'Tab. 18'!$L$133</f>
        <v>585872.54383527907</v>
      </c>
      <c r="I15" s="91">
        <f>I8*'Tab. 18'!$L$133</f>
        <v>585872.54383527907</v>
      </c>
      <c r="J15" s="91">
        <f>J8*'Tab. 18'!$L$133</f>
        <v>319566.84209197038</v>
      </c>
      <c r="K15" s="91">
        <f>K8*'Tab. 18'!$L$133</f>
        <v>585872.54383527907</v>
      </c>
      <c r="L15" s="91">
        <f>L8*'Tab. 18'!$L$133</f>
        <v>559241.97366094822</v>
      </c>
      <c r="M15" s="91">
        <f>M8*'Tab. 18'!$L$133</f>
        <v>559241.97366094822</v>
      </c>
      <c r="N15" s="91">
        <f>N8*'Tab. 18'!$L$133</f>
        <v>319566.84209197038</v>
      </c>
      <c r="O15" s="257">
        <f>SUM(C15:N15)</f>
        <v>6258183.9909677524</v>
      </c>
    </row>
    <row r="16" spans="2:15" s="4" customFormat="1" ht="16" x14ac:dyDescent="0.2">
      <c r="B16" s="99" t="s">
        <v>103</v>
      </c>
      <c r="C16" s="249">
        <f>C9*'Tab. 18'!$L$135</f>
        <v>0</v>
      </c>
      <c r="D16" s="91">
        <f>D9*'Tab. 18'!$L$135</f>
        <v>0</v>
      </c>
      <c r="E16" s="91">
        <f>E9*'Tab. 18'!$L$135</f>
        <v>0</v>
      </c>
      <c r="F16" s="91">
        <f>F9*'Tab. 18'!$L$135</f>
        <v>0</v>
      </c>
      <c r="G16" s="91">
        <f>G9*'Tab. 18'!$L$135</f>
        <v>0</v>
      </c>
      <c r="H16" s="91">
        <f>H9*'Tab. 18'!$L$135</f>
        <v>0</v>
      </c>
      <c r="I16" s="91">
        <f>I9*'Tab. 18'!$L$135</f>
        <v>0</v>
      </c>
      <c r="J16" s="91">
        <f>J9*'Tab. 18'!$L$135</f>
        <v>0</v>
      </c>
      <c r="K16" s="91">
        <f>K9*'Tab. 18'!$L$135</f>
        <v>0</v>
      </c>
      <c r="L16" s="91">
        <f>L9*'Tab. 18'!$L$135</f>
        <v>0</v>
      </c>
      <c r="M16" s="91">
        <f>M9*'Tab. 18'!$L$135</f>
        <v>0</v>
      </c>
      <c r="N16" s="91">
        <f>N9*'Tab. 18'!$L$135</f>
        <v>0</v>
      </c>
      <c r="O16" s="257">
        <f t="shared" ref="O16:O17" si="2">SUM(C16:N16)</f>
        <v>0</v>
      </c>
    </row>
    <row r="17" spans="2:17" s="4" customFormat="1" ht="16" x14ac:dyDescent="0.2">
      <c r="B17" s="19" t="s">
        <v>104</v>
      </c>
      <c r="C17" s="251">
        <f>C10*'Tab. 18'!$L$149</f>
        <v>63421.276595744675</v>
      </c>
      <c r="D17" s="252">
        <f>D10*'Tab. 18'!$L$149</f>
        <v>70468.085106382976</v>
      </c>
      <c r="E17" s="252">
        <f>E10*'Tab. 18'!$L$149</f>
        <v>81038.297872340438</v>
      </c>
      <c r="F17" s="252">
        <f>F10*'Tab. 18'!$L$149</f>
        <v>73991.48936170213</v>
      </c>
      <c r="G17" s="252">
        <f>G10*'Tab. 18'!$L$149</f>
        <v>73991.48936170213</v>
      </c>
      <c r="H17" s="252">
        <f>H10*'Tab. 18'!$L$149</f>
        <v>77514.893617021269</v>
      </c>
      <c r="I17" s="252">
        <f>I10*'Tab. 18'!$L$149</f>
        <v>77514.893617021269</v>
      </c>
      <c r="J17" s="252">
        <f>J10*'Tab. 18'!$L$149</f>
        <v>42280.851063829781</v>
      </c>
      <c r="K17" s="252">
        <f>K10*'Tab. 18'!$L$149</f>
        <v>77514.893617021269</v>
      </c>
      <c r="L17" s="252">
        <f>L10*'Tab. 18'!$L$149</f>
        <v>73991.48936170213</v>
      </c>
      <c r="M17" s="252">
        <f>M10*'Tab. 18'!$L$149</f>
        <v>73991.48936170213</v>
      </c>
      <c r="N17" s="252">
        <f>N10*'Tab. 18'!$L$149</f>
        <v>42280.851063829781</v>
      </c>
      <c r="O17" s="258">
        <f t="shared" si="2"/>
        <v>827999.99999999988</v>
      </c>
    </row>
    <row r="18" spans="2:17" s="4" customFormat="1" ht="17" thickBot="1" x14ac:dyDescent="0.25">
      <c r="B18" s="259" t="s">
        <v>904</v>
      </c>
      <c r="C18" s="260">
        <f>SUM(C15:C17)</f>
        <v>542771.53973370034</v>
      </c>
      <c r="D18" s="246">
        <f t="shared" ref="D18:O18" si="3">SUM(D15:D17)</f>
        <v>603079.48859300022</v>
      </c>
      <c r="E18" s="246">
        <f t="shared" si="3"/>
        <v>693541.41188195045</v>
      </c>
      <c r="F18" s="246">
        <f t="shared" si="3"/>
        <v>633233.46302265034</v>
      </c>
      <c r="G18" s="246">
        <f t="shared" si="3"/>
        <v>633233.46302265034</v>
      </c>
      <c r="H18" s="246">
        <f t="shared" si="3"/>
        <v>663387.43745230034</v>
      </c>
      <c r="I18" s="246">
        <f t="shared" si="3"/>
        <v>663387.43745230034</v>
      </c>
      <c r="J18" s="246">
        <f t="shared" si="3"/>
        <v>361847.69315580017</v>
      </c>
      <c r="K18" s="246">
        <f t="shared" si="3"/>
        <v>663387.43745230034</v>
      </c>
      <c r="L18" s="246">
        <f t="shared" si="3"/>
        <v>633233.46302265034</v>
      </c>
      <c r="M18" s="246">
        <f t="shared" si="3"/>
        <v>633233.46302265034</v>
      </c>
      <c r="N18" s="246">
        <f t="shared" si="3"/>
        <v>361847.69315580017</v>
      </c>
      <c r="O18" s="261">
        <f t="shared" si="3"/>
        <v>7086183.9909677524</v>
      </c>
      <c r="Q18" s="94">
        <f>+O18-'Tab. 18'!M151</f>
        <v>0</v>
      </c>
    </row>
    <row r="19" spans="2:17" s="4" customFormat="1" ht="16" x14ac:dyDescent="0.2">
      <c r="B19" s="99"/>
      <c r="C19" s="249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257"/>
    </row>
    <row r="20" spans="2:17" s="4" customFormat="1" ht="16" x14ac:dyDescent="0.2">
      <c r="B20" s="661" t="s">
        <v>924</v>
      </c>
      <c r="C20" s="249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257"/>
    </row>
    <row r="21" spans="2:17" s="4" customFormat="1" ht="16" x14ac:dyDescent="0.2">
      <c r="B21" s="99"/>
      <c r="C21" s="249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257"/>
    </row>
    <row r="22" spans="2:17" s="4" customFormat="1" ht="16" x14ac:dyDescent="0.2">
      <c r="B22" s="99" t="s">
        <v>102</v>
      </c>
      <c r="C22" s="249">
        <f>'Tab. 18'!$N$132/QUANTITÀ!$N$5*QUANTITÀ!B$5</f>
        <v>8673.7021276595733</v>
      </c>
      <c r="D22" s="91">
        <f>'Tab. 18'!$N$132/QUANTITÀ!$N$5*QUANTITÀ!C$5</f>
        <v>9637.4468085106382</v>
      </c>
      <c r="E22" s="91">
        <f>'Tab. 18'!$N$132/QUANTITÀ!$N$5*QUANTITÀ!D$5</f>
        <v>11083.063829787234</v>
      </c>
      <c r="F22" s="91">
        <f>'Tab. 18'!$N$132/QUANTITÀ!$N$5*QUANTITÀ!E$5</f>
        <v>10119.319148936169</v>
      </c>
      <c r="G22" s="91">
        <f>'Tab. 18'!$N$132/QUANTITÀ!$N$5*QUANTITÀ!F$5</f>
        <v>10119.319148936169</v>
      </c>
      <c r="H22" s="91">
        <f>'Tab. 18'!$N$132/QUANTITÀ!$N$5*QUANTITÀ!G$5</f>
        <v>10601.191489361701</v>
      </c>
      <c r="I22" s="91">
        <f>'Tab. 18'!$N$132/QUANTITÀ!$N$5*QUANTITÀ!H$5</f>
        <v>10601.191489361701</v>
      </c>
      <c r="J22" s="91">
        <f>'Tab. 18'!$N$132/QUANTITÀ!$N$5*QUANTITÀ!I$5</f>
        <v>5782.4680851063822</v>
      </c>
      <c r="K22" s="91">
        <f>'Tab. 18'!$N$132/QUANTITÀ!$N$5*QUANTITÀ!J$5</f>
        <v>10601.191489361701</v>
      </c>
      <c r="L22" s="91">
        <f>'Tab. 18'!$N$132/QUANTITÀ!$N$5*QUANTITÀ!K$5</f>
        <v>10119.319148936169</v>
      </c>
      <c r="M22" s="91">
        <f>'Tab. 18'!$N$132/QUANTITÀ!$N$5*QUANTITÀ!L$5</f>
        <v>10119.319148936169</v>
      </c>
      <c r="N22" s="91">
        <f>'Tab. 18'!$N$132/QUANTITÀ!$N$5*QUANTITÀ!M$5</f>
        <v>5782.4680851063822</v>
      </c>
      <c r="O22" s="257">
        <f>SUM(C22:N22)</f>
        <v>113240</v>
      </c>
    </row>
    <row r="23" spans="2:17" s="4" customFormat="1" ht="16" x14ac:dyDescent="0.2">
      <c r="B23" s="99" t="s">
        <v>103</v>
      </c>
      <c r="C23" s="249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257">
        <f t="shared" ref="O23:O24" si="4">SUM(C23:N23)</f>
        <v>0</v>
      </c>
    </row>
    <row r="24" spans="2:17" s="4" customFormat="1" ht="16" x14ac:dyDescent="0.2">
      <c r="B24" s="19" t="s">
        <v>104</v>
      </c>
      <c r="C24" s="251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8">
        <f t="shared" si="4"/>
        <v>0</v>
      </c>
    </row>
    <row r="25" spans="2:17" s="4" customFormat="1" ht="17" thickBot="1" x14ac:dyDescent="0.25">
      <c r="B25" s="259" t="s">
        <v>926</v>
      </c>
      <c r="C25" s="260">
        <f>SUM(C22:C24)</f>
        <v>8673.7021276595733</v>
      </c>
      <c r="D25" s="246">
        <f t="shared" ref="D25:O25" si="5">SUM(D22:D24)</f>
        <v>9637.4468085106382</v>
      </c>
      <c r="E25" s="246">
        <f t="shared" si="5"/>
        <v>11083.063829787234</v>
      </c>
      <c r="F25" s="246">
        <f t="shared" si="5"/>
        <v>10119.319148936169</v>
      </c>
      <c r="G25" s="246">
        <f t="shared" si="5"/>
        <v>10119.319148936169</v>
      </c>
      <c r="H25" s="246">
        <f t="shared" si="5"/>
        <v>10601.191489361701</v>
      </c>
      <c r="I25" s="246">
        <f t="shared" si="5"/>
        <v>10601.191489361701</v>
      </c>
      <c r="J25" s="246">
        <f t="shared" si="5"/>
        <v>5782.4680851063822</v>
      </c>
      <c r="K25" s="246">
        <f t="shared" si="5"/>
        <v>10601.191489361701</v>
      </c>
      <c r="L25" s="246">
        <f t="shared" si="5"/>
        <v>10119.319148936169</v>
      </c>
      <c r="M25" s="246">
        <f t="shared" si="5"/>
        <v>10119.319148936169</v>
      </c>
      <c r="N25" s="246">
        <f t="shared" si="5"/>
        <v>5782.4680851063822</v>
      </c>
      <c r="O25" s="261">
        <f t="shared" si="5"/>
        <v>113240</v>
      </c>
      <c r="Q25" s="94">
        <f>+O25-'Tab. 18'!N151</f>
        <v>0</v>
      </c>
    </row>
    <row r="26" spans="2:17" s="4" customFormat="1" ht="16" x14ac:dyDescent="0.2">
      <c r="B26" s="99"/>
      <c r="C26" s="249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257"/>
    </row>
    <row r="27" spans="2:17" s="4" customFormat="1" ht="16" x14ac:dyDescent="0.2">
      <c r="B27" s="661" t="s">
        <v>927</v>
      </c>
      <c r="C27" s="249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257"/>
    </row>
    <row r="28" spans="2:17" s="4" customFormat="1" ht="16" x14ac:dyDescent="0.2">
      <c r="B28" s="99"/>
      <c r="C28" s="249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257"/>
    </row>
    <row r="29" spans="2:17" s="4" customFormat="1" ht="16" x14ac:dyDescent="0.2">
      <c r="B29" s="99" t="s">
        <v>102</v>
      </c>
      <c r="C29" s="249">
        <f>'Tab. 18'!$O$133/QUANTITÀ!$N$5*QUANTITÀ!B$5</f>
        <v>51650.552903225849</v>
      </c>
      <c r="D29" s="91">
        <f>'Tab. 18'!$O$133/QUANTITÀ!$N$5*QUANTITÀ!C$5</f>
        <v>57389.503225806504</v>
      </c>
      <c r="E29" s="91">
        <f>'Tab. 18'!$O$133/QUANTITÀ!$N$5*QUANTITÀ!D$5</f>
        <v>65997.928709677479</v>
      </c>
      <c r="F29" s="91">
        <f>'Tab. 18'!$O$133/QUANTITÀ!$N$5*QUANTITÀ!E$5</f>
        <v>60258.978387096824</v>
      </c>
      <c r="G29" s="91">
        <f>'Tab. 18'!$O$133/QUANTITÀ!$N$5*QUANTITÀ!F$5</f>
        <v>60258.978387096824</v>
      </c>
      <c r="H29" s="91">
        <f>'Tab. 18'!$O$133/QUANTITÀ!$N$5*QUANTITÀ!G$5</f>
        <v>63128.453548387151</v>
      </c>
      <c r="I29" s="91">
        <f>'Tab. 18'!$O$133/QUANTITÀ!$N$5*QUANTITÀ!H$5</f>
        <v>63128.453548387151</v>
      </c>
      <c r="J29" s="91">
        <f>'Tab. 18'!$O$133/QUANTITÀ!$N$5*QUANTITÀ!I$5</f>
        <v>34433.701935483899</v>
      </c>
      <c r="K29" s="91">
        <f>'Tab. 18'!$O$133/QUANTITÀ!$N$5*QUANTITÀ!J$5</f>
        <v>63128.453548387151</v>
      </c>
      <c r="L29" s="91">
        <f>'Tab. 18'!$O$133/QUANTITÀ!$N$5*QUANTITÀ!K$5</f>
        <v>60258.978387096824</v>
      </c>
      <c r="M29" s="91">
        <f>'Tab. 18'!$O$133/QUANTITÀ!$N$5*QUANTITÀ!L$5</f>
        <v>60258.978387096824</v>
      </c>
      <c r="N29" s="91">
        <f>'Tab. 18'!$O$133/QUANTITÀ!$N$5*QUANTITÀ!M$5</f>
        <v>34433.701935483899</v>
      </c>
      <c r="O29" s="257">
        <f>SUM(C29:N29)</f>
        <v>674326.66290322645</v>
      </c>
    </row>
    <row r="30" spans="2:17" s="4" customFormat="1" ht="16" x14ac:dyDescent="0.2">
      <c r="B30" s="99" t="s">
        <v>103</v>
      </c>
      <c r="C30" s="249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257">
        <f t="shared" ref="O30:O31" si="6">SUM(C30:N30)</f>
        <v>0</v>
      </c>
    </row>
    <row r="31" spans="2:17" s="4" customFormat="1" ht="16" x14ac:dyDescent="0.2">
      <c r="B31" s="665" t="s">
        <v>104</v>
      </c>
      <c r="C31" s="252">
        <f>'Tab. 18'!$O$149/QUANTITÀ!$N$5*QUANTITÀ!B$5</f>
        <v>13591.148936170222</v>
      </c>
      <c r="D31" s="252">
        <f>'Tab. 18'!$O$149/QUANTITÀ!$N$5*QUANTITÀ!C$5</f>
        <v>15101.276595744692</v>
      </c>
      <c r="E31" s="252">
        <f>'Tab. 18'!$O$149/QUANTITÀ!$N$5*QUANTITÀ!D$5</f>
        <v>17366.468085106397</v>
      </c>
      <c r="F31" s="252">
        <f>'Tab. 18'!$O$149/QUANTITÀ!$N$5*QUANTITÀ!E$5</f>
        <v>15856.340425531926</v>
      </c>
      <c r="G31" s="252">
        <f>'Tab. 18'!$O$149/QUANTITÀ!$N$5*QUANTITÀ!F$5</f>
        <v>15856.340425531926</v>
      </c>
      <c r="H31" s="252">
        <f>'Tab. 18'!$O$149/QUANTITÀ!$N$5*QUANTITÀ!G$5</f>
        <v>16611.404255319161</v>
      </c>
      <c r="I31" s="252">
        <f>'Tab. 18'!$O$149/QUANTITÀ!$N$5*QUANTITÀ!H$5</f>
        <v>16611.404255319161</v>
      </c>
      <c r="J31" s="252">
        <f>'Tab. 18'!$O$149/QUANTITÀ!$N$5*QUANTITÀ!I$5</f>
        <v>9060.7659574468144</v>
      </c>
      <c r="K31" s="252">
        <f>'Tab. 18'!$O$149/QUANTITÀ!$N$5*QUANTITÀ!J$5</f>
        <v>16611.404255319161</v>
      </c>
      <c r="L31" s="252">
        <f>'Tab. 18'!$O$149/QUANTITÀ!$N$5*QUANTITÀ!K$5</f>
        <v>15856.340425531926</v>
      </c>
      <c r="M31" s="252">
        <f>'Tab. 18'!$O$149/QUANTITÀ!$N$5*QUANTITÀ!L$5</f>
        <v>15856.340425531926</v>
      </c>
      <c r="N31" s="252">
        <f>'Tab. 18'!$O$149/QUANTITÀ!$N$5*QUANTITÀ!M$5</f>
        <v>9060.7659574468144</v>
      </c>
      <c r="O31" s="258">
        <f t="shared" si="6"/>
        <v>177440.00000000015</v>
      </c>
    </row>
    <row r="32" spans="2:17" s="4" customFormat="1" ht="17" thickBot="1" x14ac:dyDescent="0.25">
      <c r="B32" s="259" t="s">
        <v>904</v>
      </c>
      <c r="C32" s="246">
        <f>SUM(C29:C31)</f>
        <v>65241.701839396075</v>
      </c>
      <c r="D32" s="246">
        <f t="shared" ref="D32:O32" si="7">SUM(D29:D31)</f>
        <v>72490.779821551201</v>
      </c>
      <c r="E32" s="246">
        <f t="shared" si="7"/>
        <v>83364.396794783883</v>
      </c>
      <c r="F32" s="246">
        <f t="shared" si="7"/>
        <v>76115.318812628742</v>
      </c>
      <c r="G32" s="246">
        <f t="shared" si="7"/>
        <v>76115.318812628742</v>
      </c>
      <c r="H32" s="246">
        <f t="shared" si="7"/>
        <v>79739.857803706313</v>
      </c>
      <c r="I32" s="246">
        <f t="shared" si="7"/>
        <v>79739.857803706313</v>
      </c>
      <c r="J32" s="246">
        <f t="shared" si="7"/>
        <v>43494.467892930712</v>
      </c>
      <c r="K32" s="246">
        <f t="shared" si="7"/>
        <v>79739.857803706313</v>
      </c>
      <c r="L32" s="246">
        <f t="shared" si="7"/>
        <v>76115.318812628742</v>
      </c>
      <c r="M32" s="246">
        <f t="shared" si="7"/>
        <v>76115.318812628742</v>
      </c>
      <c r="N32" s="246">
        <f t="shared" si="7"/>
        <v>43494.467892930712</v>
      </c>
      <c r="O32" s="261">
        <f t="shared" si="7"/>
        <v>851766.66290322656</v>
      </c>
      <c r="Q32" s="94">
        <f>+O32-'Tab. 18'!O151</f>
        <v>0</v>
      </c>
    </row>
    <row r="33" spans="2:17" s="4" customFormat="1" ht="16" x14ac:dyDescent="0.2">
      <c r="B33" s="666"/>
      <c r="C33" s="667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257"/>
    </row>
    <row r="34" spans="2:17" s="4" customFormat="1" ht="16" x14ac:dyDescent="0.2">
      <c r="B34" s="668" t="s">
        <v>928</v>
      </c>
      <c r="C34" s="667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257"/>
    </row>
    <row r="35" spans="2:17" s="4" customFormat="1" ht="16" x14ac:dyDescent="0.2">
      <c r="B35" s="666"/>
      <c r="C35" s="667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257"/>
    </row>
    <row r="36" spans="2:17" s="4" customFormat="1" ht="16" x14ac:dyDescent="0.2">
      <c r="B36" s="666" t="s">
        <v>102</v>
      </c>
      <c r="C36" s="667">
        <f>+C15+C22+C29</f>
        <v>539674.51816884102</v>
      </c>
      <c r="D36" s="422">
        <f t="shared" ref="D36:N36" si="8">+D15+D22+D29</f>
        <v>599638.35352093447</v>
      </c>
      <c r="E36" s="422">
        <f t="shared" si="8"/>
        <v>689584.10654907464</v>
      </c>
      <c r="F36" s="422">
        <f t="shared" si="8"/>
        <v>629620.27119698119</v>
      </c>
      <c r="G36" s="422">
        <f t="shared" si="8"/>
        <v>629620.27119698119</v>
      </c>
      <c r="H36" s="422">
        <f t="shared" si="8"/>
        <v>659602.18887302792</v>
      </c>
      <c r="I36" s="422">
        <f t="shared" si="8"/>
        <v>659602.18887302792</v>
      </c>
      <c r="J36" s="422">
        <f t="shared" si="8"/>
        <v>359783.01211256068</v>
      </c>
      <c r="K36" s="422">
        <f t="shared" si="8"/>
        <v>659602.18887302792</v>
      </c>
      <c r="L36" s="422">
        <f t="shared" si="8"/>
        <v>629620.27119698119</v>
      </c>
      <c r="M36" s="422">
        <f t="shared" si="8"/>
        <v>629620.27119698119</v>
      </c>
      <c r="N36" s="422">
        <f t="shared" si="8"/>
        <v>359783.01211256068</v>
      </c>
      <c r="O36" s="257">
        <f>SUM(C36:N36)</f>
        <v>7045750.6538709803</v>
      </c>
    </row>
    <row r="37" spans="2:17" s="4" customFormat="1" ht="16" x14ac:dyDescent="0.2">
      <c r="B37" s="666" t="s">
        <v>103</v>
      </c>
      <c r="C37" s="667">
        <f t="shared" ref="C37:C38" si="9">+C16+C23+C30</f>
        <v>0</v>
      </c>
      <c r="D37" s="422">
        <f t="shared" ref="D37:N37" si="10">+D16+D23+D30</f>
        <v>0</v>
      </c>
      <c r="E37" s="422">
        <f t="shared" si="10"/>
        <v>0</v>
      </c>
      <c r="F37" s="422">
        <f t="shared" si="10"/>
        <v>0</v>
      </c>
      <c r="G37" s="422">
        <f t="shared" si="10"/>
        <v>0</v>
      </c>
      <c r="H37" s="422">
        <f t="shared" si="10"/>
        <v>0</v>
      </c>
      <c r="I37" s="422">
        <f t="shared" si="10"/>
        <v>0</v>
      </c>
      <c r="J37" s="422">
        <f t="shared" si="10"/>
        <v>0</v>
      </c>
      <c r="K37" s="422">
        <f t="shared" si="10"/>
        <v>0</v>
      </c>
      <c r="L37" s="422">
        <f t="shared" si="10"/>
        <v>0</v>
      </c>
      <c r="M37" s="422">
        <f t="shared" si="10"/>
        <v>0</v>
      </c>
      <c r="N37" s="422">
        <f t="shared" si="10"/>
        <v>0</v>
      </c>
      <c r="O37" s="257">
        <f t="shared" ref="O37:O38" si="11">SUM(C37:N37)</f>
        <v>0</v>
      </c>
    </row>
    <row r="38" spans="2:17" s="4" customFormat="1" ht="16" x14ac:dyDescent="0.2">
      <c r="B38" s="669" t="s">
        <v>104</v>
      </c>
      <c r="C38" s="670">
        <f t="shared" si="9"/>
        <v>77012.425531914894</v>
      </c>
      <c r="D38" s="670">
        <f t="shared" ref="D38:N38" si="12">+D17+D24+D31</f>
        <v>85569.361702127673</v>
      </c>
      <c r="E38" s="670">
        <f t="shared" si="12"/>
        <v>98404.765957446827</v>
      </c>
      <c r="F38" s="670">
        <f t="shared" si="12"/>
        <v>89847.829787234048</v>
      </c>
      <c r="G38" s="670">
        <f t="shared" si="12"/>
        <v>89847.829787234048</v>
      </c>
      <c r="H38" s="670">
        <f t="shared" si="12"/>
        <v>94126.297872340423</v>
      </c>
      <c r="I38" s="670">
        <f t="shared" si="12"/>
        <v>94126.297872340423</v>
      </c>
      <c r="J38" s="670">
        <f t="shared" si="12"/>
        <v>51341.617021276594</v>
      </c>
      <c r="K38" s="670">
        <f t="shared" si="12"/>
        <v>94126.297872340423</v>
      </c>
      <c r="L38" s="670">
        <f t="shared" si="12"/>
        <v>89847.829787234048</v>
      </c>
      <c r="M38" s="670">
        <f t="shared" si="12"/>
        <v>89847.829787234048</v>
      </c>
      <c r="N38" s="670">
        <f t="shared" si="12"/>
        <v>51341.617021276594</v>
      </c>
      <c r="O38" s="258">
        <f t="shared" si="11"/>
        <v>1005440.0000000001</v>
      </c>
    </row>
    <row r="39" spans="2:17" s="4" customFormat="1" ht="17" thickBot="1" x14ac:dyDescent="0.25">
      <c r="B39" s="671" t="s">
        <v>904</v>
      </c>
      <c r="C39" s="672">
        <f>SUM(C36:C38)</f>
        <v>616686.94370075595</v>
      </c>
      <c r="D39" s="672">
        <f t="shared" ref="D39:N39" si="13">SUM(D36:D38)</f>
        <v>685207.71522306208</v>
      </c>
      <c r="E39" s="672">
        <f t="shared" si="13"/>
        <v>787988.87250652141</v>
      </c>
      <c r="F39" s="672">
        <f t="shared" si="13"/>
        <v>719468.10098421527</v>
      </c>
      <c r="G39" s="672">
        <f t="shared" si="13"/>
        <v>719468.10098421527</v>
      </c>
      <c r="H39" s="672">
        <f t="shared" si="13"/>
        <v>753728.48674536834</v>
      </c>
      <c r="I39" s="672">
        <f t="shared" si="13"/>
        <v>753728.48674536834</v>
      </c>
      <c r="J39" s="672">
        <f t="shared" si="13"/>
        <v>411124.6291338373</v>
      </c>
      <c r="K39" s="672">
        <f t="shared" si="13"/>
        <v>753728.48674536834</v>
      </c>
      <c r="L39" s="672">
        <f t="shared" si="13"/>
        <v>719468.10098421527</v>
      </c>
      <c r="M39" s="672">
        <f t="shared" si="13"/>
        <v>719468.10098421527</v>
      </c>
      <c r="N39" s="672">
        <f t="shared" si="13"/>
        <v>411124.6291338373</v>
      </c>
      <c r="O39" s="261">
        <f t="shared" ref="O39" si="14">SUM(O36:O38)</f>
        <v>8051190.6538709803</v>
      </c>
      <c r="Q39" s="94">
        <f>+O39-'Tab. 18'!Q151</f>
        <v>2.7008354663848877E-8</v>
      </c>
    </row>
  </sheetData>
  <mergeCells count="1">
    <mergeCell ref="C4:O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553A-BC9A-2647-A9EA-94A015A8A0E5}">
  <dimension ref="B2:O9"/>
  <sheetViews>
    <sheetView topLeftCell="A2" zoomScale="150" zoomScaleNormal="160" workbookViewId="0">
      <selection activeCell="E10" sqref="E10"/>
    </sheetView>
  </sheetViews>
  <sheetFormatPr baseColWidth="10" defaultRowHeight="13" x14ac:dyDescent="0.15"/>
  <cols>
    <col min="2" max="2" width="25.83203125" customWidth="1"/>
    <col min="3" max="3" width="13.83203125" bestFit="1" customWidth="1"/>
    <col min="4" max="14" width="11.1640625" bestFit="1" customWidth="1"/>
    <col min="15" max="15" width="12.33203125" bestFit="1" customWidth="1"/>
  </cols>
  <sheetData>
    <row r="2" spans="2:15" ht="16" x14ac:dyDescent="0.2">
      <c r="B2" s="4" t="s">
        <v>931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 ht="16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6" x14ac:dyDescent="0.2">
      <c r="B4" s="4" t="s">
        <v>930</v>
      </c>
      <c r="C4" s="87">
        <v>30500000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ht="17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ht="16" x14ac:dyDescent="0.2">
      <c r="B6" s="15"/>
      <c r="C6" s="768" t="s">
        <v>99</v>
      </c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70"/>
    </row>
    <row r="7" spans="2:15" ht="16" x14ac:dyDescent="0.2">
      <c r="B7" s="253"/>
      <c r="C7" s="622" t="s">
        <v>114</v>
      </c>
      <c r="D7" s="623" t="s">
        <v>115</v>
      </c>
      <c r="E7" s="623" t="s">
        <v>116</v>
      </c>
      <c r="F7" s="623" t="s">
        <v>117</v>
      </c>
      <c r="G7" s="623" t="s">
        <v>118</v>
      </c>
      <c r="H7" s="623" t="s">
        <v>119</v>
      </c>
      <c r="I7" s="623" t="s">
        <v>120</v>
      </c>
      <c r="J7" s="623" t="s">
        <v>121</v>
      </c>
      <c r="K7" s="623" t="s">
        <v>122</v>
      </c>
      <c r="L7" s="623" t="s">
        <v>123</v>
      </c>
      <c r="M7" s="623" t="s">
        <v>124</v>
      </c>
      <c r="N7" s="623" t="s">
        <v>125</v>
      </c>
      <c r="O7" s="673" t="s">
        <v>82</v>
      </c>
    </row>
    <row r="8" spans="2:15" ht="16" x14ac:dyDescent="0.2">
      <c r="B8" s="99"/>
      <c r="C8" s="249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257"/>
    </row>
    <row r="9" spans="2:15" ht="17" thickBot="1" x14ac:dyDescent="0.25">
      <c r="B9" s="259" t="s">
        <v>932</v>
      </c>
      <c r="C9" s="662">
        <f>$C$4/12</f>
        <v>2541666.6666666665</v>
      </c>
      <c r="D9" s="92">
        <f t="shared" ref="D9:N9" si="0">$C$4/12</f>
        <v>2541666.6666666665</v>
      </c>
      <c r="E9" s="92">
        <f t="shared" si="0"/>
        <v>2541666.6666666665</v>
      </c>
      <c r="F9" s="92">
        <f t="shared" si="0"/>
        <v>2541666.6666666665</v>
      </c>
      <c r="G9" s="92">
        <f t="shared" si="0"/>
        <v>2541666.6666666665</v>
      </c>
      <c r="H9" s="92">
        <f t="shared" si="0"/>
        <v>2541666.6666666665</v>
      </c>
      <c r="I9" s="92">
        <f t="shared" si="0"/>
        <v>2541666.6666666665</v>
      </c>
      <c r="J9" s="92">
        <f t="shared" si="0"/>
        <v>2541666.6666666665</v>
      </c>
      <c r="K9" s="92">
        <f t="shared" si="0"/>
        <v>2541666.6666666665</v>
      </c>
      <c r="L9" s="92">
        <f t="shared" si="0"/>
        <v>2541666.6666666665</v>
      </c>
      <c r="M9" s="92">
        <f t="shared" si="0"/>
        <v>2541666.6666666665</v>
      </c>
      <c r="N9" s="663">
        <f t="shared" si="0"/>
        <v>2541666.6666666665</v>
      </c>
      <c r="O9" s="261">
        <f>SUM(C9:N9)</f>
        <v>30500000.000000004</v>
      </c>
    </row>
  </sheetData>
  <mergeCells count="1">
    <mergeCell ref="C6:O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9CE3-570E-4746-9E6F-95A37ADABFED}">
  <dimension ref="B2:O16"/>
  <sheetViews>
    <sheetView zoomScale="170" zoomScaleNormal="170" workbookViewId="0">
      <selection activeCell="C14" sqref="C14"/>
    </sheetView>
  </sheetViews>
  <sheetFormatPr baseColWidth="10" defaultRowHeight="13" x14ac:dyDescent="0.15"/>
  <cols>
    <col min="2" max="2" width="27.33203125" customWidth="1"/>
    <col min="3" max="3" width="11.5" bestFit="1" customWidth="1"/>
    <col min="4" max="14" width="11" bestFit="1" customWidth="1"/>
    <col min="15" max="15" width="11.1640625" bestFit="1" customWidth="1"/>
  </cols>
  <sheetData>
    <row r="2" spans="2:15" ht="16" x14ac:dyDescent="0.2">
      <c r="B2" s="4" t="s">
        <v>933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 ht="16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6" x14ac:dyDescent="0.2">
      <c r="B4" s="4" t="s">
        <v>934</v>
      </c>
      <c r="C4" s="87">
        <v>10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ht="17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ht="16" x14ac:dyDescent="0.2">
      <c r="B6" s="15"/>
      <c r="C6" s="768" t="s">
        <v>99</v>
      </c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70"/>
    </row>
    <row r="7" spans="2:15" ht="16" x14ac:dyDescent="0.2">
      <c r="B7" s="253"/>
      <c r="C7" s="622" t="s">
        <v>114</v>
      </c>
      <c r="D7" s="623" t="s">
        <v>115</v>
      </c>
      <c r="E7" s="623" t="s">
        <v>116</v>
      </c>
      <c r="F7" s="623" t="s">
        <v>117</v>
      </c>
      <c r="G7" s="623" t="s">
        <v>118</v>
      </c>
      <c r="H7" s="623" t="s">
        <v>119</v>
      </c>
      <c r="I7" s="623" t="s">
        <v>120</v>
      </c>
      <c r="J7" s="623" t="s">
        <v>121</v>
      </c>
      <c r="K7" s="623" t="s">
        <v>122</v>
      </c>
      <c r="L7" s="623" t="s">
        <v>123</v>
      </c>
      <c r="M7" s="623" t="s">
        <v>124</v>
      </c>
      <c r="N7" s="623" t="s">
        <v>125</v>
      </c>
      <c r="O7" s="673" t="s">
        <v>82</v>
      </c>
    </row>
    <row r="8" spans="2:15" ht="16" x14ac:dyDescent="0.2">
      <c r="B8" s="99"/>
      <c r="C8" s="249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257"/>
    </row>
    <row r="9" spans="2:15" ht="16" x14ac:dyDescent="0.2">
      <c r="B9" s="661" t="s">
        <v>936</v>
      </c>
      <c r="C9" s="249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257"/>
    </row>
    <row r="10" spans="2:15" ht="16" x14ac:dyDescent="0.2">
      <c r="B10" s="99" t="s">
        <v>92</v>
      </c>
      <c r="C10" s="39">
        <f>CEILING(+QUANTITÀ!B11,1)</f>
        <v>52288</v>
      </c>
      <c r="D10" s="38">
        <f>CEILING(+QUANTITÀ!C11,1)</f>
        <v>58098</v>
      </c>
      <c r="E10" s="38">
        <f>CEILING(+QUANTITÀ!D11,1)</f>
        <v>66813</v>
      </c>
      <c r="F10" s="38">
        <f>CEILING(+QUANTITÀ!E11,1)</f>
        <v>61003</v>
      </c>
      <c r="G10" s="38">
        <f>CEILING(+QUANTITÀ!F11,1)</f>
        <v>61003</v>
      </c>
      <c r="H10" s="38">
        <f>CEILING(+QUANTITÀ!G11,1)</f>
        <v>63908</v>
      </c>
      <c r="I10" s="38">
        <f>CEILING(+QUANTITÀ!H11,1)</f>
        <v>63908</v>
      </c>
      <c r="J10" s="38">
        <f>CEILING(+QUANTITÀ!I11,1)</f>
        <v>34859</v>
      </c>
      <c r="K10" s="38">
        <f>CEILING(+QUANTITÀ!J11,1)</f>
        <v>63908</v>
      </c>
      <c r="L10" s="38">
        <f>CEILING(+QUANTITÀ!K11,1)</f>
        <v>61003</v>
      </c>
      <c r="M10" s="38">
        <f>CEILING(+QUANTITÀ!L11,1)</f>
        <v>61003</v>
      </c>
      <c r="N10" s="38">
        <f>CEILING(+QUANTITÀ!M11,1)</f>
        <v>34859</v>
      </c>
      <c r="O10" s="674">
        <f t="shared" ref="O10:O11" si="0">SUM(C10:N10)</f>
        <v>682653</v>
      </c>
    </row>
    <row r="11" spans="2:15" ht="16" x14ac:dyDescent="0.2">
      <c r="B11" s="99" t="s">
        <v>93</v>
      </c>
      <c r="C11" s="39">
        <f>CEILING(QUANTITÀ!B18,1)</f>
        <v>3207</v>
      </c>
      <c r="D11" s="38">
        <f>CEILING(QUANTITÀ!C18,1)</f>
        <v>3564</v>
      </c>
      <c r="E11" s="38">
        <f>CEILING(QUANTITÀ!D18,1)</f>
        <v>4098</v>
      </c>
      <c r="F11" s="38">
        <f>CEILING(QUANTITÀ!E18,1)</f>
        <v>3742</v>
      </c>
      <c r="G11" s="38">
        <f>CEILING(QUANTITÀ!F18,1)</f>
        <v>3742</v>
      </c>
      <c r="H11" s="38">
        <f>CEILING(QUANTITÀ!G18,1)</f>
        <v>3920</v>
      </c>
      <c r="I11" s="38">
        <f>CEILING(QUANTITÀ!H18,1)</f>
        <v>3920</v>
      </c>
      <c r="J11" s="38">
        <f>CEILING(QUANTITÀ!I18,1)</f>
        <v>2138</v>
      </c>
      <c r="K11" s="38">
        <f>CEILING(QUANTITÀ!J18,1)</f>
        <v>3920</v>
      </c>
      <c r="L11" s="38">
        <f>CEILING(QUANTITÀ!K18,1)</f>
        <v>3742</v>
      </c>
      <c r="M11" s="38">
        <f>CEILING(QUANTITÀ!L18,1)</f>
        <v>3742</v>
      </c>
      <c r="N11" s="38">
        <f>CEILING(QUANTITÀ!M18,1)</f>
        <v>2138</v>
      </c>
      <c r="O11" s="674">
        <f t="shared" si="0"/>
        <v>41873</v>
      </c>
    </row>
    <row r="12" spans="2:15" ht="16" x14ac:dyDescent="0.2">
      <c r="B12" s="99"/>
      <c r="C12" s="3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674"/>
    </row>
    <row r="13" spans="2:15" ht="16" x14ac:dyDescent="0.2">
      <c r="B13" s="661" t="s">
        <v>937</v>
      </c>
      <c r="C13" s="3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674"/>
    </row>
    <row r="14" spans="2:15" ht="16" x14ac:dyDescent="0.2">
      <c r="B14" s="99" t="s">
        <v>92</v>
      </c>
      <c r="C14" s="249">
        <f>$C$4*C10</f>
        <v>522880</v>
      </c>
      <c r="D14" s="38">
        <f t="shared" ref="D14:N14" si="1">$C$4*D10</f>
        <v>580980</v>
      </c>
      <c r="E14" s="38">
        <f t="shared" si="1"/>
        <v>668130</v>
      </c>
      <c r="F14" s="38">
        <f t="shared" si="1"/>
        <v>610030</v>
      </c>
      <c r="G14" s="38">
        <f t="shared" si="1"/>
        <v>610030</v>
      </c>
      <c r="H14" s="38">
        <f t="shared" si="1"/>
        <v>639080</v>
      </c>
      <c r="I14" s="38">
        <f t="shared" si="1"/>
        <v>639080</v>
      </c>
      <c r="J14" s="38">
        <f t="shared" si="1"/>
        <v>348590</v>
      </c>
      <c r="K14" s="38">
        <f t="shared" si="1"/>
        <v>639080</v>
      </c>
      <c r="L14" s="38">
        <f t="shared" si="1"/>
        <v>610030</v>
      </c>
      <c r="M14" s="38">
        <f t="shared" si="1"/>
        <v>610030</v>
      </c>
      <c r="N14" s="38">
        <f t="shared" si="1"/>
        <v>348590</v>
      </c>
      <c r="O14" s="674">
        <f t="shared" ref="O14:O15" si="2">SUM(C14:N14)</f>
        <v>6826530</v>
      </c>
    </row>
    <row r="15" spans="2:15" ht="16" x14ac:dyDescent="0.2">
      <c r="B15" s="99" t="s">
        <v>93</v>
      </c>
      <c r="C15" s="249">
        <f>$C$4*C11</f>
        <v>32070</v>
      </c>
      <c r="D15" s="38">
        <f t="shared" ref="D15:N15" si="3">$C$4*D11</f>
        <v>35640</v>
      </c>
      <c r="E15" s="38">
        <f t="shared" si="3"/>
        <v>40980</v>
      </c>
      <c r="F15" s="38">
        <f t="shared" si="3"/>
        <v>37420</v>
      </c>
      <c r="G15" s="38">
        <f t="shared" si="3"/>
        <v>37420</v>
      </c>
      <c r="H15" s="38">
        <f t="shared" si="3"/>
        <v>39200</v>
      </c>
      <c r="I15" s="38">
        <f t="shared" si="3"/>
        <v>39200</v>
      </c>
      <c r="J15" s="38">
        <f t="shared" si="3"/>
        <v>21380</v>
      </c>
      <c r="K15" s="38">
        <f t="shared" si="3"/>
        <v>39200</v>
      </c>
      <c r="L15" s="38">
        <f t="shared" si="3"/>
        <v>37420</v>
      </c>
      <c r="M15" s="38">
        <f t="shared" si="3"/>
        <v>37420</v>
      </c>
      <c r="N15" s="38">
        <f t="shared" si="3"/>
        <v>21380</v>
      </c>
      <c r="O15" s="674">
        <f t="shared" si="2"/>
        <v>418730</v>
      </c>
    </row>
    <row r="16" spans="2:15" ht="17" thickBot="1" x14ac:dyDescent="0.25">
      <c r="B16" s="259" t="s">
        <v>935</v>
      </c>
      <c r="C16" s="662">
        <f>SUM(C14:C15)</f>
        <v>554950</v>
      </c>
      <c r="D16" s="92">
        <f t="shared" ref="D16:N16" si="4">SUM(D14:D15)</f>
        <v>616620</v>
      </c>
      <c r="E16" s="92">
        <f t="shared" si="4"/>
        <v>709110</v>
      </c>
      <c r="F16" s="92">
        <f t="shared" si="4"/>
        <v>647450</v>
      </c>
      <c r="G16" s="92">
        <f t="shared" si="4"/>
        <v>647450</v>
      </c>
      <c r="H16" s="92">
        <f t="shared" si="4"/>
        <v>678280</v>
      </c>
      <c r="I16" s="92">
        <f t="shared" si="4"/>
        <v>678280</v>
      </c>
      <c r="J16" s="92">
        <f t="shared" si="4"/>
        <v>369970</v>
      </c>
      <c r="K16" s="92">
        <f t="shared" si="4"/>
        <v>678280</v>
      </c>
      <c r="L16" s="92">
        <f t="shared" si="4"/>
        <v>647450</v>
      </c>
      <c r="M16" s="92">
        <f t="shared" si="4"/>
        <v>647450</v>
      </c>
      <c r="N16" s="663">
        <f t="shared" si="4"/>
        <v>369970</v>
      </c>
      <c r="O16" s="664">
        <f>SUM(C16:N16)</f>
        <v>7245260</v>
      </c>
    </row>
  </sheetData>
  <mergeCells count="1">
    <mergeCell ref="C6:O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655B-E476-2C40-9285-EDC39AEDF7B2}">
  <dimension ref="B2:O40"/>
  <sheetViews>
    <sheetView showGridLines="0" zoomScale="169" zoomScaleNormal="150" workbookViewId="0">
      <selection activeCell="C29" sqref="C29"/>
    </sheetView>
  </sheetViews>
  <sheetFormatPr baseColWidth="10" defaultRowHeight="13" outlineLevelRow="1" x14ac:dyDescent="0.15"/>
  <cols>
    <col min="2" max="2" width="32.5" customWidth="1"/>
    <col min="3" max="14" width="12.6640625" bestFit="1" customWidth="1"/>
    <col min="15" max="15" width="14.5" bestFit="1" customWidth="1"/>
  </cols>
  <sheetData>
    <row r="2" spans="2:15" ht="16" x14ac:dyDescent="0.2">
      <c r="B2" s="4" t="s">
        <v>952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 ht="16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7" thickBo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ht="16" x14ac:dyDescent="0.2">
      <c r="B5" s="15"/>
      <c r="C5" s="768" t="s">
        <v>99</v>
      </c>
      <c r="D5" s="769"/>
      <c r="E5" s="769"/>
      <c r="F5" s="769"/>
      <c r="G5" s="769"/>
      <c r="H5" s="769"/>
      <c r="I5" s="769"/>
      <c r="J5" s="769"/>
      <c r="K5" s="769"/>
      <c r="L5" s="769"/>
      <c r="M5" s="769"/>
      <c r="N5" s="769"/>
      <c r="O5" s="770"/>
    </row>
    <row r="6" spans="2:15" ht="16" x14ac:dyDescent="0.2">
      <c r="B6" s="253"/>
      <c r="C6" s="624" t="s">
        <v>114</v>
      </c>
      <c r="D6" s="625" t="s">
        <v>115</v>
      </c>
      <c r="E6" s="625" t="s">
        <v>116</v>
      </c>
      <c r="F6" s="625" t="s">
        <v>117</v>
      </c>
      <c r="G6" s="625" t="s">
        <v>118</v>
      </c>
      <c r="H6" s="625" t="s">
        <v>119</v>
      </c>
      <c r="I6" s="625" t="s">
        <v>120</v>
      </c>
      <c r="J6" s="625" t="s">
        <v>121</v>
      </c>
      <c r="K6" s="625" t="s">
        <v>122</v>
      </c>
      <c r="L6" s="625" t="s">
        <v>123</v>
      </c>
      <c r="M6" s="625" t="s">
        <v>124</v>
      </c>
      <c r="N6" s="625" t="s">
        <v>125</v>
      </c>
      <c r="O6" s="673" t="s">
        <v>82</v>
      </c>
    </row>
    <row r="7" spans="2:15" ht="16" x14ac:dyDescent="0.2">
      <c r="B7" s="99"/>
      <c r="C7" s="249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257"/>
    </row>
    <row r="8" spans="2:15" ht="16" x14ac:dyDescent="0.2">
      <c r="B8" s="99" t="s">
        <v>331</v>
      </c>
      <c r="C8" s="249">
        <f>'Tab. 21'!C16</f>
        <v>554950</v>
      </c>
      <c r="D8" s="91">
        <f>'Tab. 21'!D16</f>
        <v>616620</v>
      </c>
      <c r="E8" s="91">
        <f>'Tab. 21'!E16</f>
        <v>709110</v>
      </c>
      <c r="F8" s="91">
        <f>'Tab. 21'!F16</f>
        <v>647450</v>
      </c>
      <c r="G8" s="91">
        <f>'Tab. 21'!G16</f>
        <v>647450</v>
      </c>
      <c r="H8" s="91">
        <f>'Tab. 21'!H16</f>
        <v>678280</v>
      </c>
      <c r="I8" s="91">
        <f>'Tab. 21'!I16</f>
        <v>678280</v>
      </c>
      <c r="J8" s="91">
        <f>'Tab. 21'!J16</f>
        <v>369970</v>
      </c>
      <c r="K8" s="91">
        <f>'Tab. 21'!K16</f>
        <v>678280</v>
      </c>
      <c r="L8" s="91">
        <f>'Tab. 21'!L16</f>
        <v>647450</v>
      </c>
      <c r="M8" s="91">
        <f>'Tab. 21'!M16</f>
        <v>647450</v>
      </c>
      <c r="N8" s="91">
        <f>'Tab. 21'!N16</f>
        <v>369970</v>
      </c>
      <c r="O8" s="257">
        <f>SUM(C8:N8)</f>
        <v>7245260</v>
      </c>
    </row>
    <row r="9" spans="2:15" ht="16" x14ac:dyDescent="0.2">
      <c r="B9" s="99" t="s">
        <v>950</v>
      </c>
      <c r="C9" s="249">
        <f>'Tab. 19'!C39</f>
        <v>616686.94370075595</v>
      </c>
      <c r="D9" s="91">
        <f>'Tab. 19'!D39</f>
        <v>685207.71522306208</v>
      </c>
      <c r="E9" s="91">
        <f>'Tab. 19'!E39</f>
        <v>787988.87250652141</v>
      </c>
      <c r="F9" s="91">
        <f>'Tab. 19'!F39</f>
        <v>719468.10098421527</v>
      </c>
      <c r="G9" s="91">
        <f>'Tab. 19'!G39</f>
        <v>719468.10098421527</v>
      </c>
      <c r="H9" s="91">
        <f>'Tab. 19'!H39</f>
        <v>753728.48674536834</v>
      </c>
      <c r="I9" s="91">
        <f>'Tab. 19'!I39</f>
        <v>753728.48674536834</v>
      </c>
      <c r="J9" s="91">
        <f>'Tab. 19'!J39</f>
        <v>411124.6291338373</v>
      </c>
      <c r="K9" s="91">
        <f>'Tab. 19'!K39</f>
        <v>753728.48674536834</v>
      </c>
      <c r="L9" s="91">
        <f>'Tab. 19'!L39</f>
        <v>719468.10098421527</v>
      </c>
      <c r="M9" s="91">
        <f>'Tab. 19'!M39</f>
        <v>719468.10098421527</v>
      </c>
      <c r="N9" s="91">
        <f>'Tab. 19'!N39</f>
        <v>411124.6291338373</v>
      </c>
      <c r="O9" s="257">
        <f>SUM(C9:N9)</f>
        <v>8051190.6538709812</v>
      </c>
    </row>
    <row r="10" spans="2:15" ht="16" x14ac:dyDescent="0.2">
      <c r="B10" s="99" t="s">
        <v>126</v>
      </c>
      <c r="C10" s="249">
        <f>'Tab. 4'!C13</f>
        <v>145647.98292107071</v>
      </c>
      <c r="D10" s="91">
        <f>'Tab. 4'!D13</f>
        <v>161831.092134523</v>
      </c>
      <c r="E10" s="91">
        <f>'Tab. 4'!E13</f>
        <v>186105.75595470148</v>
      </c>
      <c r="F10" s="91">
        <f>'Tab. 4'!F13</f>
        <v>169922.64674124913</v>
      </c>
      <c r="G10" s="91">
        <f>'Tab. 4'!G13</f>
        <v>169922.64674124913</v>
      </c>
      <c r="H10" s="91">
        <f>'Tab. 4'!H13</f>
        <v>178014.20134797529</v>
      </c>
      <c r="I10" s="91">
        <f>'Tab. 4'!I13</f>
        <v>178014.20134797529</v>
      </c>
      <c r="J10" s="91">
        <f>'Tab. 4'!J13</f>
        <v>97098.655280713807</v>
      </c>
      <c r="K10" s="91">
        <f>'Tab. 4'!K13</f>
        <v>178014.20134797529</v>
      </c>
      <c r="L10" s="91">
        <f>'Tab. 4'!L13</f>
        <v>169922.64674124913</v>
      </c>
      <c r="M10" s="91">
        <f>'Tab. 4'!M13</f>
        <v>169922.64674124913</v>
      </c>
      <c r="N10" s="91">
        <f>'Tab. 4'!N13</f>
        <v>97098.655280713807</v>
      </c>
      <c r="O10" s="257">
        <f>SUM(C10:N10)</f>
        <v>1901515.3325806451</v>
      </c>
    </row>
    <row r="11" spans="2:15" ht="16" x14ac:dyDescent="0.2">
      <c r="B11" s="99" t="s">
        <v>953</v>
      </c>
      <c r="C11" s="249">
        <f>'Tab. 20'!C9</f>
        <v>2541666.6666666665</v>
      </c>
      <c r="D11" s="91">
        <f>'Tab. 20'!D9</f>
        <v>2541666.6666666665</v>
      </c>
      <c r="E11" s="91">
        <f>'Tab. 20'!E9</f>
        <v>2541666.6666666665</v>
      </c>
      <c r="F11" s="91">
        <f>'Tab. 20'!F9</f>
        <v>2541666.6666666665</v>
      </c>
      <c r="G11" s="91">
        <f>'Tab. 20'!G9</f>
        <v>2541666.6666666665</v>
      </c>
      <c r="H11" s="91">
        <f>'Tab. 20'!H9</f>
        <v>2541666.6666666665</v>
      </c>
      <c r="I11" s="91">
        <f>'Tab. 20'!I9</f>
        <v>2541666.6666666665</v>
      </c>
      <c r="J11" s="91">
        <f>'Tab. 20'!J9</f>
        <v>2541666.6666666665</v>
      </c>
      <c r="K11" s="91">
        <f>'Tab. 20'!K9</f>
        <v>2541666.6666666665</v>
      </c>
      <c r="L11" s="91">
        <f>'Tab. 20'!L9</f>
        <v>2541666.6666666665</v>
      </c>
      <c r="M11" s="91">
        <f>'Tab. 20'!M9</f>
        <v>2541666.6666666665</v>
      </c>
      <c r="N11" s="91">
        <f>'Tab. 20'!N9</f>
        <v>2541666.6666666665</v>
      </c>
      <c r="O11" s="257">
        <f>SUM(C11:N11)</f>
        <v>30500000.000000004</v>
      </c>
    </row>
    <row r="12" spans="2:15" s="682" customFormat="1" ht="16" outlineLevel="1" x14ac:dyDescent="0.2">
      <c r="B12" s="678" t="s">
        <v>954</v>
      </c>
      <c r="C12" s="679">
        <f>'Tab. 15'!$J$19/'Tab. 11'!$O$8*'Tab. 11'!C$8</f>
        <v>28704.313873702413</v>
      </c>
      <c r="D12" s="680">
        <f>'Tab. 15'!$J$19/'Tab. 11'!$O$8*'Tab. 11'!D$8</f>
        <v>31893.682081891569</v>
      </c>
      <c r="E12" s="680">
        <f>'Tab. 15'!$J$19/'Tab. 11'!$O$8*'Tab. 11'!E$8</f>
        <v>36677.734394175306</v>
      </c>
      <c r="F12" s="680">
        <f>'Tab. 15'!$J$19/'Tab. 11'!$O$8*'Tab. 11'!F$8</f>
        <v>33488.366185986146</v>
      </c>
      <c r="G12" s="680">
        <f>'Tab. 15'!$J$19/'Tab. 11'!$O$8*'Tab. 11'!G$8</f>
        <v>33488.366185986146</v>
      </c>
      <c r="H12" s="680">
        <f>'Tab. 15'!$J$19/'Tab. 11'!$O$8*'Tab. 11'!H$8</f>
        <v>35083.050290080726</v>
      </c>
      <c r="I12" s="680">
        <f>'Tab. 15'!$J$19/'Tab. 11'!$O$8*'Tab. 11'!I$8</f>
        <v>35083.050290080726</v>
      </c>
      <c r="J12" s="680">
        <f>'Tab. 15'!$J$19/'Tab. 11'!$O$8*'Tab. 11'!J$8</f>
        <v>19136.209249134943</v>
      </c>
      <c r="K12" s="680">
        <f>'Tab. 15'!$J$19/'Tab. 11'!$O$8*'Tab. 11'!K$8</f>
        <v>35083.050290080726</v>
      </c>
      <c r="L12" s="680">
        <f>'Tab. 15'!$J$19/'Tab. 11'!$O$8*'Tab. 11'!L$8</f>
        <v>33488.366185986146</v>
      </c>
      <c r="M12" s="680">
        <f>'Tab. 15'!$J$19/'Tab. 11'!$O$8*'Tab. 11'!M$8</f>
        <v>33488.366185986146</v>
      </c>
      <c r="N12" s="680">
        <f>'Tab. 15'!$J$19/'Tab. 11'!$O$8*'Tab. 11'!N$8</f>
        <v>19136.209249134943</v>
      </c>
      <c r="O12" s="681">
        <f t="shared" ref="O12:O17" si="0">SUM(C12:N12)</f>
        <v>374750.7644622259</v>
      </c>
    </row>
    <row r="13" spans="2:15" s="682" customFormat="1" ht="16" outlineLevel="1" x14ac:dyDescent="0.2">
      <c r="B13" s="678" t="s">
        <v>305</v>
      </c>
      <c r="C13" s="679">
        <f>'Tab. 10'!$K$10/'Tab. 11'!$O$8*'Tab. 11'!C$8</f>
        <v>4714.9172212652484</v>
      </c>
      <c r="D13" s="680">
        <f>'Tab. 10'!$K$10/'Tab. 11'!$O$8*'Tab. 11'!D$8</f>
        <v>5238.796912516942</v>
      </c>
      <c r="E13" s="680">
        <f>'Tab. 10'!$K$10/'Tab. 11'!$O$8*'Tab. 11'!E$8</f>
        <v>6024.6164493944834</v>
      </c>
      <c r="F13" s="680">
        <f>'Tab. 10'!$K$10/'Tab. 11'!$O$8*'Tab. 11'!F$8</f>
        <v>5500.7367581427898</v>
      </c>
      <c r="G13" s="680">
        <f>'Tab. 10'!$K$10/'Tab. 11'!$O$8*'Tab. 11'!G$8</f>
        <v>5500.7367581427898</v>
      </c>
      <c r="H13" s="680">
        <f>'Tab. 10'!$K$10/'Tab. 11'!$O$8*'Tab. 11'!H$8</f>
        <v>5762.6766037686366</v>
      </c>
      <c r="I13" s="680">
        <f>'Tab. 10'!$K$10/'Tab. 11'!$O$8*'Tab. 11'!I$8</f>
        <v>5762.6766037686366</v>
      </c>
      <c r="J13" s="680">
        <f>'Tab. 10'!$K$10/'Tab. 11'!$O$8*'Tab. 11'!J$8</f>
        <v>3143.2781475101656</v>
      </c>
      <c r="K13" s="680">
        <f>'Tab. 10'!$K$10/'Tab. 11'!$O$8*'Tab. 11'!K$8</f>
        <v>5762.6766037686366</v>
      </c>
      <c r="L13" s="680">
        <f>'Tab. 10'!$K$10/'Tab. 11'!$O$8*'Tab. 11'!L$8</f>
        <v>5500.7367581427898</v>
      </c>
      <c r="M13" s="680">
        <f>'Tab. 10'!$K$10/'Tab. 11'!$O$8*'Tab. 11'!M$8</f>
        <v>5500.7367581427898</v>
      </c>
      <c r="N13" s="680">
        <f>'Tab. 10'!$K$10/'Tab. 11'!$O$8*'Tab. 11'!N$8</f>
        <v>3143.2781475101656</v>
      </c>
      <c r="O13" s="681">
        <f t="shared" si="0"/>
        <v>61555.863722074078</v>
      </c>
    </row>
    <row r="14" spans="2:15" s="682" customFormat="1" ht="16" outlineLevel="1" x14ac:dyDescent="0.2">
      <c r="B14" s="678" t="s">
        <v>332</v>
      </c>
      <c r="C14" s="679">
        <f>'Tab. 11'!C54</f>
        <v>86824.083442289411</v>
      </c>
      <c r="D14" s="680">
        <f>'Tab. 11'!D54</f>
        <v>86824.083442289411</v>
      </c>
      <c r="E14" s="680">
        <f>'Tab. 11'!E54</f>
        <v>99847.695958632801</v>
      </c>
      <c r="F14" s="680">
        <f>'Tab. 11'!F54</f>
        <v>91165.287614403889</v>
      </c>
      <c r="G14" s="680">
        <f>'Tab. 11'!G54</f>
        <v>91165.287614403889</v>
      </c>
      <c r="H14" s="680">
        <f>'Tab. 11'!H54</f>
        <v>95506.491786518352</v>
      </c>
      <c r="I14" s="680">
        <f>'Tab. 11'!I54</f>
        <v>95506.491786518352</v>
      </c>
      <c r="J14" s="680">
        <f>'Tab. 11'!J54</f>
        <v>95506.491786518352</v>
      </c>
      <c r="K14" s="680">
        <f>'Tab. 11'!K54</f>
        <v>95506.491786518352</v>
      </c>
      <c r="L14" s="680">
        <f>'Tab. 11'!L54</f>
        <v>91165.287614403889</v>
      </c>
      <c r="M14" s="680">
        <f>'Tab. 11'!M54</f>
        <v>91165.287614403889</v>
      </c>
      <c r="N14" s="680">
        <f>'Tab. 11'!N54</f>
        <v>104188.90013074728</v>
      </c>
      <c r="O14" s="681">
        <f t="shared" si="0"/>
        <v>1124371.8805776478</v>
      </c>
    </row>
    <row r="15" spans="2:15" ht="16" x14ac:dyDescent="0.2">
      <c r="B15" s="99" t="s">
        <v>940</v>
      </c>
      <c r="C15" s="249">
        <f>SUM(C12:C14)</f>
        <v>120243.31453725707</v>
      </c>
      <c r="D15" s="91">
        <f t="shared" ref="D15:N15" si="1">SUM(D12:D14)</f>
        <v>123956.56243669792</v>
      </c>
      <c r="E15" s="91">
        <f t="shared" si="1"/>
        <v>142550.04680220259</v>
      </c>
      <c r="F15" s="91">
        <f t="shared" si="1"/>
        <v>130154.39055853282</v>
      </c>
      <c r="G15" s="91">
        <f t="shared" si="1"/>
        <v>130154.39055853282</v>
      </c>
      <c r="H15" s="91">
        <f t="shared" si="1"/>
        <v>136352.21868036772</v>
      </c>
      <c r="I15" s="91">
        <f t="shared" si="1"/>
        <v>136352.21868036772</v>
      </c>
      <c r="J15" s="91">
        <f t="shared" si="1"/>
        <v>117785.97918316346</v>
      </c>
      <c r="K15" s="91">
        <f t="shared" si="1"/>
        <v>136352.21868036772</v>
      </c>
      <c r="L15" s="91">
        <f t="shared" si="1"/>
        <v>130154.39055853282</v>
      </c>
      <c r="M15" s="91">
        <f t="shared" si="1"/>
        <v>130154.39055853282</v>
      </c>
      <c r="N15" s="91">
        <f t="shared" si="1"/>
        <v>126468.38752739239</v>
      </c>
      <c r="O15" s="257">
        <f t="shared" si="0"/>
        <v>1560678.508761948</v>
      </c>
    </row>
    <row r="16" spans="2:15" ht="16" x14ac:dyDescent="0.2">
      <c r="B16" s="99" t="s">
        <v>52</v>
      </c>
      <c r="C16" s="249">
        <f>'All. 6'!$C$33/12</f>
        <v>30800</v>
      </c>
      <c r="D16" s="91">
        <f>'All. 6'!$C$33/12</f>
        <v>30800</v>
      </c>
      <c r="E16" s="91">
        <f>'All. 6'!$C$33/12</f>
        <v>30800</v>
      </c>
      <c r="F16" s="91">
        <f>'All. 6'!$C$33/12</f>
        <v>30800</v>
      </c>
      <c r="G16" s="91">
        <f>'All. 6'!$C$33/12</f>
        <v>30800</v>
      </c>
      <c r="H16" s="91">
        <f>'All. 6'!$C$33/12</f>
        <v>30800</v>
      </c>
      <c r="I16" s="91">
        <f>'All. 6'!$C$33/12</f>
        <v>30800</v>
      </c>
      <c r="J16" s="91">
        <f>'All. 6'!$C$33/12</f>
        <v>30800</v>
      </c>
      <c r="K16" s="91">
        <f>'All. 6'!$C$33/12</f>
        <v>30800</v>
      </c>
      <c r="L16" s="91">
        <f>'All. 6'!$C$33/12</f>
        <v>30800</v>
      </c>
      <c r="M16" s="91">
        <f>'All. 6'!$C$33/12</f>
        <v>30800</v>
      </c>
      <c r="N16" s="91">
        <f>'All. 6'!$C$33/12</f>
        <v>30800</v>
      </c>
      <c r="O16" s="257">
        <f t="shared" si="0"/>
        <v>369600</v>
      </c>
    </row>
    <row r="17" spans="2:15" ht="16" x14ac:dyDescent="0.2">
      <c r="B17" s="99" t="s">
        <v>941</v>
      </c>
      <c r="C17" s="249">
        <f>'All. 6'!$C$42/'Tab. 4'!$O$9*'Tab. 4'!C9</f>
        <v>27561.446808510638</v>
      </c>
      <c r="D17" s="91">
        <f>'All. 6'!$C$42/'Tab. 4'!$O$9*'Tab. 4'!D9</f>
        <v>30623.829787234044</v>
      </c>
      <c r="E17" s="91">
        <f>'All. 6'!$C$42/'Tab. 4'!$O$9*'Tab. 4'!E9</f>
        <v>35217.404255319154</v>
      </c>
      <c r="F17" s="91">
        <f>'All. 6'!$C$42/'Tab. 4'!$O$9*'Tab. 4'!F9</f>
        <v>32155.021276595744</v>
      </c>
      <c r="G17" s="91">
        <f>'All. 6'!$C$42/'Tab. 4'!$O$9*'Tab. 4'!G9</f>
        <v>32155.021276595744</v>
      </c>
      <c r="H17" s="91">
        <f>'All. 6'!$C$42/'Tab. 4'!$O$9*'Tab. 4'!H9</f>
        <v>33686.212765957447</v>
      </c>
      <c r="I17" s="91">
        <f>'All. 6'!$C$42/'Tab. 4'!$O$9*'Tab. 4'!I9</f>
        <v>33686.212765957447</v>
      </c>
      <c r="J17" s="91">
        <f>'All. 6'!$C$42/'Tab. 4'!$O$9*'Tab. 4'!J9</f>
        <v>18374.297872340423</v>
      </c>
      <c r="K17" s="91">
        <f>'All. 6'!$C$42/'Tab. 4'!$O$9*'Tab. 4'!K9</f>
        <v>33686.212765957447</v>
      </c>
      <c r="L17" s="91">
        <f>'All. 6'!$C$42/'Tab. 4'!$O$9*'Tab. 4'!L9</f>
        <v>32155.021276595744</v>
      </c>
      <c r="M17" s="91">
        <f>'All. 6'!$C$42/'Tab. 4'!$O$9*'Tab. 4'!M9</f>
        <v>32155.021276595744</v>
      </c>
      <c r="N17" s="91">
        <f>'All. 6'!$C$42/'Tab. 4'!$O$9*'Tab. 4'!N9</f>
        <v>18374.297872340423</v>
      </c>
      <c r="O17" s="257">
        <f t="shared" si="0"/>
        <v>359830.00000000006</v>
      </c>
    </row>
    <row r="18" spans="2:15" ht="17" thickBot="1" x14ac:dyDescent="0.25">
      <c r="B18" s="259" t="s">
        <v>942</v>
      </c>
      <c r="C18" s="662">
        <f>+C8+C9+C10+C11+C15+C17</f>
        <v>4006756.3546342608</v>
      </c>
      <c r="D18" s="92">
        <f t="shared" ref="D18:O18" si="2">+D8+D9+D10+D11+D15+D17</f>
        <v>4159905.8662481834</v>
      </c>
      <c r="E18" s="92">
        <f t="shared" si="2"/>
        <v>4402638.7461854108</v>
      </c>
      <c r="F18" s="92">
        <f t="shared" si="2"/>
        <v>4240816.8262272598</v>
      </c>
      <c r="G18" s="92">
        <f t="shared" si="2"/>
        <v>4240816.8262272598</v>
      </c>
      <c r="H18" s="92">
        <f t="shared" si="2"/>
        <v>4321727.7862063348</v>
      </c>
      <c r="I18" s="92">
        <f t="shared" si="2"/>
        <v>4321727.7862063348</v>
      </c>
      <c r="J18" s="92">
        <f t="shared" si="2"/>
        <v>3556020.2281367215</v>
      </c>
      <c r="K18" s="92">
        <f t="shared" si="2"/>
        <v>4321727.7862063348</v>
      </c>
      <c r="L18" s="92">
        <f t="shared" si="2"/>
        <v>4240816.8262272598</v>
      </c>
      <c r="M18" s="92">
        <f t="shared" si="2"/>
        <v>4240816.8262272598</v>
      </c>
      <c r="N18" s="92">
        <f t="shared" si="2"/>
        <v>3564702.6364809503</v>
      </c>
      <c r="O18" s="664">
        <f t="shared" si="2"/>
        <v>49618474.495213576</v>
      </c>
    </row>
    <row r="19" spans="2:15" x14ac:dyDescent="0.15">
      <c r="B19" s="516"/>
      <c r="C19" s="700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701"/>
      <c r="O19" s="684"/>
    </row>
    <row r="20" spans="2:15" x14ac:dyDescent="0.15">
      <c r="B20" s="516"/>
      <c r="C20" s="702"/>
      <c r="D20" s="1"/>
      <c r="E20" s="1"/>
      <c r="F20" s="1"/>
      <c r="G20" s="1"/>
      <c r="H20" s="1"/>
      <c r="I20" s="1"/>
      <c r="J20" s="1"/>
      <c r="K20" s="1"/>
      <c r="L20" s="1"/>
      <c r="M20" s="1"/>
      <c r="N20" s="703"/>
      <c r="O20" s="684"/>
    </row>
    <row r="21" spans="2:15" s="682" customFormat="1" ht="16" outlineLevel="1" x14ac:dyDescent="0.2">
      <c r="B21" s="678" t="s">
        <v>379</v>
      </c>
      <c r="C21" s="679">
        <f>'Tab. 11'!C18</f>
        <v>12380.758951807522</v>
      </c>
      <c r="D21" s="680">
        <f>'Tab. 11'!D18</f>
        <v>12380.758951807522</v>
      </c>
      <c r="E21" s="680">
        <f>'Tab. 11'!E18</f>
        <v>14237.87279457865</v>
      </c>
      <c r="F21" s="680">
        <f>'Tab. 11'!F18</f>
        <v>12999.796899397899</v>
      </c>
      <c r="G21" s="680">
        <f>'Tab. 11'!G18</f>
        <v>12999.796899397899</v>
      </c>
      <c r="H21" s="680">
        <f>'Tab. 11'!H18</f>
        <v>13618.834846988277</v>
      </c>
      <c r="I21" s="680">
        <f>'Tab. 11'!I18</f>
        <v>13618.834846988277</v>
      </c>
      <c r="J21" s="680">
        <f>'Tab. 11'!J18</f>
        <v>13618.834846988277</v>
      </c>
      <c r="K21" s="680">
        <f>'Tab. 11'!K18</f>
        <v>13618.834846988277</v>
      </c>
      <c r="L21" s="680">
        <f>'Tab. 11'!L18</f>
        <v>12999.796899397899</v>
      </c>
      <c r="M21" s="680">
        <f>'Tab. 11'!M18</f>
        <v>12999.796899397899</v>
      </c>
      <c r="N21" s="680">
        <f>'Tab. 11'!N18</f>
        <v>14856.910742169028</v>
      </c>
      <c r="O21" s="681">
        <f t="shared" ref="O21:O37" si="3">SUM(C21:N21)</f>
        <v>160330.82842590741</v>
      </c>
    </row>
    <row r="22" spans="2:15" s="682" customFormat="1" ht="16" outlineLevel="1" x14ac:dyDescent="0.2">
      <c r="B22" s="678" t="s">
        <v>580</v>
      </c>
      <c r="C22" s="679">
        <f>'Tab. 11'!C79</f>
        <v>17193.244340464749</v>
      </c>
      <c r="D22" s="680">
        <f>'Tab. 11'!D79</f>
        <v>17193.244340464749</v>
      </c>
      <c r="E22" s="680">
        <f>'Tab. 11'!E79</f>
        <v>22469.223555527024</v>
      </c>
      <c r="F22" s="680">
        <f>'Tab. 11'!F79</f>
        <v>20515.378028959458</v>
      </c>
      <c r="G22" s="680">
        <f>'Tab. 11'!G79</f>
        <v>20515.378028959458</v>
      </c>
      <c r="H22" s="680">
        <f>'Tab. 11'!H79</f>
        <v>21492.300792243237</v>
      </c>
      <c r="I22" s="680">
        <f>'Tab. 11'!I79</f>
        <v>21492.300792243237</v>
      </c>
      <c r="J22" s="680">
        <f>'Tab. 11'!J79</f>
        <v>21492.300792243237</v>
      </c>
      <c r="K22" s="680">
        <f>'Tab. 11'!K79</f>
        <v>21492.300792243237</v>
      </c>
      <c r="L22" s="680">
        <f>'Tab. 11'!L79</f>
        <v>20515.378028959458</v>
      </c>
      <c r="M22" s="680">
        <f>'Tab. 11'!M79</f>
        <v>20515.378028959458</v>
      </c>
      <c r="N22" s="680">
        <f>'Tab. 11'!N79</f>
        <v>23446.146318810803</v>
      </c>
      <c r="O22" s="681">
        <f t="shared" si="3"/>
        <v>248332.57384007814</v>
      </c>
    </row>
    <row r="23" spans="2:15" s="682" customFormat="1" ht="16" outlineLevel="1" x14ac:dyDescent="0.2">
      <c r="B23" s="678" t="s">
        <v>955</v>
      </c>
      <c r="C23" s="679">
        <f>'Tab. 10'!$K$8/'Tab. 11'!$O$8*'Tab. 11'!C$8</f>
        <v>6125.7911205687933</v>
      </c>
      <c r="D23" s="680">
        <f>'Tab. 10'!$K$8/'Tab. 11'!$O$8*'Tab. 11'!D$8</f>
        <v>6806.4345784097704</v>
      </c>
      <c r="E23" s="680">
        <f>'Tab. 10'!$K$8/'Tab. 11'!$O$8*'Tab. 11'!E$8</f>
        <v>7827.3997651712361</v>
      </c>
      <c r="F23" s="680">
        <f>'Tab. 10'!$K$8/'Tab. 11'!$O$8*'Tab. 11'!F$8</f>
        <v>7146.756307330259</v>
      </c>
      <c r="G23" s="680">
        <f>'Tab. 10'!$K$8/'Tab. 11'!$O$8*'Tab. 11'!G$8</f>
        <v>7146.756307330259</v>
      </c>
      <c r="H23" s="680">
        <f>'Tab. 10'!$K$8/'Tab. 11'!$O$8*'Tab. 11'!H$8</f>
        <v>7487.0780362507476</v>
      </c>
      <c r="I23" s="680">
        <f>'Tab. 10'!$K$8/'Tab. 11'!$O$8*'Tab. 11'!I$8</f>
        <v>7487.0780362507476</v>
      </c>
      <c r="J23" s="680">
        <f>'Tab. 10'!$K$8/'Tab. 11'!$O$8*'Tab. 11'!J$8</f>
        <v>4083.8607470458619</v>
      </c>
      <c r="K23" s="680">
        <f>'Tab. 10'!$K$8/'Tab. 11'!$O$8*'Tab. 11'!K$8</f>
        <v>7487.0780362507476</v>
      </c>
      <c r="L23" s="680">
        <f>'Tab. 10'!$K$8/'Tab. 11'!$O$8*'Tab. 11'!L$8</f>
        <v>7146.756307330259</v>
      </c>
      <c r="M23" s="680">
        <f>'Tab. 10'!$K$8/'Tab. 11'!$O$8*'Tab. 11'!M$8</f>
        <v>7146.756307330259</v>
      </c>
      <c r="N23" s="680">
        <f>'Tab. 10'!$K$8/'Tab. 11'!$O$8*'Tab. 11'!N$8</f>
        <v>4083.8607470458619</v>
      </c>
      <c r="O23" s="681">
        <f t="shared" si="3"/>
        <v>79975.606296314814</v>
      </c>
    </row>
    <row r="24" spans="2:15" ht="16" x14ac:dyDescent="0.2">
      <c r="B24" s="99" t="s">
        <v>944</v>
      </c>
      <c r="C24" s="249">
        <f>SUM(C21:C23)</f>
        <v>35699.794412841067</v>
      </c>
      <c r="D24" s="91">
        <f t="shared" ref="D24:N24" si="4">SUM(D21:D23)</f>
        <v>36380.437870682043</v>
      </c>
      <c r="E24" s="91">
        <f t="shared" si="4"/>
        <v>44534.49611527691</v>
      </c>
      <c r="F24" s="91">
        <f t="shared" si="4"/>
        <v>40661.931235687618</v>
      </c>
      <c r="G24" s="91">
        <f t="shared" si="4"/>
        <v>40661.931235687618</v>
      </c>
      <c r="H24" s="91">
        <f t="shared" si="4"/>
        <v>42598.213675482264</v>
      </c>
      <c r="I24" s="91">
        <f t="shared" si="4"/>
        <v>42598.213675482264</v>
      </c>
      <c r="J24" s="91">
        <f t="shared" si="4"/>
        <v>39194.996386277373</v>
      </c>
      <c r="K24" s="91">
        <f t="shared" si="4"/>
        <v>42598.213675482264</v>
      </c>
      <c r="L24" s="91">
        <f t="shared" si="4"/>
        <v>40661.931235687618</v>
      </c>
      <c r="M24" s="91">
        <f t="shared" si="4"/>
        <v>40661.931235687618</v>
      </c>
      <c r="N24" s="91">
        <f t="shared" si="4"/>
        <v>42386.91780802569</v>
      </c>
      <c r="O24" s="257">
        <f t="shared" si="3"/>
        <v>488639.00856230035</v>
      </c>
    </row>
    <row r="25" spans="2:15" ht="16" x14ac:dyDescent="0.2">
      <c r="B25" s="99" t="s">
        <v>956</v>
      </c>
      <c r="C25" s="249">
        <f>'All. 7'!$N$36/12</f>
        <v>122491.66666666667</v>
      </c>
      <c r="D25" s="91">
        <f>'All. 7'!$N$36/12</f>
        <v>122491.66666666667</v>
      </c>
      <c r="E25" s="91">
        <f>'All. 7'!$N$36/12</f>
        <v>122491.66666666667</v>
      </c>
      <c r="F25" s="91">
        <f>'All. 7'!$N$36/12</f>
        <v>122491.66666666667</v>
      </c>
      <c r="G25" s="91">
        <f>'All. 7'!$N$36/12</f>
        <v>122491.66666666667</v>
      </c>
      <c r="H25" s="91">
        <f>'All. 7'!$N$36/12</f>
        <v>122491.66666666667</v>
      </c>
      <c r="I25" s="91">
        <f>'All. 7'!$N$36/12</f>
        <v>122491.66666666667</v>
      </c>
      <c r="J25" s="91">
        <f>'All. 7'!$N$36/12</f>
        <v>122491.66666666667</v>
      </c>
      <c r="K25" s="91">
        <f>'All. 7'!$N$36/12</f>
        <v>122491.66666666667</v>
      </c>
      <c r="L25" s="91">
        <f>'All. 7'!$N$36/12</f>
        <v>122491.66666666667</v>
      </c>
      <c r="M25" s="91">
        <f>'All. 7'!$N$36/12</f>
        <v>122491.66666666667</v>
      </c>
      <c r="N25" s="91">
        <f>'All. 7'!$N$36/12</f>
        <v>122491.66666666667</v>
      </c>
      <c r="O25" s="257">
        <f t="shared" si="3"/>
        <v>1469900.0000000002</v>
      </c>
    </row>
    <row r="26" spans="2:15" s="682" customFormat="1" ht="16" hidden="1" outlineLevel="1" x14ac:dyDescent="0.2">
      <c r="B26" s="678" t="s">
        <v>768</v>
      </c>
      <c r="C26" s="679">
        <f>'Tab. 15'!$K$28/12</f>
        <v>31030.701754385966</v>
      </c>
      <c r="D26" s="680">
        <f>'Tab. 15'!$K$28/12</f>
        <v>31030.701754385966</v>
      </c>
      <c r="E26" s="680">
        <f>'Tab. 15'!$K$28/12</f>
        <v>31030.701754385966</v>
      </c>
      <c r="F26" s="680">
        <f>'Tab. 15'!$K$28/12</f>
        <v>31030.701754385966</v>
      </c>
      <c r="G26" s="680">
        <f>'Tab. 15'!$K$28/12</f>
        <v>31030.701754385966</v>
      </c>
      <c r="H26" s="680">
        <f>'Tab. 15'!$K$28/12</f>
        <v>31030.701754385966</v>
      </c>
      <c r="I26" s="680">
        <f>'Tab. 15'!$K$28/12</f>
        <v>31030.701754385966</v>
      </c>
      <c r="J26" s="680">
        <f>'Tab. 15'!$K$28/12</f>
        <v>31030.701754385966</v>
      </c>
      <c r="K26" s="680">
        <f>'Tab. 15'!$K$28/12</f>
        <v>31030.701754385966</v>
      </c>
      <c r="L26" s="680">
        <f>'Tab. 15'!$K$28/12</f>
        <v>31030.701754385966</v>
      </c>
      <c r="M26" s="680">
        <f>'Tab. 15'!$K$28/12</f>
        <v>31030.701754385966</v>
      </c>
      <c r="N26" s="680">
        <f>'Tab. 15'!$K$28/12</f>
        <v>31030.701754385966</v>
      </c>
      <c r="O26" s="681">
        <f t="shared" si="3"/>
        <v>372368.42105263151</v>
      </c>
    </row>
    <row r="27" spans="2:15" s="682" customFormat="1" ht="16" hidden="1" outlineLevel="1" x14ac:dyDescent="0.2">
      <c r="B27" s="678" t="s">
        <v>959</v>
      </c>
      <c r="C27" s="679">
        <f>('All. 6'!$C$37-'All. 6'!$C$33)/12</f>
        <v>12958.333333333334</v>
      </c>
      <c r="D27" s="680">
        <f>('All. 6'!$C$37-'All. 6'!$C$33)/12</f>
        <v>12958.333333333334</v>
      </c>
      <c r="E27" s="680">
        <f>('All. 6'!$C$37-'All. 6'!$C$33)/12</f>
        <v>12958.333333333334</v>
      </c>
      <c r="F27" s="680">
        <f>('All. 6'!$C$37-'All. 6'!$C$33)/12</f>
        <v>12958.333333333334</v>
      </c>
      <c r="G27" s="680">
        <f>('All. 6'!$C$37-'All. 6'!$C$33)/12</f>
        <v>12958.333333333334</v>
      </c>
      <c r="H27" s="680">
        <f>('All. 6'!$C$37-'All. 6'!$C$33)/12</f>
        <v>12958.333333333334</v>
      </c>
      <c r="I27" s="680">
        <f>('All. 6'!$C$37-'All. 6'!$C$33)/12</f>
        <v>12958.333333333334</v>
      </c>
      <c r="J27" s="680">
        <f>('All. 6'!$C$37-'All. 6'!$C$33)/12</f>
        <v>12958.333333333334</v>
      </c>
      <c r="K27" s="680">
        <f>('All. 6'!$C$37-'All. 6'!$C$33)/12</f>
        <v>12958.333333333334</v>
      </c>
      <c r="L27" s="680">
        <f>('All. 6'!$C$37-'All. 6'!$C$33)/12</f>
        <v>12958.333333333334</v>
      </c>
      <c r="M27" s="680">
        <f>('All. 6'!$C$37-'All. 6'!$C$33)/12</f>
        <v>12958.333333333334</v>
      </c>
      <c r="N27" s="680">
        <f>('All. 6'!$C$37-'All. 6'!$C$33)/12</f>
        <v>12958.333333333334</v>
      </c>
      <c r="O27" s="681">
        <f t="shared" si="3"/>
        <v>155500</v>
      </c>
    </row>
    <row r="28" spans="2:15" s="682" customFormat="1" ht="16" hidden="1" outlineLevel="1" x14ac:dyDescent="0.2">
      <c r="B28" s="678" t="s">
        <v>611</v>
      </c>
      <c r="C28" s="679">
        <f>'All. 6'!$C21/12</f>
        <v>4583.333333333333</v>
      </c>
      <c r="D28" s="680">
        <f>'All. 6'!$C21/12</f>
        <v>4583.333333333333</v>
      </c>
      <c r="E28" s="680">
        <f>'All. 6'!$C21/12</f>
        <v>4583.333333333333</v>
      </c>
      <c r="F28" s="680">
        <f>'All. 6'!$C21/12</f>
        <v>4583.333333333333</v>
      </c>
      <c r="G28" s="680">
        <f>'All. 6'!$C21/12</f>
        <v>4583.333333333333</v>
      </c>
      <c r="H28" s="680">
        <f>'All. 6'!$C21/12</f>
        <v>4583.333333333333</v>
      </c>
      <c r="I28" s="680">
        <f>'All. 6'!$C21/12</f>
        <v>4583.333333333333</v>
      </c>
      <c r="J28" s="680">
        <f>'All. 6'!$C21/12</f>
        <v>4583.333333333333</v>
      </c>
      <c r="K28" s="680">
        <f>'All. 6'!$C21/12</f>
        <v>4583.333333333333</v>
      </c>
      <c r="L28" s="680">
        <f>'All. 6'!$C21/12</f>
        <v>4583.333333333333</v>
      </c>
      <c r="M28" s="680">
        <f>'All. 6'!$C21/12</f>
        <v>4583.333333333333</v>
      </c>
      <c r="N28" s="680">
        <f>'All. 6'!$C21/12</f>
        <v>4583.333333333333</v>
      </c>
      <c r="O28" s="681">
        <f t="shared" si="3"/>
        <v>55000.000000000007</v>
      </c>
    </row>
    <row r="29" spans="2:15" s="682" customFormat="1" ht="16" hidden="1" outlineLevel="1" x14ac:dyDescent="0.2">
      <c r="B29" s="678" t="s">
        <v>612</v>
      </c>
      <c r="C29" s="679">
        <f>'All. 6'!$C22/12</f>
        <v>6666.666666666667</v>
      </c>
      <c r="D29" s="680">
        <f>'All. 6'!$C22/12</f>
        <v>6666.666666666667</v>
      </c>
      <c r="E29" s="680">
        <f>'All. 6'!$C22/12</f>
        <v>6666.666666666667</v>
      </c>
      <c r="F29" s="680">
        <f>'All. 6'!$C22/12</f>
        <v>6666.666666666667</v>
      </c>
      <c r="G29" s="680">
        <f>'All. 6'!$C22/12</f>
        <v>6666.666666666667</v>
      </c>
      <c r="H29" s="680">
        <f>'All. 6'!$C22/12</f>
        <v>6666.666666666667</v>
      </c>
      <c r="I29" s="680">
        <f>'All. 6'!$C22/12</f>
        <v>6666.666666666667</v>
      </c>
      <c r="J29" s="680">
        <f>'All. 6'!$C22/12</f>
        <v>6666.666666666667</v>
      </c>
      <c r="K29" s="680">
        <f>'All. 6'!$C22/12</f>
        <v>6666.666666666667</v>
      </c>
      <c r="L29" s="680">
        <f>'All. 6'!$C22/12</f>
        <v>6666.666666666667</v>
      </c>
      <c r="M29" s="680">
        <f>'All. 6'!$C22/12</f>
        <v>6666.666666666667</v>
      </c>
      <c r="N29" s="680">
        <f>'All. 6'!$C22/12</f>
        <v>6666.666666666667</v>
      </c>
      <c r="O29" s="681">
        <f t="shared" si="3"/>
        <v>80000</v>
      </c>
    </row>
    <row r="30" spans="2:15" s="682" customFormat="1" ht="16" hidden="1" outlineLevel="1" x14ac:dyDescent="0.2">
      <c r="B30" s="678" t="s">
        <v>613</v>
      </c>
      <c r="C30" s="679">
        <f>'All. 6'!$C23/12</f>
        <v>7500</v>
      </c>
      <c r="D30" s="680">
        <f>'All. 6'!$C23/12</f>
        <v>7500</v>
      </c>
      <c r="E30" s="680">
        <f>'All. 6'!$C23/12</f>
        <v>7500</v>
      </c>
      <c r="F30" s="680">
        <f>'All. 6'!$C23/12</f>
        <v>7500</v>
      </c>
      <c r="G30" s="680">
        <f>'All. 6'!$C23/12</f>
        <v>7500</v>
      </c>
      <c r="H30" s="680">
        <f>'All. 6'!$C23/12</f>
        <v>7500</v>
      </c>
      <c r="I30" s="680">
        <f>'All. 6'!$C23/12</f>
        <v>7500</v>
      </c>
      <c r="J30" s="680">
        <f>'All. 6'!$C23/12</f>
        <v>7500</v>
      </c>
      <c r="K30" s="680">
        <f>'All. 6'!$C23/12</f>
        <v>7500</v>
      </c>
      <c r="L30" s="680">
        <f>'All. 6'!$C23/12</f>
        <v>7500</v>
      </c>
      <c r="M30" s="680">
        <f>'All. 6'!$C23/12</f>
        <v>7500</v>
      </c>
      <c r="N30" s="680">
        <f>'All. 6'!$C23/12</f>
        <v>7500</v>
      </c>
      <c r="O30" s="681">
        <f t="shared" si="3"/>
        <v>90000</v>
      </c>
    </row>
    <row r="31" spans="2:15" s="682" customFormat="1" ht="16" hidden="1" outlineLevel="1" x14ac:dyDescent="0.2">
      <c r="B31" s="678" t="s">
        <v>614</v>
      </c>
      <c r="C31" s="679">
        <f>'All. 6'!$C24/12</f>
        <v>45000</v>
      </c>
      <c r="D31" s="680">
        <f>'All. 6'!$C24/12</f>
        <v>45000</v>
      </c>
      <c r="E31" s="680">
        <f>'All. 6'!$C24/12</f>
        <v>45000</v>
      </c>
      <c r="F31" s="680">
        <f>'All. 6'!$C24/12</f>
        <v>45000</v>
      </c>
      <c r="G31" s="680">
        <f>'All. 6'!$C24/12</f>
        <v>45000</v>
      </c>
      <c r="H31" s="680">
        <f>'All. 6'!$C24/12</f>
        <v>45000</v>
      </c>
      <c r="I31" s="680">
        <f>'All. 6'!$C24/12</f>
        <v>45000</v>
      </c>
      <c r="J31" s="680">
        <f>'All. 6'!$C24/12</f>
        <v>45000</v>
      </c>
      <c r="K31" s="680">
        <f>'All. 6'!$C24/12</f>
        <v>45000</v>
      </c>
      <c r="L31" s="680">
        <f>'All. 6'!$C24/12</f>
        <v>45000</v>
      </c>
      <c r="M31" s="680">
        <f>'All. 6'!$C24/12</f>
        <v>45000</v>
      </c>
      <c r="N31" s="680">
        <f>'All. 6'!$C24/12</f>
        <v>45000</v>
      </c>
      <c r="O31" s="681">
        <f t="shared" si="3"/>
        <v>540000</v>
      </c>
    </row>
    <row r="32" spans="2:15" s="682" customFormat="1" ht="16" hidden="1" outlineLevel="1" x14ac:dyDescent="0.2">
      <c r="B32" s="678" t="s">
        <v>615</v>
      </c>
      <c r="C32" s="679">
        <f>'All. 6'!$C25/12</f>
        <v>12666.666666666666</v>
      </c>
      <c r="D32" s="680">
        <f>'All. 6'!$C25/12</f>
        <v>12666.666666666666</v>
      </c>
      <c r="E32" s="680">
        <f>'All. 6'!$C25/12</f>
        <v>12666.666666666666</v>
      </c>
      <c r="F32" s="680">
        <f>'All. 6'!$C25/12</f>
        <v>12666.666666666666</v>
      </c>
      <c r="G32" s="680">
        <f>'All. 6'!$C25/12</f>
        <v>12666.666666666666</v>
      </c>
      <c r="H32" s="680">
        <f>'All. 6'!$C25/12</f>
        <v>12666.666666666666</v>
      </c>
      <c r="I32" s="680">
        <f>'All. 6'!$C25/12</f>
        <v>12666.666666666666</v>
      </c>
      <c r="J32" s="680">
        <f>'All. 6'!$C25/12</f>
        <v>12666.666666666666</v>
      </c>
      <c r="K32" s="680">
        <f>'All. 6'!$C25/12</f>
        <v>12666.666666666666</v>
      </c>
      <c r="L32" s="680">
        <f>'All. 6'!$C25/12</f>
        <v>12666.666666666666</v>
      </c>
      <c r="M32" s="680">
        <f>'All. 6'!$C25/12</f>
        <v>12666.666666666666</v>
      </c>
      <c r="N32" s="680">
        <f>'All. 6'!$C25/12</f>
        <v>12666.666666666666</v>
      </c>
      <c r="O32" s="681">
        <f t="shared" si="3"/>
        <v>152000</v>
      </c>
    </row>
    <row r="33" spans="2:15" s="682" customFormat="1" ht="16" hidden="1" outlineLevel="1" x14ac:dyDescent="0.2">
      <c r="B33" s="678" t="s">
        <v>960</v>
      </c>
      <c r="C33" s="679">
        <f>'All. 6'!$C43/12</f>
        <v>3083.3333333333335</v>
      </c>
      <c r="D33" s="680">
        <f>'All. 6'!$C43/12</f>
        <v>3083.3333333333335</v>
      </c>
      <c r="E33" s="680">
        <f>'All. 6'!$C43/12</f>
        <v>3083.3333333333335</v>
      </c>
      <c r="F33" s="680">
        <f>'All. 6'!$C43/12</f>
        <v>3083.3333333333335</v>
      </c>
      <c r="G33" s="680">
        <f>'All. 6'!$C43/12</f>
        <v>3083.3333333333335</v>
      </c>
      <c r="H33" s="680">
        <f>'All. 6'!$C43/12</f>
        <v>3083.3333333333335</v>
      </c>
      <c r="I33" s="680">
        <f>'All. 6'!$C43/12</f>
        <v>3083.3333333333335</v>
      </c>
      <c r="J33" s="680">
        <f>'All. 6'!$C43/12</f>
        <v>3083.3333333333335</v>
      </c>
      <c r="K33" s="680">
        <f>'All. 6'!$C43/12</f>
        <v>3083.3333333333335</v>
      </c>
      <c r="L33" s="680">
        <f>'All. 6'!$C43/12</f>
        <v>3083.3333333333335</v>
      </c>
      <c r="M33" s="680">
        <f>'All. 6'!$C43/12</f>
        <v>3083.3333333333335</v>
      </c>
      <c r="N33" s="680">
        <f>'All. 6'!$C43/12</f>
        <v>3083.3333333333335</v>
      </c>
      <c r="O33" s="681">
        <f t="shared" si="3"/>
        <v>37000</v>
      </c>
    </row>
    <row r="34" spans="2:15" s="682" customFormat="1" ht="16" hidden="1" outlineLevel="1" x14ac:dyDescent="0.2">
      <c r="B34" s="678" t="s">
        <v>961</v>
      </c>
      <c r="C34" s="679">
        <f>'All. 6'!$C44/12</f>
        <v>750</v>
      </c>
      <c r="D34" s="680">
        <f>'All. 6'!$C44/12</f>
        <v>750</v>
      </c>
      <c r="E34" s="680">
        <f>'All. 6'!$C44/12</f>
        <v>750</v>
      </c>
      <c r="F34" s="680">
        <f>'All. 6'!$C44/12</f>
        <v>750</v>
      </c>
      <c r="G34" s="680">
        <f>'All. 6'!$C44/12</f>
        <v>750</v>
      </c>
      <c r="H34" s="680">
        <f>'All. 6'!$C44/12</f>
        <v>750</v>
      </c>
      <c r="I34" s="680">
        <f>'All. 6'!$C44/12</f>
        <v>750</v>
      </c>
      <c r="J34" s="680">
        <f>'All. 6'!$C44/12</f>
        <v>750</v>
      </c>
      <c r="K34" s="680">
        <f>'All. 6'!$C44/12</f>
        <v>750</v>
      </c>
      <c r="L34" s="680">
        <f>'All. 6'!$C44/12</f>
        <v>750</v>
      </c>
      <c r="M34" s="680">
        <f>'All. 6'!$C44/12</f>
        <v>750</v>
      </c>
      <c r="N34" s="680">
        <f>'All. 6'!$C44/12</f>
        <v>750</v>
      </c>
      <c r="O34" s="681">
        <f t="shared" si="3"/>
        <v>9000</v>
      </c>
    </row>
    <row r="35" spans="2:15" s="682" customFormat="1" ht="16" hidden="1" outlineLevel="1" x14ac:dyDescent="0.2">
      <c r="B35" s="678" t="s">
        <v>617</v>
      </c>
      <c r="C35" s="679">
        <f>'All. 6'!$C27/12</f>
        <v>4833.333333333333</v>
      </c>
      <c r="D35" s="680">
        <f>'All. 6'!$C27/12</f>
        <v>4833.333333333333</v>
      </c>
      <c r="E35" s="680">
        <f>'All. 6'!$C27/12</f>
        <v>4833.333333333333</v>
      </c>
      <c r="F35" s="680">
        <f>'All. 6'!$C27/12</f>
        <v>4833.333333333333</v>
      </c>
      <c r="G35" s="680">
        <f>'All. 6'!$C27/12</f>
        <v>4833.333333333333</v>
      </c>
      <c r="H35" s="680">
        <f>'All. 6'!$C27/12</f>
        <v>4833.333333333333</v>
      </c>
      <c r="I35" s="680">
        <f>'All. 6'!$C27/12</f>
        <v>4833.333333333333</v>
      </c>
      <c r="J35" s="680">
        <f>'All. 6'!$C27/12</f>
        <v>4833.333333333333</v>
      </c>
      <c r="K35" s="680">
        <f>'All. 6'!$C27/12</f>
        <v>4833.333333333333</v>
      </c>
      <c r="L35" s="680">
        <f>'All. 6'!$C27/12</f>
        <v>4833.333333333333</v>
      </c>
      <c r="M35" s="680">
        <f>'All. 6'!$C27/12</f>
        <v>4833.333333333333</v>
      </c>
      <c r="N35" s="680">
        <f>'All. 6'!$C27/12</f>
        <v>4833.333333333333</v>
      </c>
      <c r="O35" s="681">
        <f t="shared" si="3"/>
        <v>58000.000000000007</v>
      </c>
    </row>
    <row r="36" spans="2:15" s="682" customFormat="1" ht="16" hidden="1" outlineLevel="1" x14ac:dyDescent="0.2">
      <c r="B36" s="678" t="s">
        <v>618</v>
      </c>
      <c r="C36" s="679">
        <f>'All. 6'!$C28/12</f>
        <v>2916.6666666666665</v>
      </c>
      <c r="D36" s="680">
        <f>'All. 6'!$C28/12</f>
        <v>2916.6666666666665</v>
      </c>
      <c r="E36" s="680">
        <f>'All. 6'!$C28/12</f>
        <v>2916.6666666666665</v>
      </c>
      <c r="F36" s="680">
        <f>'All. 6'!$C28/12</f>
        <v>2916.6666666666665</v>
      </c>
      <c r="G36" s="680">
        <f>'All. 6'!$C28/12</f>
        <v>2916.6666666666665</v>
      </c>
      <c r="H36" s="680">
        <f>'All. 6'!$C28/12</f>
        <v>2916.6666666666665</v>
      </c>
      <c r="I36" s="680">
        <f>'All. 6'!$C28/12</f>
        <v>2916.6666666666665</v>
      </c>
      <c r="J36" s="680">
        <f>'All. 6'!$C28/12</f>
        <v>2916.6666666666665</v>
      </c>
      <c r="K36" s="680">
        <f>'All. 6'!$C28/12</f>
        <v>2916.6666666666665</v>
      </c>
      <c r="L36" s="680">
        <f>'All. 6'!$C28/12</f>
        <v>2916.6666666666665</v>
      </c>
      <c r="M36" s="680">
        <f>'All. 6'!$C28/12</f>
        <v>2916.6666666666665</v>
      </c>
      <c r="N36" s="680">
        <f>'All. 6'!$C28/12</f>
        <v>2916.6666666666665</v>
      </c>
      <c r="O36" s="681">
        <f t="shared" si="3"/>
        <v>35000.000000000007</v>
      </c>
    </row>
    <row r="37" spans="2:15" ht="16" collapsed="1" x14ac:dyDescent="0.2">
      <c r="B37" s="99" t="s">
        <v>962</v>
      </c>
      <c r="C37" s="249">
        <f>SUM(C26:C36)</f>
        <v>131989.0350877193</v>
      </c>
      <c r="D37" s="91">
        <f t="shared" ref="D37:N37" si="5">SUM(D26:D36)</f>
        <v>131989.0350877193</v>
      </c>
      <c r="E37" s="91">
        <f t="shared" si="5"/>
        <v>131989.0350877193</v>
      </c>
      <c r="F37" s="91">
        <f t="shared" si="5"/>
        <v>131989.0350877193</v>
      </c>
      <c r="G37" s="91">
        <f t="shared" si="5"/>
        <v>131989.0350877193</v>
      </c>
      <c r="H37" s="91">
        <f t="shared" si="5"/>
        <v>131989.0350877193</v>
      </c>
      <c r="I37" s="91">
        <f t="shared" si="5"/>
        <v>131989.0350877193</v>
      </c>
      <c r="J37" s="91">
        <f t="shared" si="5"/>
        <v>131989.0350877193</v>
      </c>
      <c r="K37" s="91">
        <f t="shared" si="5"/>
        <v>131989.0350877193</v>
      </c>
      <c r="L37" s="91">
        <f t="shared" si="5"/>
        <v>131989.0350877193</v>
      </c>
      <c r="M37" s="91">
        <f t="shared" si="5"/>
        <v>131989.0350877193</v>
      </c>
      <c r="N37" s="91">
        <f t="shared" si="5"/>
        <v>131989.0350877193</v>
      </c>
      <c r="O37" s="257">
        <f t="shared" si="3"/>
        <v>1583868.4210526317</v>
      </c>
    </row>
    <row r="38" spans="2:15" ht="17" thickBot="1" x14ac:dyDescent="0.25">
      <c r="B38" s="259" t="s">
        <v>957</v>
      </c>
      <c r="C38" s="662">
        <f>+C24+C25+C37</f>
        <v>290180.49616722704</v>
      </c>
      <c r="D38" s="92">
        <f t="shared" ref="D38:O38" si="6">+D24+D25+D37</f>
        <v>290861.13962506806</v>
      </c>
      <c r="E38" s="92">
        <f t="shared" si="6"/>
        <v>299015.19786966289</v>
      </c>
      <c r="F38" s="92">
        <f t="shared" si="6"/>
        <v>295142.63299007359</v>
      </c>
      <c r="G38" s="92">
        <f t="shared" si="6"/>
        <v>295142.63299007359</v>
      </c>
      <c r="H38" s="92">
        <f t="shared" si="6"/>
        <v>297078.91542986827</v>
      </c>
      <c r="I38" s="92">
        <f t="shared" si="6"/>
        <v>297078.91542986827</v>
      </c>
      <c r="J38" s="92">
        <f t="shared" si="6"/>
        <v>293675.69814066333</v>
      </c>
      <c r="K38" s="92">
        <f t="shared" si="6"/>
        <v>297078.91542986827</v>
      </c>
      <c r="L38" s="92">
        <f t="shared" si="6"/>
        <v>295142.63299007359</v>
      </c>
      <c r="M38" s="92">
        <f t="shared" si="6"/>
        <v>295142.63299007359</v>
      </c>
      <c r="N38" s="92">
        <f t="shared" si="6"/>
        <v>296867.61956241168</v>
      </c>
      <c r="O38" s="664">
        <f t="shared" si="6"/>
        <v>3542407.4296149323</v>
      </c>
    </row>
    <row r="40" spans="2:15" x14ac:dyDescent="0.15">
      <c r="O40" s="683"/>
    </row>
  </sheetData>
  <mergeCells count="1">
    <mergeCell ref="C5:O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11B8-9FD6-054A-BCCF-D837550EEEBE}">
  <dimension ref="B2:O68"/>
  <sheetViews>
    <sheetView topLeftCell="A45" zoomScale="150" zoomScaleNormal="150" workbookViewId="0">
      <selection activeCell="C60" sqref="C60:N61"/>
    </sheetView>
  </sheetViews>
  <sheetFormatPr baseColWidth="10" defaultRowHeight="16" x14ac:dyDescent="0.2"/>
  <cols>
    <col min="1" max="1" width="10.83203125" style="4"/>
    <col min="2" max="2" width="38.33203125" style="4" bestFit="1" customWidth="1"/>
    <col min="3" max="3" width="14.5" style="4" bestFit="1" customWidth="1"/>
    <col min="4" max="4" width="12.1640625" style="4" customWidth="1"/>
    <col min="5" max="14" width="12" style="4" customWidth="1"/>
    <col min="15" max="15" width="11.6640625" style="4" customWidth="1"/>
    <col min="16" max="16384" width="10.83203125" style="4"/>
  </cols>
  <sheetData>
    <row r="2" spans="2:15" x14ac:dyDescent="0.2">
      <c r="B2" s="4" t="s">
        <v>966</v>
      </c>
    </row>
    <row r="5" spans="2:15" x14ac:dyDescent="0.2">
      <c r="B5" s="4" t="s">
        <v>967</v>
      </c>
    </row>
    <row r="6" spans="2:15" ht="17" thickBot="1" x14ac:dyDescent="0.25"/>
    <row r="7" spans="2:15" x14ac:dyDescent="0.2">
      <c r="B7" s="269"/>
      <c r="C7" s="798" t="s">
        <v>99</v>
      </c>
      <c r="D7" s="756"/>
      <c r="E7" s="756"/>
      <c r="F7" s="756"/>
      <c r="G7" s="756"/>
      <c r="H7" s="756"/>
      <c r="I7" s="756"/>
      <c r="J7" s="756"/>
      <c r="K7" s="756"/>
      <c r="L7" s="756"/>
      <c r="M7" s="756"/>
      <c r="N7" s="756"/>
      <c r="O7" s="757"/>
    </row>
    <row r="8" spans="2:15" x14ac:dyDescent="0.2">
      <c r="B8" s="714" t="s">
        <v>133</v>
      </c>
      <c r="C8" s="277" t="s">
        <v>114</v>
      </c>
      <c r="D8" s="277" t="s">
        <v>115</v>
      </c>
      <c r="E8" s="277" t="s">
        <v>116</v>
      </c>
      <c r="F8" s="277" t="s">
        <v>117</v>
      </c>
      <c r="G8" s="277" t="s">
        <v>118</v>
      </c>
      <c r="H8" s="277" t="s">
        <v>119</v>
      </c>
      <c r="I8" s="277" t="s">
        <v>120</v>
      </c>
      <c r="J8" s="277" t="s">
        <v>121</v>
      </c>
      <c r="K8" s="277" t="s">
        <v>122</v>
      </c>
      <c r="L8" s="277" t="s">
        <v>123</v>
      </c>
      <c r="M8" s="277" t="s">
        <v>124</v>
      </c>
      <c r="N8" s="277" t="s">
        <v>125</v>
      </c>
      <c r="O8" s="282" t="s">
        <v>82</v>
      </c>
    </row>
    <row r="9" spans="2:15" x14ac:dyDescent="0.2">
      <c r="B9" s="160" t="s">
        <v>134</v>
      </c>
      <c r="C9" s="346">
        <f>'Tab 5'!C12*'Tab. 14'!$C$10</f>
        <v>13644535.407896748</v>
      </c>
      <c r="D9" s="346">
        <f>+C12</f>
        <v>13731554.459256383</v>
      </c>
      <c r="E9" s="346">
        <f t="shared" ref="E9:N9" si="0">+D12</f>
        <v>13951807.403099123</v>
      </c>
      <c r="F9" s="346">
        <f t="shared" si="0"/>
        <v>14016735.74125801</v>
      </c>
      <c r="G9" s="346">
        <f t="shared" si="0"/>
        <v>14118257.967844252</v>
      </c>
      <c r="H9" s="346">
        <f t="shared" si="0"/>
        <v>14219780.194430493</v>
      </c>
      <c r="I9" s="346">
        <f t="shared" si="0"/>
        <v>14326136.812758934</v>
      </c>
      <c r="J9" s="346">
        <f t="shared" si="0"/>
        <v>13576708.170304092</v>
      </c>
      <c r="K9" s="346">
        <f t="shared" si="0"/>
        <v>13634720.871210514</v>
      </c>
      <c r="L9" s="346">
        <f t="shared" si="0"/>
        <v>13317634.3393219</v>
      </c>
      <c r="M9" s="346">
        <f t="shared" si="0"/>
        <v>12532499.381037056</v>
      </c>
      <c r="N9" s="346">
        <f t="shared" si="0"/>
        <v>12634021.607623298</v>
      </c>
      <c r="O9" s="178"/>
    </row>
    <row r="10" spans="2:15" x14ac:dyDescent="0.2">
      <c r="B10" s="280" t="s">
        <v>968</v>
      </c>
      <c r="C10" s="346">
        <f>'Tab 5'!C13*'Tab. 14'!$C$10</f>
        <v>5707557.5739950947</v>
      </c>
      <c r="D10" s="346">
        <f>'Tab 5'!D13*'Tab. 14'!$C$10</f>
        <v>6341730.6377723273</v>
      </c>
      <c r="E10" s="346">
        <f>'Tab 5'!E13*'Tab. 14'!$C$10</f>
        <v>7292990.233438177</v>
      </c>
      <c r="F10" s="346">
        <f>'Tab 5'!F13*'Tab. 14'!$C$10</f>
        <v>6658817.1696609445</v>
      </c>
      <c r="G10" s="346">
        <f>'Tab 5'!G13*'Tab. 14'!$C$10</f>
        <v>6658817.1696609445</v>
      </c>
      <c r="H10" s="346">
        <f>'Tab 5'!H13*'Tab. 14'!$C$10</f>
        <v>6975903.7015495608</v>
      </c>
      <c r="I10" s="346">
        <f>'Tab 5'!I13*'Tab. 14'!$C$10</f>
        <v>6975903.7015495608</v>
      </c>
      <c r="J10" s="346">
        <f>'Tab 5'!J13*'Tab. 14'!$C$10</f>
        <v>3805038.3826633971</v>
      </c>
      <c r="K10" s="346">
        <f>'Tab 5'!K13*'Tab. 14'!$C$10</f>
        <v>6975903.7015495608</v>
      </c>
      <c r="L10" s="346">
        <f>'Tab 5'!L13*'Tab. 14'!$C$10</f>
        <v>6658817.1696609445</v>
      </c>
      <c r="M10" s="346">
        <f>'Tab 5'!M13*'Tab. 14'!$C$10</f>
        <v>6658817.1696609445</v>
      </c>
      <c r="N10" s="346">
        <f>'Tab 5'!N13*'Tab. 14'!$C$10</f>
        <v>3805038.3826633971</v>
      </c>
      <c r="O10" s="178">
        <f>SUM(C10:N10)</f>
        <v>74515334.993824854</v>
      </c>
    </row>
    <row r="11" spans="2:15" ht="17" thickBot="1" x14ac:dyDescent="0.25">
      <c r="B11" s="280" t="s">
        <v>969</v>
      </c>
      <c r="C11" s="346">
        <f>'Tab 5'!C15*'Tab. 14'!$C$10</f>
        <v>5794576.6253547296</v>
      </c>
      <c r="D11" s="346">
        <f>'Tab 5'!D15*'Tab. 14'!$C$10</f>
        <v>6561983.5816150671</v>
      </c>
      <c r="E11" s="346">
        <f>'Tab 5'!E15*'Tab. 14'!$C$10</f>
        <v>7357918.5715970639</v>
      </c>
      <c r="F11" s="346">
        <f>'Tab 5'!F15*'Tab. 14'!$C$10</f>
        <v>6760339.3962471848</v>
      </c>
      <c r="G11" s="346">
        <f>'Tab 5'!G15*'Tab. 14'!$C$10</f>
        <v>6760339.3962471848</v>
      </c>
      <c r="H11" s="346">
        <f>'Tab 5'!H15*'Tab. 14'!$C$10</f>
        <v>7082260.3198780026</v>
      </c>
      <c r="I11" s="346">
        <f>'Tab 5'!I15*'Tab. 14'!$C$10</f>
        <v>6226475.0590947187</v>
      </c>
      <c r="J11" s="346">
        <f>'Tab 5'!J15*'Tab. 14'!$C$10</f>
        <v>3863051.0835698196</v>
      </c>
      <c r="K11" s="346">
        <f>'Tab 5'!K15*'Tab. 14'!$C$10</f>
        <v>6658817.1696609464</v>
      </c>
      <c r="L11" s="346">
        <f>'Tab 5'!L15*'Tab. 14'!$C$10</f>
        <v>5873682.2113760998</v>
      </c>
      <c r="M11" s="346">
        <f>'Tab 5'!M15*'Tab. 14'!$C$10</f>
        <v>6760339.3962471848</v>
      </c>
      <c r="N11" s="346">
        <f>'Tab 5'!N15*'Tab. 14'!$C$10</f>
        <v>3007265.8227865356</v>
      </c>
      <c r="O11" s="178">
        <f>SUM(C11:N11)</f>
        <v>72707048.633674547</v>
      </c>
    </row>
    <row r="12" spans="2:15" ht="17" thickBot="1" x14ac:dyDescent="0.25">
      <c r="B12" s="281" t="s">
        <v>970</v>
      </c>
      <c r="C12" s="704">
        <f>+C9-C10+C11</f>
        <v>13731554.459256383</v>
      </c>
      <c r="D12" s="704">
        <f>+D9-D10+D11</f>
        <v>13951807.403099123</v>
      </c>
      <c r="E12" s="704">
        <f t="shared" ref="E12:N12" si="1">+E9-E10+E11</f>
        <v>14016735.74125801</v>
      </c>
      <c r="F12" s="704">
        <f t="shared" si="1"/>
        <v>14118257.967844252</v>
      </c>
      <c r="G12" s="704">
        <f t="shared" si="1"/>
        <v>14219780.194430493</v>
      </c>
      <c r="H12" s="704">
        <f t="shared" si="1"/>
        <v>14326136.812758934</v>
      </c>
      <c r="I12" s="704">
        <f t="shared" si="1"/>
        <v>13576708.170304092</v>
      </c>
      <c r="J12" s="704">
        <f t="shared" si="1"/>
        <v>13634720.871210514</v>
      </c>
      <c r="K12" s="704">
        <f t="shared" si="1"/>
        <v>13317634.3393219</v>
      </c>
      <c r="L12" s="704">
        <f t="shared" si="1"/>
        <v>12532499.381037056</v>
      </c>
      <c r="M12" s="704">
        <f t="shared" si="1"/>
        <v>12634021.607623298</v>
      </c>
      <c r="N12" s="704">
        <f t="shared" si="1"/>
        <v>11836249.047746437</v>
      </c>
      <c r="O12" s="286"/>
    </row>
    <row r="13" spans="2:15" x14ac:dyDescent="0.2">
      <c r="B13" s="280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178"/>
    </row>
    <row r="14" spans="2:15" x14ac:dyDescent="0.2">
      <c r="B14" s="715" t="s">
        <v>144</v>
      </c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178"/>
    </row>
    <row r="15" spans="2:15" x14ac:dyDescent="0.2">
      <c r="B15" s="160" t="s">
        <v>134</v>
      </c>
      <c r="C15" s="346">
        <f>'Tab 5'!C25*'Tab. 14'!$C$14</f>
        <v>2086569.6345913925</v>
      </c>
      <c r="D15" s="346">
        <f>+C18</f>
        <v>2162759.2424500613</v>
      </c>
      <c r="E15" s="346">
        <f t="shared" ref="E15:N15" si="2">+D18</f>
        <v>2196552.355613343</v>
      </c>
      <c r="F15" s="346">
        <f t="shared" si="2"/>
        <v>2162759.2424500627</v>
      </c>
      <c r="G15" s="346">
        <f t="shared" si="2"/>
        <v>2196552.3556133448</v>
      </c>
      <c r="H15" s="346">
        <f t="shared" si="2"/>
        <v>1961767.0998167908</v>
      </c>
      <c r="I15" s="346">
        <f t="shared" si="2"/>
        <v>2081714.4879593356</v>
      </c>
      <c r="J15" s="346">
        <f t="shared" si="2"/>
        <v>2097333.3943723105</v>
      </c>
      <c r="K15" s="346">
        <f t="shared" si="2"/>
        <v>2162759.2424500622</v>
      </c>
      <c r="L15" s="346">
        <f t="shared" si="2"/>
        <v>1989981.2030712494</v>
      </c>
      <c r="M15" s="346">
        <f t="shared" si="2"/>
        <v>2104476.4372073151</v>
      </c>
      <c r="N15" s="346">
        <f t="shared" si="2"/>
        <v>2218971.6713433806</v>
      </c>
      <c r="O15" s="178"/>
    </row>
    <row r="16" spans="2:15" x14ac:dyDescent="0.2">
      <c r="B16" s="280" t="s">
        <v>968</v>
      </c>
      <c r="C16" s="346">
        <f>'Tab 5'!C26*'Tab. 14'!$C$14</f>
        <v>608276.03693907952</v>
      </c>
      <c r="D16" s="346">
        <f>'Tab 5'!D26*'Tab. 14'!$C$14</f>
        <v>675862.26326564397</v>
      </c>
      <c r="E16" s="346">
        <f>'Tab 5'!E26*'Tab. 14'!$C$14</f>
        <v>777241.60275549057</v>
      </c>
      <c r="F16" s="346">
        <f>'Tab 5'!F26*'Tab. 14'!$C$14</f>
        <v>709655.37642892613</v>
      </c>
      <c r="G16" s="346">
        <f>'Tab 5'!G26*'Tab. 14'!$C$14</f>
        <v>709655.37642892613</v>
      </c>
      <c r="H16" s="346">
        <f>'Tab 5'!H26*'Tab. 14'!$C$14</f>
        <v>743448.48959220829</v>
      </c>
      <c r="I16" s="346">
        <f>'Tab 5'!I26*'Tab. 14'!$C$14</f>
        <v>743448.48959220829</v>
      </c>
      <c r="J16" s="346">
        <f>'Tab 5'!J26*'Tab. 14'!$C$14</f>
        <v>405517.35795938637</v>
      </c>
      <c r="K16" s="346">
        <f>'Tab 5'!K26*'Tab. 14'!$C$14</f>
        <v>743448.48959220829</v>
      </c>
      <c r="L16" s="346">
        <f>'Tab 5'!L26*'Tab. 14'!$C$14</f>
        <v>709655.37642892613</v>
      </c>
      <c r="M16" s="346">
        <f>'Tab 5'!M26*'Tab. 14'!$C$14</f>
        <v>709655.37642892613</v>
      </c>
      <c r="N16" s="346">
        <f>'Tab 5'!N26*'Tab. 14'!$C$14</f>
        <v>405517.35795938637</v>
      </c>
      <c r="O16" s="178">
        <f>SUM(C16:N16)</f>
        <v>7941381.5933713168</v>
      </c>
    </row>
    <row r="17" spans="2:15" ht="17" thickBot="1" x14ac:dyDescent="0.25">
      <c r="B17" s="280" t="s">
        <v>969</v>
      </c>
      <c r="C17" s="346">
        <f>'Tab 5'!C28*'Tab. 14'!$C$14</f>
        <v>684465.64479774842</v>
      </c>
      <c r="D17" s="346">
        <f>'Tab 5'!D28*'Tab. 14'!$C$14</f>
        <v>709655.37642892567</v>
      </c>
      <c r="E17" s="346">
        <f>'Tab 5'!E28*'Tab. 14'!$C$14</f>
        <v>743448.48959221039</v>
      </c>
      <c r="F17" s="346">
        <f>'Tab 5'!F28*'Tab. 14'!$C$14</f>
        <v>743448.48959220829</v>
      </c>
      <c r="G17" s="346">
        <f>'Tab 5'!G28*'Tab. 14'!$C$14</f>
        <v>474870.12063237216</v>
      </c>
      <c r="H17" s="346">
        <f>'Tab 5'!H28*'Tab. 14'!$C$14</f>
        <v>863395.87773475307</v>
      </c>
      <c r="I17" s="346">
        <f>'Tab 5'!I28*'Tab. 14'!$C$14</f>
        <v>759067.39600518346</v>
      </c>
      <c r="J17" s="346">
        <f>'Tab 5'!J28*'Tab. 14'!$C$14</f>
        <v>470943.20603713812</v>
      </c>
      <c r="K17" s="346">
        <f>'Tab 5'!K28*'Tab. 14'!$C$14</f>
        <v>570670.45021339552</v>
      </c>
      <c r="L17" s="346">
        <f>'Tab 5'!L28*'Tab. 14'!$C$14</f>
        <v>824150.6105649916</v>
      </c>
      <c r="M17" s="346">
        <f>'Tab 5'!M28*'Tab. 14'!$C$14</f>
        <v>824150.6105649916</v>
      </c>
      <c r="N17" s="346">
        <f>'Tab 5'!N28*'Tab. 14'!$C$14</f>
        <v>366614.72430756851</v>
      </c>
      <c r="O17" s="178">
        <f>SUM(C17:N17)</f>
        <v>8034880.996471487</v>
      </c>
    </row>
    <row r="18" spans="2:15" ht="17" thickBot="1" x14ac:dyDescent="0.25">
      <c r="B18" s="281" t="s">
        <v>970</v>
      </c>
      <c r="C18" s="704">
        <f>+C15-C16+C17</f>
        <v>2162759.2424500613</v>
      </c>
      <c r="D18" s="704">
        <f>+D15-D16+D17</f>
        <v>2196552.355613343</v>
      </c>
      <c r="E18" s="704">
        <f t="shared" ref="E18:N18" si="3">+E15-E16+E17</f>
        <v>2162759.2424500627</v>
      </c>
      <c r="F18" s="704">
        <f t="shared" si="3"/>
        <v>2196552.3556133448</v>
      </c>
      <c r="G18" s="704">
        <f t="shared" si="3"/>
        <v>1961767.0998167908</v>
      </c>
      <c r="H18" s="704">
        <f t="shared" si="3"/>
        <v>2081714.4879593356</v>
      </c>
      <c r="I18" s="704">
        <f t="shared" si="3"/>
        <v>2097333.3943723105</v>
      </c>
      <c r="J18" s="704">
        <f t="shared" si="3"/>
        <v>2162759.2424500622</v>
      </c>
      <c r="K18" s="704">
        <f t="shared" si="3"/>
        <v>1989981.2030712494</v>
      </c>
      <c r="L18" s="704">
        <f t="shared" si="3"/>
        <v>2104476.4372073151</v>
      </c>
      <c r="M18" s="704">
        <f t="shared" si="3"/>
        <v>2218971.6713433806</v>
      </c>
      <c r="N18" s="704">
        <f t="shared" si="3"/>
        <v>2180069.0376915624</v>
      </c>
      <c r="O18" s="286"/>
    </row>
    <row r="19" spans="2:15" x14ac:dyDescent="0.2">
      <c r="B19" s="715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178"/>
    </row>
    <row r="20" spans="2:15" x14ac:dyDescent="0.2">
      <c r="B20" s="715" t="s">
        <v>973</v>
      </c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178"/>
    </row>
    <row r="21" spans="2:15" x14ac:dyDescent="0.2">
      <c r="B21" s="160" t="s">
        <v>134</v>
      </c>
      <c r="C21" s="346">
        <f>+C9+C15</f>
        <v>15731105.042488141</v>
      </c>
      <c r="D21" s="346">
        <f>+C24</f>
        <v>15894313.701706445</v>
      </c>
      <c r="E21" s="346">
        <f t="shared" ref="E21:N21" si="4">+D24</f>
        <v>16148359.758712467</v>
      </c>
      <c r="F21" s="346">
        <f t="shared" si="4"/>
        <v>16179494.983708072</v>
      </c>
      <c r="G21" s="346">
        <f t="shared" si="4"/>
        <v>16314810.323457595</v>
      </c>
      <c r="H21" s="346">
        <f t="shared" si="4"/>
        <v>16181547.294247281</v>
      </c>
      <c r="I21" s="346">
        <f t="shared" si="4"/>
        <v>16407851.300718267</v>
      </c>
      <c r="J21" s="346">
        <f t="shared" si="4"/>
        <v>15674041.5646764</v>
      </c>
      <c r="K21" s="346">
        <f t="shared" si="4"/>
        <v>15797480.113660574</v>
      </c>
      <c r="L21" s="346">
        <f t="shared" si="4"/>
        <v>15307615.542393146</v>
      </c>
      <c r="M21" s="346">
        <f t="shared" si="4"/>
        <v>14636975.818244368</v>
      </c>
      <c r="N21" s="346">
        <f t="shared" si="4"/>
        <v>14852993.278966673</v>
      </c>
      <c r="O21" s="178"/>
    </row>
    <row r="22" spans="2:15" x14ac:dyDescent="0.2">
      <c r="B22" s="280" t="s">
        <v>968</v>
      </c>
      <c r="C22" s="346">
        <f>+C10+C16</f>
        <v>6315833.6109341746</v>
      </c>
      <c r="D22" s="346">
        <f t="shared" ref="D22:N22" si="5">+D10+D16</f>
        <v>7017592.9010379715</v>
      </c>
      <c r="E22" s="346">
        <f t="shared" si="5"/>
        <v>8070231.8361936677</v>
      </c>
      <c r="F22" s="346">
        <f t="shared" si="5"/>
        <v>7368472.5460898709</v>
      </c>
      <c r="G22" s="346">
        <f t="shared" si="5"/>
        <v>7368472.5460898709</v>
      </c>
      <c r="H22" s="346">
        <f t="shared" si="5"/>
        <v>7719352.1911417693</v>
      </c>
      <c r="I22" s="346">
        <f t="shared" si="5"/>
        <v>7719352.1911417693</v>
      </c>
      <c r="J22" s="346">
        <f t="shared" si="5"/>
        <v>4210555.7406227831</v>
      </c>
      <c r="K22" s="346">
        <f t="shared" si="5"/>
        <v>7719352.1911417693</v>
      </c>
      <c r="L22" s="346">
        <f t="shared" si="5"/>
        <v>7368472.5460898709</v>
      </c>
      <c r="M22" s="346">
        <f t="shared" si="5"/>
        <v>7368472.5460898709</v>
      </c>
      <c r="N22" s="346">
        <f t="shared" si="5"/>
        <v>4210555.7406227831</v>
      </c>
      <c r="O22" s="178">
        <f>SUM(C22:N22)</f>
        <v>82456716.587196171</v>
      </c>
    </row>
    <row r="23" spans="2:15" ht="17" thickBot="1" x14ac:dyDescent="0.25">
      <c r="B23" s="280" t="s">
        <v>969</v>
      </c>
      <c r="C23" s="346">
        <f>+C11+C17</f>
        <v>6479042.2701524775</v>
      </c>
      <c r="D23" s="346">
        <f t="shared" ref="D23:N23" si="6">+D11+D17</f>
        <v>7271638.9580439925</v>
      </c>
      <c r="E23" s="346">
        <f t="shared" si="6"/>
        <v>8101367.0611892743</v>
      </c>
      <c r="F23" s="346">
        <f t="shared" si="6"/>
        <v>7503787.8858393934</v>
      </c>
      <c r="G23" s="346">
        <f t="shared" si="6"/>
        <v>7235209.5168795567</v>
      </c>
      <c r="H23" s="346">
        <f t="shared" si="6"/>
        <v>7945656.1976127559</v>
      </c>
      <c r="I23" s="346">
        <f t="shared" si="6"/>
        <v>6985542.4550999021</v>
      </c>
      <c r="J23" s="346">
        <f t="shared" si="6"/>
        <v>4333994.2896069577</v>
      </c>
      <c r="K23" s="346">
        <f t="shared" si="6"/>
        <v>7229487.6198743414</v>
      </c>
      <c r="L23" s="346">
        <f t="shared" si="6"/>
        <v>6697832.8219410917</v>
      </c>
      <c r="M23" s="346">
        <f t="shared" si="6"/>
        <v>7584490.0068121767</v>
      </c>
      <c r="N23" s="346">
        <f t="shared" si="6"/>
        <v>3373880.5470941039</v>
      </c>
      <c r="O23" s="178">
        <f>SUM(C23:N23)</f>
        <v>80741929.630146027</v>
      </c>
    </row>
    <row r="24" spans="2:15" ht="17" thickBot="1" x14ac:dyDescent="0.25">
      <c r="B24" s="281" t="s">
        <v>970</v>
      </c>
      <c r="C24" s="704">
        <f>+C21-C22+C23</f>
        <v>15894313.701706445</v>
      </c>
      <c r="D24" s="704">
        <f>+D21-D22+D23</f>
        <v>16148359.758712467</v>
      </c>
      <c r="E24" s="704">
        <f t="shared" ref="E24" si="7">+E21-E22+E23</f>
        <v>16179494.983708072</v>
      </c>
      <c r="F24" s="704">
        <f t="shared" ref="F24" si="8">+F21-F22+F23</f>
        <v>16314810.323457595</v>
      </c>
      <c r="G24" s="704">
        <f t="shared" ref="G24" si="9">+G21-G22+G23</f>
        <v>16181547.294247281</v>
      </c>
      <c r="H24" s="704">
        <f t="shared" ref="H24" si="10">+H21-H22+H23</f>
        <v>16407851.300718267</v>
      </c>
      <c r="I24" s="704">
        <f t="shared" ref="I24" si="11">+I21-I22+I23</f>
        <v>15674041.5646764</v>
      </c>
      <c r="J24" s="704">
        <f t="shared" ref="J24" si="12">+J21-J22+J23</f>
        <v>15797480.113660574</v>
      </c>
      <c r="K24" s="704">
        <f t="shared" ref="K24" si="13">+K21-K22+K23</f>
        <v>15307615.542393146</v>
      </c>
      <c r="L24" s="704">
        <f t="shared" ref="L24" si="14">+L21-L22+L23</f>
        <v>14636975.818244368</v>
      </c>
      <c r="M24" s="704">
        <f t="shared" ref="M24" si="15">+M21-M22+M23</f>
        <v>14852993.278966673</v>
      </c>
      <c r="N24" s="704">
        <f t="shared" ref="N24" si="16">+N21-N22+N23</f>
        <v>14016318.085437994</v>
      </c>
      <c r="O24" s="286"/>
    </row>
    <row r="27" spans="2:15" x14ac:dyDescent="0.2">
      <c r="B27" s="4" t="s">
        <v>980</v>
      </c>
    </row>
    <row r="28" spans="2:15" ht="17" thickBot="1" x14ac:dyDescent="0.25"/>
    <row r="29" spans="2:15" x14ac:dyDescent="0.2">
      <c r="B29" s="269"/>
      <c r="C29" s="798" t="s">
        <v>99</v>
      </c>
      <c r="D29" s="756"/>
      <c r="E29" s="756"/>
      <c r="F29" s="756"/>
      <c r="G29" s="756"/>
      <c r="H29" s="756"/>
      <c r="I29" s="756"/>
      <c r="J29" s="756"/>
      <c r="K29" s="756"/>
      <c r="L29" s="756"/>
      <c r="M29" s="756"/>
      <c r="N29" s="756"/>
      <c r="O29" s="757"/>
    </row>
    <row r="30" spans="2:15" x14ac:dyDescent="0.2">
      <c r="B30" s="714" t="s">
        <v>133</v>
      </c>
      <c r="C30" s="277" t="s">
        <v>114</v>
      </c>
      <c r="D30" s="277" t="s">
        <v>115</v>
      </c>
      <c r="E30" s="277" t="s">
        <v>116</v>
      </c>
      <c r="F30" s="277" t="s">
        <v>117</v>
      </c>
      <c r="G30" s="277" t="s">
        <v>118</v>
      </c>
      <c r="H30" s="277" t="s">
        <v>119</v>
      </c>
      <c r="I30" s="277" t="s">
        <v>120</v>
      </c>
      <c r="J30" s="277" t="s">
        <v>121</v>
      </c>
      <c r="K30" s="277" t="s">
        <v>122</v>
      </c>
      <c r="L30" s="277" t="s">
        <v>123</v>
      </c>
      <c r="M30" s="277" t="s">
        <v>124</v>
      </c>
      <c r="N30" s="277" t="s">
        <v>125</v>
      </c>
      <c r="O30" s="282" t="s">
        <v>82</v>
      </c>
    </row>
    <row r="31" spans="2:15" x14ac:dyDescent="0.2">
      <c r="B31" s="160" t="s">
        <v>134</v>
      </c>
      <c r="C31" s="346">
        <f>'Tab 5'!C12*'Tab. 16'!$C$10</f>
        <v>14191187.89451688</v>
      </c>
      <c r="D31" s="346">
        <f>+C34</f>
        <v>14281693.263247315</v>
      </c>
      <c r="E31" s="346">
        <f t="shared" ref="E31:N31" si="17">+D34</f>
        <v>14510770.38584277</v>
      </c>
      <c r="F31" s="346">
        <f t="shared" si="17"/>
        <v>14578300.002568176</v>
      </c>
      <c r="G31" s="346">
        <f t="shared" si="17"/>
        <v>14683889.59942035</v>
      </c>
      <c r="H31" s="346">
        <f t="shared" si="17"/>
        <v>14789479.196272526</v>
      </c>
      <c r="I31" s="346">
        <f t="shared" si="17"/>
        <v>14900096.869165281</v>
      </c>
      <c r="J31" s="346">
        <f t="shared" si="17"/>
        <v>14120643.237313937</v>
      </c>
      <c r="K31" s="346">
        <f t="shared" si="17"/>
        <v>14180980.149800895</v>
      </c>
      <c r="L31" s="346">
        <f t="shared" si="17"/>
        <v>13851189.913759016</v>
      </c>
      <c r="M31" s="346">
        <f t="shared" si="17"/>
        <v>13034599.433944987</v>
      </c>
      <c r="N31" s="346">
        <f t="shared" si="17"/>
        <v>13140189.030797161</v>
      </c>
      <c r="O31" s="178"/>
    </row>
    <row r="32" spans="2:15" x14ac:dyDescent="0.2">
      <c r="B32" s="280" t="s">
        <v>968</v>
      </c>
      <c r="C32" s="346">
        <f>'Tab 5'!C$13*'Tab. 16'!$C$10</f>
        <v>5936224.2487538606</v>
      </c>
      <c r="D32" s="346">
        <f>'Tab 5'!D$13*'Tab. 16'!$C$10</f>
        <v>6595804.7208376219</v>
      </c>
      <c r="E32" s="346">
        <f>'Tab 5'!E$13*'Tab. 16'!$C$10</f>
        <v>7585175.4289632672</v>
      </c>
      <c r="F32" s="346">
        <f>'Tab 5'!F$13*'Tab. 16'!$C$10</f>
        <v>6925594.956879505</v>
      </c>
      <c r="G32" s="346">
        <f>'Tab 5'!G$13*'Tab. 16'!$C$10</f>
        <v>6925594.956879505</v>
      </c>
      <c r="H32" s="346">
        <f>'Tab 5'!H$13*'Tab. 16'!$C$10</f>
        <v>7255385.1929213861</v>
      </c>
      <c r="I32" s="346">
        <f>'Tab 5'!I$13*'Tab. 16'!$C$10</f>
        <v>7255385.1929213861</v>
      </c>
      <c r="J32" s="346">
        <f>'Tab 5'!J$13*'Tab. 16'!$C$10</f>
        <v>3957482.8325025742</v>
      </c>
      <c r="K32" s="346">
        <f>'Tab 5'!K$13*'Tab. 16'!$C$10</f>
        <v>7255385.1929213861</v>
      </c>
      <c r="L32" s="346">
        <f>'Tab 5'!L$13*'Tab. 16'!$C$10</f>
        <v>6925594.956879505</v>
      </c>
      <c r="M32" s="346">
        <f>'Tab 5'!M$13*'Tab. 16'!$C$10</f>
        <v>6925594.956879505</v>
      </c>
      <c r="N32" s="346">
        <f>'Tab 5'!N$13*'Tab. 16'!$C$10</f>
        <v>3957482.8325025742</v>
      </c>
      <c r="O32" s="178">
        <f>SUM(C32:N32)</f>
        <v>77500705.469842076</v>
      </c>
    </row>
    <row r="33" spans="2:15" ht="17" thickBot="1" x14ac:dyDescent="0.25">
      <c r="B33" s="280" t="s">
        <v>969</v>
      </c>
      <c r="C33" s="346">
        <f>'Tab 5'!C$15*'Tab. 16'!$C$10</f>
        <v>6026729.6174842967</v>
      </c>
      <c r="D33" s="346">
        <f>'Tab 5'!D$15*'Tab. 16'!$C$10</f>
        <v>6824881.8434330784</v>
      </c>
      <c r="E33" s="346">
        <f>'Tab 5'!E$15*'Tab. 16'!$C$10</f>
        <v>7652705.0456886729</v>
      </c>
      <c r="F33" s="346">
        <f>'Tab 5'!F$15*'Tab. 16'!$C$10</f>
        <v>7031184.5537316799</v>
      </c>
      <c r="G33" s="346">
        <f>'Tab 5'!G$15*'Tab. 16'!$C$10</f>
        <v>7031184.5537316799</v>
      </c>
      <c r="H33" s="346">
        <f>'Tab 5'!H$15*'Tab. 16'!$C$10</f>
        <v>7366002.865814141</v>
      </c>
      <c r="I33" s="346">
        <f>'Tab 5'!I$15*'Tab. 16'!$C$10</f>
        <v>6475931.5610700417</v>
      </c>
      <c r="J33" s="346">
        <f>'Tab 5'!J$15*'Tab. 16'!$C$10</f>
        <v>4017819.7449895311</v>
      </c>
      <c r="K33" s="346">
        <f>'Tab 5'!K$15*'Tab. 16'!$C$10</f>
        <v>6925594.9568795068</v>
      </c>
      <c r="L33" s="346">
        <f>'Tab 5'!L$15*'Tab. 16'!$C$10</f>
        <v>6109004.4770654766</v>
      </c>
      <c r="M33" s="346">
        <f>'Tab 5'!M$15*'Tab. 16'!$C$10</f>
        <v>7031184.5537316799</v>
      </c>
      <c r="N33" s="346">
        <f>'Tab 5'!N$15*'Tab. 16'!$C$10</f>
        <v>3127748.4402454328</v>
      </c>
      <c r="O33" s="178">
        <f>SUM(C33:N33)</f>
        <v>75619972.213865206</v>
      </c>
    </row>
    <row r="34" spans="2:15" ht="17" thickBot="1" x14ac:dyDescent="0.25">
      <c r="B34" s="281" t="s">
        <v>970</v>
      </c>
      <c r="C34" s="704">
        <f>+C31-C32+C33</f>
        <v>14281693.263247315</v>
      </c>
      <c r="D34" s="704">
        <f>+D31-D32+D33</f>
        <v>14510770.38584277</v>
      </c>
      <c r="E34" s="704">
        <f t="shared" ref="E34" si="18">+E31-E32+E33</f>
        <v>14578300.002568176</v>
      </c>
      <c r="F34" s="704">
        <f t="shared" ref="F34" si="19">+F31-F32+F33</f>
        <v>14683889.59942035</v>
      </c>
      <c r="G34" s="704">
        <f t="shared" ref="G34" si="20">+G31-G32+G33</f>
        <v>14789479.196272526</v>
      </c>
      <c r="H34" s="704">
        <f t="shared" ref="H34" si="21">+H31-H32+H33</f>
        <v>14900096.869165281</v>
      </c>
      <c r="I34" s="704">
        <f t="shared" ref="I34" si="22">+I31-I32+I33</f>
        <v>14120643.237313937</v>
      </c>
      <c r="J34" s="704">
        <f t="shared" ref="J34" si="23">+J31-J32+J33</f>
        <v>14180980.149800895</v>
      </c>
      <c r="K34" s="704">
        <f t="shared" ref="K34" si="24">+K31-K32+K33</f>
        <v>13851189.913759016</v>
      </c>
      <c r="L34" s="704">
        <f t="shared" ref="L34" si="25">+L31-L32+L33</f>
        <v>13034599.433944987</v>
      </c>
      <c r="M34" s="704">
        <f t="shared" ref="M34" si="26">+M31-M32+M33</f>
        <v>13140189.030797161</v>
      </c>
      <c r="N34" s="704">
        <f t="shared" ref="N34" si="27">+N31-N32+N33</f>
        <v>12310454.63854002</v>
      </c>
      <c r="O34" s="286"/>
    </row>
    <row r="35" spans="2:15" x14ac:dyDescent="0.2">
      <c r="B35" s="280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46"/>
      <c r="O35" s="178"/>
    </row>
    <row r="36" spans="2:15" x14ac:dyDescent="0.2">
      <c r="B36" s="715" t="s">
        <v>144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178"/>
    </row>
    <row r="37" spans="2:15" x14ac:dyDescent="0.2">
      <c r="B37" s="160" t="s">
        <v>134</v>
      </c>
      <c r="C37" s="346">
        <f>'Tab 5'!C$25*'Tab. 16'!$C$14</f>
        <v>2176310.6863827333</v>
      </c>
      <c r="D37" s="346">
        <f>+C40</f>
        <v>2255777.1249933965</v>
      </c>
      <c r="E37" s="346">
        <f t="shared" ref="E37:N37" si="28">+D40</f>
        <v>2291023.6425714176</v>
      </c>
      <c r="F37" s="346">
        <f t="shared" si="28"/>
        <v>2255777.1249933979</v>
      </c>
      <c r="G37" s="346">
        <f t="shared" si="28"/>
        <v>2291023.6425714195</v>
      </c>
      <c r="H37" s="346">
        <f t="shared" si="28"/>
        <v>2046140.5326457808</v>
      </c>
      <c r="I37" s="346">
        <f t="shared" si="28"/>
        <v>2171246.7252648626</v>
      </c>
      <c r="J37" s="346">
        <f t="shared" si="28"/>
        <v>2187537.3835648075</v>
      </c>
      <c r="K37" s="346">
        <f t="shared" si="28"/>
        <v>2255777.1249933979</v>
      </c>
      <c r="L37" s="346">
        <f t="shared" si="28"/>
        <v>2075568.0932703796</v>
      </c>
      <c r="M37" s="346">
        <f t="shared" si="28"/>
        <v>2194987.6407704121</v>
      </c>
      <c r="N37" s="346">
        <f t="shared" si="28"/>
        <v>2314407.188270445</v>
      </c>
      <c r="O37" s="178"/>
    </row>
    <row r="38" spans="2:15" x14ac:dyDescent="0.2">
      <c r="B38" s="280" t="s">
        <v>968</v>
      </c>
      <c r="C38" s="346">
        <f>'Tab 5'!C$26*'Tab. 16'!$C$14</f>
        <v>634437.31640439248</v>
      </c>
      <c r="D38" s="346">
        <f>'Tab 5'!D$26*'Tab. 16'!$C$14</f>
        <v>704930.35156043619</v>
      </c>
      <c r="E38" s="346">
        <f>'Tab 5'!E$26*'Tab. 16'!$C$14</f>
        <v>810669.90429450152</v>
      </c>
      <c r="F38" s="346">
        <f>'Tab 5'!F$26*'Tab. 16'!$C$14</f>
        <v>740176.86913845793</v>
      </c>
      <c r="G38" s="346">
        <f>'Tab 5'!G$26*'Tab. 16'!$C$14</f>
        <v>740176.86913845793</v>
      </c>
      <c r="H38" s="346">
        <f>'Tab 5'!H$26*'Tab. 16'!$C$14</f>
        <v>775423.38671647967</v>
      </c>
      <c r="I38" s="346">
        <f>'Tab 5'!I$26*'Tab. 16'!$C$14</f>
        <v>775423.38671647967</v>
      </c>
      <c r="J38" s="346">
        <f>'Tab 5'!J$26*'Tab. 16'!$C$14</f>
        <v>422958.21093626163</v>
      </c>
      <c r="K38" s="346">
        <f>'Tab 5'!K$26*'Tab. 16'!$C$14</f>
        <v>775423.38671647967</v>
      </c>
      <c r="L38" s="346">
        <f>'Tab 5'!L$26*'Tab. 16'!$C$14</f>
        <v>740176.86913845793</v>
      </c>
      <c r="M38" s="346">
        <f>'Tab 5'!M$26*'Tab. 16'!$C$14</f>
        <v>740176.86913845793</v>
      </c>
      <c r="N38" s="346">
        <f>'Tab 5'!N$26*'Tab. 16'!$C$14</f>
        <v>422958.21093626163</v>
      </c>
      <c r="O38" s="178">
        <f>SUM(C38:N38)</f>
        <v>8282931.6308351224</v>
      </c>
    </row>
    <row r="39" spans="2:15" ht="17" thickBot="1" x14ac:dyDescent="0.25">
      <c r="B39" s="280" t="s">
        <v>969</v>
      </c>
      <c r="C39" s="346">
        <f>'Tab 5'!C$28*'Tab. 16'!$C$14</f>
        <v>713903.75501505577</v>
      </c>
      <c r="D39" s="346">
        <f>'Tab 5'!D$28*'Tab. 16'!$C$14</f>
        <v>740176.86913845735</v>
      </c>
      <c r="E39" s="346">
        <f>'Tab 5'!E$28*'Tab. 16'!$C$14</f>
        <v>775423.38671648176</v>
      </c>
      <c r="F39" s="346">
        <f>'Tab 5'!F$28*'Tab. 16'!$C$14</f>
        <v>775423.38671647967</v>
      </c>
      <c r="G39" s="346">
        <f>'Tab 5'!G$28*'Tab. 16'!$C$14</f>
        <v>495293.7592128191</v>
      </c>
      <c r="H39" s="346">
        <f>'Tab 5'!H$28*'Tab. 16'!$C$14</f>
        <v>900529.57933556149</v>
      </c>
      <c r="I39" s="346">
        <f>'Tab 5'!I$28*'Tab. 16'!$C$14</f>
        <v>791714.04501642473</v>
      </c>
      <c r="J39" s="346">
        <f>'Tab 5'!J$28*'Tab. 16'!$C$14</f>
        <v>491197.95236485178</v>
      </c>
      <c r="K39" s="346">
        <f>'Tab 5'!K$28*'Tab. 16'!$C$14</f>
        <v>595214.3549934614</v>
      </c>
      <c r="L39" s="346">
        <f>'Tab 5'!L$28*'Tab. 16'!$C$14</f>
        <v>859596.41663849051</v>
      </c>
      <c r="M39" s="346">
        <f>'Tab 5'!M$28*'Tab. 16'!$C$14</f>
        <v>859596.41663849051</v>
      </c>
      <c r="N39" s="346">
        <f>'Tab 5'!N$28*'Tab. 16'!$C$14</f>
        <v>382382.41804571508</v>
      </c>
      <c r="O39" s="178">
        <f>SUM(C39:N39)</f>
        <v>8380452.3398322901</v>
      </c>
    </row>
    <row r="40" spans="2:15" ht="17" thickBot="1" x14ac:dyDescent="0.25">
      <c r="B40" s="281" t="s">
        <v>970</v>
      </c>
      <c r="C40" s="704">
        <f>+C37-C38+C39</f>
        <v>2255777.1249933965</v>
      </c>
      <c r="D40" s="704">
        <f>+D37-D38+D39</f>
        <v>2291023.6425714176</v>
      </c>
      <c r="E40" s="704">
        <f t="shared" ref="E40" si="29">+E37-E38+E39</f>
        <v>2255777.1249933979</v>
      </c>
      <c r="F40" s="704">
        <f t="shared" ref="F40" si="30">+F37-F38+F39</f>
        <v>2291023.6425714195</v>
      </c>
      <c r="G40" s="704">
        <f t="shared" ref="G40" si="31">+G37-G38+G39</f>
        <v>2046140.5326457808</v>
      </c>
      <c r="H40" s="704">
        <f t="shared" ref="H40" si="32">+H37-H38+H39</f>
        <v>2171246.7252648626</v>
      </c>
      <c r="I40" s="704">
        <f t="shared" ref="I40" si="33">+I37-I38+I39</f>
        <v>2187537.3835648075</v>
      </c>
      <c r="J40" s="704">
        <f t="shared" ref="J40" si="34">+J37-J38+J39</f>
        <v>2255777.1249933979</v>
      </c>
      <c r="K40" s="704">
        <f t="shared" ref="K40" si="35">+K37-K38+K39</f>
        <v>2075568.0932703796</v>
      </c>
      <c r="L40" s="704">
        <f t="shared" ref="L40" si="36">+L37-L38+L39</f>
        <v>2194987.6407704121</v>
      </c>
      <c r="M40" s="704">
        <f t="shared" ref="M40" si="37">+M37-M38+M39</f>
        <v>2314407.188270445</v>
      </c>
      <c r="N40" s="704">
        <f t="shared" ref="N40" si="38">+N37-N38+N39</f>
        <v>2273831.3953798986</v>
      </c>
      <c r="O40" s="286"/>
    </row>
    <row r="41" spans="2:15" x14ac:dyDescent="0.2">
      <c r="B41" s="715"/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178"/>
    </row>
    <row r="42" spans="2:15" x14ac:dyDescent="0.2">
      <c r="B42" s="715" t="s">
        <v>973</v>
      </c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178"/>
    </row>
    <row r="43" spans="2:15" x14ac:dyDescent="0.2">
      <c r="B43" s="160" t="s">
        <v>134</v>
      </c>
      <c r="C43" s="346">
        <f>+C31+C37</f>
        <v>16367498.580899613</v>
      </c>
      <c r="D43" s="346">
        <f>+C46</f>
        <v>16537470.388240712</v>
      </c>
      <c r="E43" s="346">
        <f t="shared" ref="E43:N43" si="39">+D46</f>
        <v>16801794.02841419</v>
      </c>
      <c r="F43" s="346">
        <f t="shared" si="39"/>
        <v>16834077.127561577</v>
      </c>
      <c r="G43" s="346">
        <f t="shared" si="39"/>
        <v>16974913.241991773</v>
      </c>
      <c r="H43" s="346">
        <f t="shared" si="39"/>
        <v>16835619.72891831</v>
      </c>
      <c r="I43" s="346">
        <f t="shared" si="39"/>
        <v>17071343.594430149</v>
      </c>
      <c r="J43" s="346">
        <f t="shared" si="39"/>
        <v>16308180.620878749</v>
      </c>
      <c r="K43" s="346">
        <f t="shared" si="39"/>
        <v>16436757.274794295</v>
      </c>
      <c r="L43" s="346">
        <f t="shared" si="39"/>
        <v>15926758.007029397</v>
      </c>
      <c r="M43" s="346">
        <f t="shared" si="39"/>
        <v>15229587.074715402</v>
      </c>
      <c r="N43" s="346">
        <f t="shared" si="39"/>
        <v>15454596.219067611</v>
      </c>
      <c r="O43" s="178"/>
    </row>
    <row r="44" spans="2:15" x14ac:dyDescent="0.2">
      <c r="B44" s="280" t="s">
        <v>968</v>
      </c>
      <c r="C44" s="346">
        <f>+C32+C38</f>
        <v>6570661.5651582535</v>
      </c>
      <c r="D44" s="346">
        <f t="shared" ref="D44:N44" si="40">+D32+D38</f>
        <v>7300735.0723980581</v>
      </c>
      <c r="E44" s="346">
        <f t="shared" si="40"/>
        <v>8395845.3332577683</v>
      </c>
      <c r="F44" s="346">
        <f t="shared" si="40"/>
        <v>7665771.8260179628</v>
      </c>
      <c r="G44" s="346">
        <f t="shared" si="40"/>
        <v>7665771.8260179628</v>
      </c>
      <c r="H44" s="346">
        <f t="shared" si="40"/>
        <v>8030808.5796378655</v>
      </c>
      <c r="I44" s="346">
        <f t="shared" si="40"/>
        <v>8030808.5796378655</v>
      </c>
      <c r="J44" s="346">
        <f t="shared" si="40"/>
        <v>4380441.043438836</v>
      </c>
      <c r="K44" s="346">
        <f t="shared" si="40"/>
        <v>8030808.5796378655</v>
      </c>
      <c r="L44" s="346">
        <f t="shared" si="40"/>
        <v>7665771.8260179628</v>
      </c>
      <c r="M44" s="346">
        <f t="shared" si="40"/>
        <v>7665771.8260179628</v>
      </c>
      <c r="N44" s="346">
        <f t="shared" si="40"/>
        <v>4380441.043438836</v>
      </c>
      <c r="O44" s="178">
        <f>SUM(C44:N44)</f>
        <v>85783637.100677192</v>
      </c>
    </row>
    <row r="45" spans="2:15" ht="17" thickBot="1" x14ac:dyDescent="0.25">
      <c r="B45" s="280" t="s">
        <v>969</v>
      </c>
      <c r="C45" s="346">
        <f>+C33+C39</f>
        <v>6740633.3724993523</v>
      </c>
      <c r="D45" s="346">
        <f t="shared" ref="D45:N45" si="41">+D33+D39</f>
        <v>7565058.7125715353</v>
      </c>
      <c r="E45" s="346">
        <f t="shared" si="41"/>
        <v>8428128.4324051552</v>
      </c>
      <c r="F45" s="346">
        <f t="shared" si="41"/>
        <v>7806607.9404481594</v>
      </c>
      <c r="G45" s="346">
        <f t="shared" si="41"/>
        <v>7526478.3129444988</v>
      </c>
      <c r="H45" s="346">
        <f t="shared" si="41"/>
        <v>8266532.445149703</v>
      </c>
      <c r="I45" s="346">
        <f t="shared" si="41"/>
        <v>7267645.6060864665</v>
      </c>
      <c r="J45" s="346">
        <f t="shared" si="41"/>
        <v>4509017.6973543828</v>
      </c>
      <c r="K45" s="346">
        <f t="shared" si="41"/>
        <v>7520809.3118729685</v>
      </c>
      <c r="L45" s="346">
        <f t="shared" si="41"/>
        <v>6968600.8937039673</v>
      </c>
      <c r="M45" s="346">
        <f t="shared" si="41"/>
        <v>7890780.9703701707</v>
      </c>
      <c r="N45" s="346">
        <f t="shared" si="41"/>
        <v>3510130.8582911477</v>
      </c>
      <c r="O45" s="178">
        <f>SUM(C45:N45)</f>
        <v>84000424.553697512</v>
      </c>
    </row>
    <row r="46" spans="2:15" ht="17" thickBot="1" x14ac:dyDescent="0.25">
      <c r="B46" s="281" t="s">
        <v>970</v>
      </c>
      <c r="C46" s="704">
        <f>+C43-C44+C45</f>
        <v>16537470.388240712</v>
      </c>
      <c r="D46" s="704">
        <f>+D43-D44+D45</f>
        <v>16801794.02841419</v>
      </c>
      <c r="E46" s="704">
        <f t="shared" ref="E46" si="42">+E43-E44+E45</f>
        <v>16834077.127561577</v>
      </c>
      <c r="F46" s="704">
        <f t="shared" ref="F46" si="43">+F43-F44+F45</f>
        <v>16974913.241991773</v>
      </c>
      <c r="G46" s="704">
        <f t="shared" ref="G46" si="44">+G43-G44+G45</f>
        <v>16835619.72891831</v>
      </c>
      <c r="H46" s="704">
        <f t="shared" ref="H46" si="45">+H43-H44+H45</f>
        <v>17071343.594430149</v>
      </c>
      <c r="I46" s="704">
        <f t="shared" ref="I46" si="46">+I43-I44+I45</f>
        <v>16308180.620878749</v>
      </c>
      <c r="J46" s="704">
        <f t="shared" ref="J46" si="47">+J43-J44+J45</f>
        <v>16436757.274794295</v>
      </c>
      <c r="K46" s="704">
        <f t="shared" ref="K46" si="48">+K43-K44+K45</f>
        <v>15926758.007029397</v>
      </c>
      <c r="L46" s="704">
        <f t="shared" ref="L46" si="49">+L43-L44+L45</f>
        <v>15229587.074715402</v>
      </c>
      <c r="M46" s="704">
        <f t="shared" ref="M46" si="50">+M43-M44+M45</f>
        <v>15454596.219067611</v>
      </c>
      <c r="N46" s="704">
        <f t="shared" ref="N46" si="51">+N43-N44+N45</f>
        <v>14584286.033919921</v>
      </c>
      <c r="O46" s="286"/>
    </row>
    <row r="49" spans="2:15" x14ac:dyDescent="0.2">
      <c r="B49" s="4" t="s">
        <v>983</v>
      </c>
    </row>
    <row r="50" spans="2:15" ht="17" thickBot="1" x14ac:dyDescent="0.25"/>
    <row r="51" spans="2:15" x14ac:dyDescent="0.2">
      <c r="B51" s="269"/>
      <c r="C51" s="798" t="s">
        <v>99</v>
      </c>
      <c r="D51" s="756"/>
      <c r="E51" s="756"/>
      <c r="F51" s="756"/>
      <c r="G51" s="756"/>
      <c r="H51" s="756"/>
      <c r="I51" s="756"/>
      <c r="J51" s="756"/>
      <c r="K51" s="756"/>
      <c r="L51" s="756"/>
      <c r="M51" s="756"/>
      <c r="N51" s="756"/>
      <c r="O51" s="757"/>
    </row>
    <row r="52" spans="2:15" x14ac:dyDescent="0.2">
      <c r="B52" s="714" t="s">
        <v>133</v>
      </c>
      <c r="C52" s="277" t="s">
        <v>114</v>
      </c>
      <c r="D52" s="277" t="s">
        <v>115</v>
      </c>
      <c r="E52" s="277" t="s">
        <v>116</v>
      </c>
      <c r="F52" s="277" t="s">
        <v>117</v>
      </c>
      <c r="G52" s="277" t="s">
        <v>118</v>
      </c>
      <c r="H52" s="277" t="s">
        <v>119</v>
      </c>
      <c r="I52" s="277" t="s">
        <v>120</v>
      </c>
      <c r="J52" s="277" t="s">
        <v>121</v>
      </c>
      <c r="K52" s="277" t="s">
        <v>122</v>
      </c>
      <c r="L52" s="277" t="s">
        <v>123</v>
      </c>
      <c r="M52" s="277" t="s">
        <v>124</v>
      </c>
      <c r="N52" s="277" t="s">
        <v>125</v>
      </c>
      <c r="O52" s="282" t="s">
        <v>82</v>
      </c>
    </row>
    <row r="53" spans="2:15" x14ac:dyDescent="0.2">
      <c r="B53" s="160" t="s">
        <v>134</v>
      </c>
      <c r="C53" s="346">
        <f>'Tab 5'!C$12*'Tab. 17'!$C$11</f>
        <v>14408351.153102228</v>
      </c>
      <c r="D53" s="346">
        <f>+C56</f>
        <v>14500241.496856537</v>
      </c>
      <c r="E53" s="346">
        <f t="shared" ref="E53:N53" si="52">+D56</f>
        <v>14732824.114184354</v>
      </c>
      <c r="F53" s="346">
        <f t="shared" si="52"/>
        <v>14801387.115269694</v>
      </c>
      <c r="G53" s="346">
        <f t="shared" si="52"/>
        <v>14908592.516316386</v>
      </c>
      <c r="H53" s="346">
        <f t="shared" si="52"/>
        <v>15015797.917363077</v>
      </c>
      <c r="I53" s="346">
        <f t="shared" si="52"/>
        <v>15128108.337507229</v>
      </c>
      <c r="J53" s="346">
        <f t="shared" si="52"/>
        <v>14336726.97332881</v>
      </c>
      <c r="K53" s="346">
        <f t="shared" si="52"/>
        <v>14397987.202498347</v>
      </c>
      <c r="L53" s="346">
        <f t="shared" si="52"/>
        <v>14063150.29081234</v>
      </c>
      <c r="M53" s="346">
        <f t="shared" si="52"/>
        <v>13234063.785236105</v>
      </c>
      <c r="N53" s="346">
        <f t="shared" si="52"/>
        <v>13341269.186282797</v>
      </c>
      <c r="O53" s="178"/>
    </row>
    <row r="54" spans="2:15" x14ac:dyDescent="0.2">
      <c r="B54" s="280" t="s">
        <v>968</v>
      </c>
      <c r="C54" s="346">
        <f>'Tab 5'!C$13*'Tab. 17'!$C$11</f>
        <v>6027064.4103481444</v>
      </c>
      <c r="D54" s="346">
        <f>'Tab 5'!D$13*'Tab. 17'!$C$11</f>
        <v>6696738.2337201601</v>
      </c>
      <c r="E54" s="346">
        <f>'Tab 5'!E$13*'Tab. 17'!$C$11</f>
        <v>7701248.9687781855</v>
      </c>
      <c r="F54" s="346">
        <f>'Tab 5'!F$13*'Tab. 17'!$C$11</f>
        <v>7031575.1454061698</v>
      </c>
      <c r="G54" s="346">
        <f>'Tab 5'!G$13*'Tab. 17'!$C$11</f>
        <v>7031575.1454061698</v>
      </c>
      <c r="H54" s="346">
        <f>'Tab 5'!H$13*'Tab. 17'!$C$11</f>
        <v>7366412.0570921777</v>
      </c>
      <c r="I54" s="346">
        <f>'Tab 5'!I$13*'Tab. 17'!$C$11</f>
        <v>7366412.0570921777</v>
      </c>
      <c r="J54" s="346">
        <f>'Tab 5'!J$13*'Tab. 17'!$C$11</f>
        <v>4018042.9402320972</v>
      </c>
      <c r="K54" s="346">
        <f>'Tab 5'!K$13*'Tab. 17'!$C$11</f>
        <v>7366412.0570921777</v>
      </c>
      <c r="L54" s="346">
        <f>'Tab 5'!L$13*'Tab. 17'!$C$11</f>
        <v>7031575.1454061698</v>
      </c>
      <c r="M54" s="346">
        <f>'Tab 5'!M$13*'Tab. 17'!$C$11</f>
        <v>7031575.1454061698</v>
      </c>
      <c r="N54" s="346">
        <f>'Tab 5'!N$13*'Tab. 17'!$C$11</f>
        <v>4018042.9402320972</v>
      </c>
      <c r="O54" s="178">
        <f>SUM(C54:N54)</f>
        <v>78686674.246211886</v>
      </c>
    </row>
    <row r="55" spans="2:15" ht="17" thickBot="1" x14ac:dyDescent="0.25">
      <c r="B55" s="280" t="s">
        <v>969</v>
      </c>
      <c r="C55" s="346">
        <f>'Tab 5'!C$15*'Tab. 17'!$C$11</f>
        <v>6118954.7541024517</v>
      </c>
      <c r="D55" s="346">
        <f>'Tab 5'!D$15*'Tab. 17'!$C$11</f>
        <v>6929320.8510479778</v>
      </c>
      <c r="E55" s="346">
        <f>'Tab 5'!E$15*'Tab. 17'!$C$11</f>
        <v>7769811.9698635275</v>
      </c>
      <c r="F55" s="346">
        <f>'Tab 5'!F$15*'Tab. 17'!$C$11</f>
        <v>7138780.5464528613</v>
      </c>
      <c r="G55" s="346">
        <f>'Tab 5'!G$15*'Tab. 17'!$C$11</f>
        <v>7138780.5464528613</v>
      </c>
      <c r="H55" s="346">
        <f>'Tab 5'!H$15*'Tab. 17'!$C$11</f>
        <v>7478722.4772363305</v>
      </c>
      <c r="I55" s="346">
        <f>'Tab 5'!I$15*'Tab. 17'!$C$11</f>
        <v>6575030.6929137586</v>
      </c>
      <c r="J55" s="346">
        <f>'Tab 5'!J$15*'Tab. 17'!$C$11</f>
        <v>4079303.1694016345</v>
      </c>
      <c r="K55" s="346">
        <f>'Tab 5'!K$15*'Tab. 17'!$C$11</f>
        <v>7031575.1454061707</v>
      </c>
      <c r="L55" s="346">
        <f>'Tab 5'!L$15*'Tab. 17'!$C$11</f>
        <v>6202488.6398299355</v>
      </c>
      <c r="M55" s="346">
        <f>'Tab 5'!M$15*'Tab. 17'!$C$11</f>
        <v>7138780.5464528613</v>
      </c>
      <c r="N55" s="346">
        <f>'Tab 5'!N$15*'Tab. 17'!$C$11</f>
        <v>3175611.385079063</v>
      </c>
      <c r="O55" s="178">
        <f>SUM(C55:N55)</f>
        <v>76777160.724239424</v>
      </c>
    </row>
    <row r="56" spans="2:15" ht="17" thickBot="1" x14ac:dyDescent="0.25">
      <c r="B56" s="281" t="s">
        <v>970</v>
      </c>
      <c r="C56" s="704">
        <f>+C53-C54+C55</f>
        <v>14500241.496856537</v>
      </c>
      <c r="D56" s="704">
        <f>+D53-D54+D55</f>
        <v>14732824.114184354</v>
      </c>
      <c r="E56" s="704">
        <f t="shared" ref="E56" si="53">+E53-E54+E55</f>
        <v>14801387.115269694</v>
      </c>
      <c r="F56" s="704">
        <f t="shared" ref="F56" si="54">+F53-F54+F55</f>
        <v>14908592.516316386</v>
      </c>
      <c r="G56" s="704">
        <f t="shared" ref="G56" si="55">+G53-G54+G55</f>
        <v>15015797.917363077</v>
      </c>
      <c r="H56" s="704">
        <f t="shared" ref="H56" si="56">+H53-H54+H55</f>
        <v>15128108.337507229</v>
      </c>
      <c r="I56" s="704">
        <f t="shared" ref="I56" si="57">+I53-I54+I55</f>
        <v>14336726.97332881</v>
      </c>
      <c r="J56" s="704">
        <f t="shared" ref="J56" si="58">+J53-J54+J55</f>
        <v>14397987.202498347</v>
      </c>
      <c r="K56" s="704">
        <f t="shared" ref="K56" si="59">+K53-K54+K55</f>
        <v>14063150.29081234</v>
      </c>
      <c r="L56" s="704">
        <f t="shared" ref="L56" si="60">+L53-L54+L55</f>
        <v>13234063.785236105</v>
      </c>
      <c r="M56" s="704">
        <f t="shared" ref="M56" si="61">+M53-M54+M55</f>
        <v>13341269.186282797</v>
      </c>
      <c r="N56" s="704">
        <f t="shared" ref="N56" si="62">+N53-N54+N55</f>
        <v>12498837.631129764</v>
      </c>
      <c r="O56" s="286"/>
    </row>
    <row r="57" spans="2:15" x14ac:dyDescent="0.2">
      <c r="B57" s="280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178"/>
    </row>
    <row r="58" spans="2:15" x14ac:dyDescent="0.2">
      <c r="B58" s="715" t="s">
        <v>144</v>
      </c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178"/>
    </row>
    <row r="59" spans="2:15" x14ac:dyDescent="0.2">
      <c r="B59" s="160" t="s">
        <v>134</v>
      </c>
      <c r="C59" s="346">
        <f>'Tab 5'!C$25*'Tab. 17'!$C$17</f>
        <v>2216279.0150758782</v>
      </c>
      <c r="D59" s="346">
        <f>+C62</f>
        <v>2297204.8688143254</v>
      </c>
      <c r="E59" s="346">
        <f t="shared" ref="E59:N59" si="63">+D62</f>
        <v>2333098.6948895482</v>
      </c>
      <c r="F59" s="346">
        <f t="shared" si="63"/>
        <v>2297204.8688143268</v>
      </c>
      <c r="G59" s="346">
        <f t="shared" si="63"/>
        <v>2333098.6948895506</v>
      </c>
      <c r="H59" s="346">
        <f t="shared" si="63"/>
        <v>2083718.2635611594</v>
      </c>
      <c r="I59" s="346">
        <f t="shared" si="63"/>
        <v>2211122.0534210368</v>
      </c>
      <c r="J59" s="346">
        <f t="shared" si="63"/>
        <v>2227711.8925271202</v>
      </c>
      <c r="K59" s="346">
        <f t="shared" si="63"/>
        <v>2297204.8688143264</v>
      </c>
      <c r="L59" s="346">
        <f t="shared" si="63"/>
        <v>2113686.2665146221</v>
      </c>
      <c r="M59" s="346">
        <f t="shared" si="63"/>
        <v>2235298.9750172324</v>
      </c>
      <c r="N59" s="346">
        <f t="shared" si="63"/>
        <v>2356911.6835198426</v>
      </c>
      <c r="O59" s="178"/>
    </row>
    <row r="60" spans="2:15" x14ac:dyDescent="0.2">
      <c r="B60" s="280" t="s">
        <v>968</v>
      </c>
      <c r="C60" s="346">
        <f>'Tab 5'!C$26*'Tab. 17'!$C$17</f>
        <v>646088.86935402884</v>
      </c>
      <c r="D60" s="346">
        <f>'Tab 5'!D$26*'Tab. 17'!$C$17</f>
        <v>717876.52150447655</v>
      </c>
      <c r="E60" s="346">
        <f>'Tab 5'!E$26*'Tab. 17'!$C$17</f>
        <v>825557.999730148</v>
      </c>
      <c r="F60" s="346">
        <f>'Tab 5'!F$26*'Tab. 17'!$C$17</f>
        <v>753770.34757970029</v>
      </c>
      <c r="G60" s="346">
        <f>'Tab 5'!G$26*'Tab. 17'!$C$17</f>
        <v>753770.34757970029</v>
      </c>
      <c r="H60" s="346">
        <f>'Tab 5'!H$26*'Tab. 17'!$C$17</f>
        <v>789664.17365492403</v>
      </c>
      <c r="I60" s="346">
        <f>'Tab 5'!I$26*'Tab. 17'!$C$17</f>
        <v>789664.17365492403</v>
      </c>
      <c r="J60" s="346">
        <f>'Tab 5'!J$26*'Tab. 17'!$C$17</f>
        <v>430725.91290268587</v>
      </c>
      <c r="K60" s="346">
        <f>'Tab 5'!K$26*'Tab. 17'!$C$17</f>
        <v>789664.17365492403</v>
      </c>
      <c r="L60" s="346">
        <f>'Tab 5'!L$26*'Tab. 17'!$C$17</f>
        <v>753770.34757970029</v>
      </c>
      <c r="M60" s="346">
        <f>'Tab 5'!M$26*'Tab. 17'!$C$17</f>
        <v>753770.34757970029</v>
      </c>
      <c r="N60" s="346">
        <f>'Tab 5'!N$26*'Tab. 17'!$C$17</f>
        <v>430725.91290268587</v>
      </c>
      <c r="O60" s="178">
        <f>SUM(C60:N60)</f>
        <v>8435049.127677599</v>
      </c>
    </row>
    <row r="61" spans="2:15" ht="17" thickBot="1" x14ac:dyDescent="0.25">
      <c r="B61" s="280" t="s">
        <v>969</v>
      </c>
      <c r="C61" s="346">
        <f>'Tab 5'!C$28*'Tab. 17'!$C$17</f>
        <v>727014.72309247602</v>
      </c>
      <c r="D61" s="346">
        <f>'Tab 5'!D$28*'Tab. 17'!$C$17</f>
        <v>753770.34757969971</v>
      </c>
      <c r="E61" s="346">
        <f>'Tab 5'!E$28*'Tab. 17'!$C$17</f>
        <v>789664.17365492624</v>
      </c>
      <c r="F61" s="346">
        <f>'Tab 5'!F$28*'Tab. 17'!$C$17</f>
        <v>789664.17365492403</v>
      </c>
      <c r="G61" s="346">
        <f>'Tab 5'!G$28*'Tab. 17'!$C$17</f>
        <v>504389.91625130922</v>
      </c>
      <c r="H61" s="346">
        <f>'Tab 5'!H$28*'Tab. 17'!$C$17</f>
        <v>917067.9635148017</v>
      </c>
      <c r="I61" s="346">
        <f>'Tab 5'!I$28*'Tab. 17'!$C$17</f>
        <v>806254.01276100776</v>
      </c>
      <c r="J61" s="346">
        <f>'Tab 5'!J$28*'Tab. 17'!$C$17</f>
        <v>500218.88918989187</v>
      </c>
      <c r="K61" s="346">
        <f>'Tab 5'!K$28*'Tab. 17'!$C$17</f>
        <v>606145.57135522005</v>
      </c>
      <c r="L61" s="346">
        <f>'Tab 5'!L$28*'Tab. 17'!$C$17</f>
        <v>875383.05608231074</v>
      </c>
      <c r="M61" s="346">
        <f>'Tab 5'!M$28*'Tab. 17'!$C$17</f>
        <v>875383.05608231074</v>
      </c>
      <c r="N61" s="346">
        <f>'Tab 5'!N$28*'Tab. 17'!$C$17</f>
        <v>389404.93843609793</v>
      </c>
      <c r="O61" s="178">
        <f>SUM(C61:N61)</f>
        <v>8534360.8216549773</v>
      </c>
    </row>
    <row r="62" spans="2:15" ht="17" thickBot="1" x14ac:dyDescent="0.25">
      <c r="B62" s="281" t="s">
        <v>970</v>
      </c>
      <c r="C62" s="704">
        <f>+C59-C60+C61</f>
        <v>2297204.8688143254</v>
      </c>
      <c r="D62" s="704">
        <f>+D59-D60+D61</f>
        <v>2333098.6948895482</v>
      </c>
      <c r="E62" s="704">
        <f t="shared" ref="E62" si="64">+E59-E60+E61</f>
        <v>2297204.8688143268</v>
      </c>
      <c r="F62" s="704">
        <f t="shared" ref="F62" si="65">+F59-F60+F61</f>
        <v>2333098.6948895506</v>
      </c>
      <c r="G62" s="704">
        <f t="shared" ref="G62" si="66">+G59-G60+G61</f>
        <v>2083718.2635611594</v>
      </c>
      <c r="H62" s="704">
        <f t="shared" ref="H62" si="67">+H59-H60+H61</f>
        <v>2211122.0534210368</v>
      </c>
      <c r="I62" s="704">
        <f t="shared" ref="I62" si="68">+I59-I60+I61</f>
        <v>2227711.8925271202</v>
      </c>
      <c r="J62" s="704">
        <f t="shared" ref="J62" si="69">+J59-J60+J61</f>
        <v>2297204.8688143264</v>
      </c>
      <c r="K62" s="704">
        <f t="shared" ref="K62" si="70">+K59-K60+K61</f>
        <v>2113686.2665146221</v>
      </c>
      <c r="L62" s="704">
        <f t="shared" ref="L62" si="71">+L59-L60+L61</f>
        <v>2235298.9750172324</v>
      </c>
      <c r="M62" s="704">
        <f t="shared" ref="M62" si="72">+M59-M60+M61</f>
        <v>2356911.6835198426</v>
      </c>
      <c r="N62" s="704">
        <f t="shared" ref="N62" si="73">+N59-N60+N61</f>
        <v>2315590.7090532547</v>
      </c>
      <c r="O62" s="286"/>
    </row>
    <row r="63" spans="2:15" x14ac:dyDescent="0.2">
      <c r="B63" s="715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178"/>
    </row>
    <row r="64" spans="2:15" x14ac:dyDescent="0.2">
      <c r="B64" s="715" t="s">
        <v>973</v>
      </c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178"/>
    </row>
    <row r="65" spans="2:15" x14ac:dyDescent="0.2">
      <c r="B65" s="160" t="s">
        <v>134</v>
      </c>
      <c r="C65" s="346">
        <f>+C53+C59</f>
        <v>16624630.168178108</v>
      </c>
      <c r="D65" s="346">
        <f>+C68</f>
        <v>16797446.36567086</v>
      </c>
      <c r="E65" s="346">
        <f t="shared" ref="E65:N65" si="74">+D68</f>
        <v>17065922.809073899</v>
      </c>
      <c r="F65" s="346">
        <f t="shared" si="74"/>
        <v>17098591.984084018</v>
      </c>
      <c r="G65" s="346">
        <f t="shared" si="74"/>
        <v>17241691.211205933</v>
      </c>
      <c r="H65" s="346">
        <f t="shared" si="74"/>
        <v>17099516.180924233</v>
      </c>
      <c r="I65" s="346">
        <f t="shared" si="74"/>
        <v>17339230.390928261</v>
      </c>
      <c r="J65" s="346">
        <f t="shared" si="74"/>
        <v>16564438.865855925</v>
      </c>
      <c r="K65" s="346">
        <f t="shared" si="74"/>
        <v>16695192.071312668</v>
      </c>
      <c r="L65" s="346">
        <f t="shared" si="74"/>
        <v>16176836.557326958</v>
      </c>
      <c r="M65" s="346">
        <f t="shared" si="74"/>
        <v>15469362.760253333</v>
      </c>
      <c r="N65" s="346">
        <f t="shared" si="74"/>
        <v>15698180.869802635</v>
      </c>
      <c r="O65" s="178"/>
    </row>
    <row r="66" spans="2:15" x14ac:dyDescent="0.2">
      <c r="B66" s="280" t="s">
        <v>968</v>
      </c>
      <c r="C66" s="346">
        <f>+C54+C60</f>
        <v>6673153.2797021735</v>
      </c>
      <c r="D66" s="346">
        <f t="shared" ref="D66:N66" si="75">+D54+D60</f>
        <v>7414614.7552246368</v>
      </c>
      <c r="E66" s="346">
        <f t="shared" si="75"/>
        <v>8526806.968508333</v>
      </c>
      <c r="F66" s="346">
        <f t="shared" si="75"/>
        <v>7785345.4929858698</v>
      </c>
      <c r="G66" s="346">
        <f t="shared" si="75"/>
        <v>7785345.4929858698</v>
      </c>
      <c r="H66" s="346">
        <f t="shared" si="75"/>
        <v>8156076.2307471018</v>
      </c>
      <c r="I66" s="346">
        <f t="shared" si="75"/>
        <v>8156076.2307471018</v>
      </c>
      <c r="J66" s="346">
        <f t="shared" si="75"/>
        <v>4448768.853134783</v>
      </c>
      <c r="K66" s="346">
        <f t="shared" si="75"/>
        <v>8156076.2307471018</v>
      </c>
      <c r="L66" s="346">
        <f t="shared" si="75"/>
        <v>7785345.4929858698</v>
      </c>
      <c r="M66" s="346">
        <f t="shared" si="75"/>
        <v>7785345.4929858698</v>
      </c>
      <c r="N66" s="346">
        <f t="shared" si="75"/>
        <v>4448768.853134783</v>
      </c>
      <c r="O66" s="178">
        <f>SUM(C66:N66)</f>
        <v>87121723.373889506</v>
      </c>
    </row>
    <row r="67" spans="2:15" ht="17" thickBot="1" x14ac:dyDescent="0.25">
      <c r="B67" s="280" t="s">
        <v>969</v>
      </c>
      <c r="C67" s="346">
        <f>+C55+C61</f>
        <v>6845969.4771949276</v>
      </c>
      <c r="D67" s="346">
        <f t="shared" ref="D67:N67" si="76">+D55+D61</f>
        <v>7683091.1986276777</v>
      </c>
      <c r="E67" s="346">
        <f t="shared" si="76"/>
        <v>8559476.1435184535</v>
      </c>
      <c r="F67" s="346">
        <f t="shared" si="76"/>
        <v>7928444.7201077854</v>
      </c>
      <c r="G67" s="346">
        <f t="shared" si="76"/>
        <v>7643170.4627041705</v>
      </c>
      <c r="H67" s="346">
        <f t="shared" si="76"/>
        <v>8395790.4407511316</v>
      </c>
      <c r="I67" s="346">
        <f t="shared" si="76"/>
        <v>7381284.7056747666</v>
      </c>
      <c r="J67" s="346">
        <f t="shared" si="76"/>
        <v>4579522.058591526</v>
      </c>
      <c r="K67" s="346">
        <f t="shared" si="76"/>
        <v>7637720.7167613907</v>
      </c>
      <c r="L67" s="346">
        <f t="shared" si="76"/>
        <v>7077871.6959122466</v>
      </c>
      <c r="M67" s="346">
        <f t="shared" si="76"/>
        <v>8014163.6025351724</v>
      </c>
      <c r="N67" s="346">
        <f t="shared" si="76"/>
        <v>3565016.3235151609</v>
      </c>
      <c r="O67" s="178">
        <f>SUM(C67:N67)</f>
        <v>85311521.545894414</v>
      </c>
    </row>
    <row r="68" spans="2:15" ht="17" thickBot="1" x14ac:dyDescent="0.25">
      <c r="B68" s="281" t="s">
        <v>970</v>
      </c>
      <c r="C68" s="704">
        <f>+C65-C66+C67</f>
        <v>16797446.36567086</v>
      </c>
      <c r="D68" s="704">
        <f>+D65-D66+D67</f>
        <v>17065922.809073899</v>
      </c>
      <c r="E68" s="704">
        <f t="shared" ref="E68" si="77">+E65-E66+E67</f>
        <v>17098591.984084018</v>
      </c>
      <c r="F68" s="704">
        <f t="shared" ref="F68" si="78">+F65-F66+F67</f>
        <v>17241691.211205933</v>
      </c>
      <c r="G68" s="704">
        <f t="shared" ref="G68" si="79">+G65-G66+G67</f>
        <v>17099516.180924233</v>
      </c>
      <c r="H68" s="704">
        <f t="shared" ref="H68" si="80">+H65-H66+H67</f>
        <v>17339230.390928261</v>
      </c>
      <c r="I68" s="704">
        <f t="shared" ref="I68" si="81">+I65-I66+I67</f>
        <v>16564438.865855925</v>
      </c>
      <c r="J68" s="704">
        <f t="shared" ref="J68" si="82">+J65-J66+J67</f>
        <v>16695192.071312668</v>
      </c>
      <c r="K68" s="704">
        <f t="shared" ref="K68" si="83">+K65-K66+K67</f>
        <v>16176836.557326958</v>
      </c>
      <c r="L68" s="704">
        <f t="shared" ref="L68" si="84">+L65-L66+L67</f>
        <v>15469362.760253333</v>
      </c>
      <c r="M68" s="704">
        <f t="shared" ref="M68" si="85">+M65-M66+M67</f>
        <v>15698180.869802635</v>
      </c>
      <c r="N68" s="704">
        <f t="shared" ref="N68" si="86">+N65-N66+N67</f>
        <v>14814428.340183012</v>
      </c>
      <c r="O68" s="286"/>
    </row>
  </sheetData>
  <mergeCells count="3">
    <mergeCell ref="C7:O7"/>
    <mergeCell ref="C29:O29"/>
    <mergeCell ref="C51:O5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96EF-DCD9-3543-BC0F-D8B2B056A5D2}">
  <dimension ref="B2:P40"/>
  <sheetViews>
    <sheetView showGridLines="0" topLeftCell="A18" zoomScale="199" zoomScaleNormal="160" workbookViewId="0">
      <selection activeCell="C36" sqref="C36"/>
    </sheetView>
  </sheetViews>
  <sheetFormatPr baseColWidth="10" defaultRowHeight="16" x14ac:dyDescent="0.15"/>
  <cols>
    <col min="1" max="1" width="10.83203125" style="84"/>
    <col min="2" max="2" width="27.83203125" style="84" customWidth="1"/>
    <col min="3" max="3" width="13.6640625" style="84" bestFit="1" customWidth="1"/>
    <col min="4" max="4" width="7.1640625" style="685" customWidth="1"/>
    <col min="5" max="5" width="12.6640625" style="84" bestFit="1" customWidth="1"/>
    <col min="6" max="6" width="7.1640625" style="685" bestFit="1" customWidth="1"/>
    <col min="7" max="7" width="13.1640625" style="84" bestFit="1" customWidth="1"/>
    <col min="8" max="8" width="6.6640625" style="685" customWidth="1"/>
    <col min="9" max="9" width="7.1640625" style="84" customWidth="1"/>
    <col min="10" max="10" width="24" style="84" customWidth="1"/>
    <col min="11" max="11" width="13.1640625" style="84" bestFit="1" customWidth="1"/>
    <col min="12" max="12" width="10.83203125" style="84"/>
    <col min="13" max="13" width="12.1640625" style="84" bestFit="1" customWidth="1"/>
    <col min="14" max="14" width="10.83203125" style="84"/>
    <col min="15" max="15" width="12.6640625" style="84" customWidth="1"/>
    <col min="16" max="16384" width="10.83203125" style="84"/>
  </cols>
  <sheetData>
    <row r="2" spans="2:16" x14ac:dyDescent="0.15">
      <c r="B2" s="84" t="s">
        <v>981</v>
      </c>
    </row>
    <row r="4" spans="2:16" x14ac:dyDescent="0.15">
      <c r="B4" s="699" t="s">
        <v>963</v>
      </c>
      <c r="J4" s="699" t="s">
        <v>964</v>
      </c>
    </row>
    <row r="6" spans="2:16" x14ac:dyDescent="0.15">
      <c r="C6" s="829" t="s">
        <v>99</v>
      </c>
      <c r="D6" s="830"/>
      <c r="E6" s="830"/>
      <c r="F6" s="830"/>
      <c r="G6" s="830"/>
      <c r="H6" s="831"/>
      <c r="K6" s="829" t="s">
        <v>99</v>
      </c>
      <c r="L6" s="830"/>
      <c r="M6" s="830"/>
      <c r="N6" s="830"/>
      <c r="O6" s="830"/>
      <c r="P6" s="831"/>
    </row>
    <row r="7" spans="2:16" x14ac:dyDescent="0.15">
      <c r="C7" s="686" t="s">
        <v>92</v>
      </c>
      <c r="D7" s="687" t="s">
        <v>903</v>
      </c>
      <c r="E7" s="686" t="s">
        <v>93</v>
      </c>
      <c r="F7" s="687" t="s">
        <v>903</v>
      </c>
      <c r="G7" s="686" t="s">
        <v>3</v>
      </c>
      <c r="H7" s="687" t="s">
        <v>903</v>
      </c>
      <c r="K7" s="686" t="s">
        <v>92</v>
      </c>
      <c r="L7" s="687" t="s">
        <v>903</v>
      </c>
      <c r="M7" s="686" t="s">
        <v>93</v>
      </c>
      <c r="N7" s="687" t="s">
        <v>903</v>
      </c>
      <c r="O7" s="686" t="s">
        <v>3</v>
      </c>
      <c r="P7" s="687" t="s">
        <v>903</v>
      </c>
    </row>
    <row r="8" spans="2:16" x14ac:dyDescent="0.15">
      <c r="B8" s="688" t="s">
        <v>37</v>
      </c>
      <c r="C8" s="689">
        <f>'Tab 2'!$N$14</f>
        <v>122876667.26935484</v>
      </c>
      <c r="D8" s="690">
        <f>C8/C$8</f>
        <v>1</v>
      </c>
      <c r="E8" s="689">
        <f>+'Tab 2'!$N$15</f>
        <v>20932729.988709681</v>
      </c>
      <c r="F8" s="690">
        <f>E8/E$8</f>
        <v>1</v>
      </c>
      <c r="G8" s="689">
        <f>+C8+E8</f>
        <v>143809397.25806451</v>
      </c>
      <c r="H8" s="690">
        <f>G8/G$8</f>
        <v>1</v>
      </c>
      <c r="J8" s="688" t="s">
        <v>37</v>
      </c>
      <c r="K8" s="689">
        <f>+C8</f>
        <v>122876667.26935484</v>
      </c>
      <c r="L8" s="690">
        <f>K8/K$11</f>
        <v>1.0170004554272722</v>
      </c>
      <c r="M8" s="689">
        <f>+E8</f>
        <v>20932729.988709681</v>
      </c>
      <c r="N8" s="690">
        <f>M8/M$11</f>
        <v>0.99753940870971913</v>
      </c>
      <c r="O8" s="689">
        <f>+K8+M8</f>
        <v>143809397.25806451</v>
      </c>
      <c r="P8" s="690">
        <f>O8/O$11</f>
        <v>1.0141206419393962</v>
      </c>
    </row>
    <row r="9" spans="2:16" x14ac:dyDescent="0.15">
      <c r="B9" s="691" t="s">
        <v>943</v>
      </c>
      <c r="C9" s="716">
        <f>0.2%*C8</f>
        <v>245753.33453870966</v>
      </c>
      <c r="D9" s="690">
        <f t="shared" ref="D9" si="0">C9/C$8</f>
        <v>2E-3</v>
      </c>
      <c r="E9" s="716">
        <f>0.2%*E8</f>
        <v>41865.459977419363</v>
      </c>
      <c r="F9" s="690">
        <f t="shared" ref="F9" si="1">E9/E$8</f>
        <v>2E-3</v>
      </c>
      <c r="G9" s="689">
        <f>+C9+E9</f>
        <v>287618.79451612901</v>
      </c>
      <c r="H9" s="690">
        <f>G9/G$8</f>
        <v>2E-3</v>
      </c>
      <c r="J9" s="691" t="s">
        <v>943</v>
      </c>
      <c r="K9" s="716">
        <f>0.2%*K8</f>
        <v>245753.33453870966</v>
      </c>
      <c r="L9" s="690">
        <f>K9/K$11</f>
        <v>2.0340009108545444E-3</v>
      </c>
      <c r="M9" s="716">
        <f>0.2%*M8</f>
        <v>41865.459977419363</v>
      </c>
      <c r="N9" s="690">
        <f>M9/M$11</f>
        <v>1.9950788174194381E-3</v>
      </c>
      <c r="O9" s="689">
        <f>+K9+M9</f>
        <v>287618.79451612901</v>
      </c>
      <c r="P9" s="690">
        <f>O9/O$11</f>
        <v>2.0282412838787925E-3</v>
      </c>
    </row>
    <row r="10" spans="2:16" x14ac:dyDescent="0.15">
      <c r="B10" s="691"/>
      <c r="C10" s="103"/>
      <c r="D10" s="690"/>
      <c r="E10" s="103"/>
      <c r="F10" s="690"/>
      <c r="G10" s="103"/>
      <c r="H10" s="690"/>
      <c r="J10" s="691" t="s">
        <v>965</v>
      </c>
      <c r="K10" s="689">
        <f>'Tab. 23'!N12-'Tab. 23'!C9</f>
        <v>-1808286.3601503111</v>
      </c>
      <c r="L10" s="690">
        <f>K10/K$11</f>
        <v>-1.4966454516417703E-2</v>
      </c>
      <c r="M10" s="689">
        <f>'Tab. 23'!N18-'Tab. 23'!C15</f>
        <v>93499.403100169962</v>
      </c>
      <c r="N10" s="690">
        <f>M10/M$11</f>
        <v>4.4556701077002932E-3</v>
      </c>
      <c r="O10" s="689">
        <f>+K10+M10</f>
        <v>-1714786.9570501412</v>
      </c>
      <c r="P10" s="690">
        <f>O10/O$11</f>
        <v>-1.209240065551748E-2</v>
      </c>
    </row>
    <row r="11" spans="2:16" x14ac:dyDescent="0.15">
      <c r="B11" s="692" t="s">
        <v>945</v>
      </c>
      <c r="C11" s="693">
        <f>+C8-C9</f>
        <v>122630913.93481612</v>
      </c>
      <c r="D11" s="694">
        <f t="shared" ref="D11:D19" si="2">C11/C$8</f>
        <v>0.998</v>
      </c>
      <c r="E11" s="693">
        <f>+E8-E9</f>
        <v>20890864.528732263</v>
      </c>
      <c r="F11" s="694">
        <f t="shared" ref="F11:F19" si="3">E11/E$8</f>
        <v>0.99800000000000011</v>
      </c>
      <c r="G11" s="693">
        <f>+G8-G9</f>
        <v>143521778.46354839</v>
      </c>
      <c r="H11" s="694">
        <f>G11/G$8</f>
        <v>0.99800000000000011</v>
      </c>
      <c r="J11" s="692" t="s">
        <v>971</v>
      </c>
      <c r="K11" s="693">
        <f>+K8-K9+K10</f>
        <v>120822627.57466581</v>
      </c>
      <c r="L11" s="694">
        <f>K11/K$11</f>
        <v>1</v>
      </c>
      <c r="M11" s="693">
        <f>+M8-M9+M10</f>
        <v>20984363.931832433</v>
      </c>
      <c r="N11" s="694">
        <f>M11/M$11</f>
        <v>1</v>
      </c>
      <c r="O11" s="693">
        <f>+O8-O9+O10</f>
        <v>141806991.50649825</v>
      </c>
      <c r="P11" s="694">
        <f>O11/O$11</f>
        <v>1</v>
      </c>
    </row>
    <row r="12" spans="2:16" x14ac:dyDescent="0.15">
      <c r="B12" s="103"/>
      <c r="C12" s="103"/>
      <c r="D12" s="690"/>
      <c r="E12" s="103"/>
      <c r="F12" s="690"/>
      <c r="G12" s="103"/>
      <c r="H12" s="690"/>
      <c r="J12" s="103"/>
      <c r="K12" s="103"/>
      <c r="L12" s="690"/>
      <c r="M12" s="103"/>
      <c r="N12" s="690"/>
      <c r="O12" s="103"/>
      <c r="P12" s="690"/>
    </row>
    <row r="13" spans="2:16" x14ac:dyDescent="0.15">
      <c r="B13" s="103" t="s">
        <v>938</v>
      </c>
      <c r="C13" s="689">
        <f>'Tab. 14'!$C$10*'Tab 2'!$L$14</f>
        <v>74515334.993824854</v>
      </c>
      <c r="D13" s="690">
        <f t="shared" si="2"/>
        <v>0.60642379590652207</v>
      </c>
      <c r="E13" s="689">
        <f>'Tab. 14'!$C$14*'Tab 2'!$L$15</f>
        <v>7941381.5933713159</v>
      </c>
      <c r="F13" s="690">
        <f t="shared" si="3"/>
        <v>0.37937629719843496</v>
      </c>
      <c r="G13" s="689">
        <f>+C13+E13</f>
        <v>82456716.587196171</v>
      </c>
      <c r="H13" s="690">
        <f>G13/G$8</f>
        <v>0.57337502388128658</v>
      </c>
      <c r="J13" s="103" t="s">
        <v>972</v>
      </c>
      <c r="K13" s="689">
        <f>'Tab. 23'!O11</f>
        <v>72707048.633674547</v>
      </c>
      <c r="L13" s="690">
        <f>K13/K$11</f>
        <v>0.60176682210245047</v>
      </c>
      <c r="M13" s="689">
        <f>+'Tab. 23'!O17</f>
        <v>8034880.996471487</v>
      </c>
      <c r="N13" s="690">
        <f>M13/M$11</f>
        <v>0.38289847729350979</v>
      </c>
      <c r="O13" s="689">
        <f>+K13+M13</f>
        <v>80741929.630146027</v>
      </c>
      <c r="P13" s="690">
        <f>O13/O$11</f>
        <v>0.56937904663498951</v>
      </c>
    </row>
    <row r="14" spans="2:16" x14ac:dyDescent="0.15">
      <c r="B14" s="103"/>
      <c r="C14" s="103"/>
      <c r="D14" s="690"/>
      <c r="E14" s="103"/>
      <c r="F14" s="690"/>
      <c r="G14" s="103"/>
      <c r="H14" s="690"/>
      <c r="J14" s="103"/>
      <c r="K14" s="103"/>
      <c r="L14" s="690"/>
      <c r="M14" s="103"/>
      <c r="N14" s="690"/>
      <c r="O14" s="103"/>
      <c r="P14" s="690"/>
    </row>
    <row r="15" spans="2:16" x14ac:dyDescent="0.15">
      <c r="B15" s="692" t="s">
        <v>939</v>
      </c>
      <c r="C15" s="693">
        <f>+C11-C13</f>
        <v>48115578.940991268</v>
      </c>
      <c r="D15" s="694">
        <f t="shared" si="2"/>
        <v>0.39157620409347793</v>
      </c>
      <c r="E15" s="693">
        <f>+E11-E13</f>
        <v>12949482.935360946</v>
      </c>
      <c r="F15" s="694">
        <f t="shared" si="3"/>
        <v>0.61862370280156509</v>
      </c>
      <c r="G15" s="693">
        <f>+G11-G13</f>
        <v>61065061.876352221</v>
      </c>
      <c r="H15" s="694">
        <f>G15/G$8</f>
        <v>0.42462497611871347</v>
      </c>
      <c r="J15" s="692" t="s">
        <v>939</v>
      </c>
      <c r="K15" s="693">
        <f>+K11-K13</f>
        <v>48115578.940991268</v>
      </c>
      <c r="L15" s="694">
        <f>K15/K$11</f>
        <v>0.39823317789754953</v>
      </c>
      <c r="M15" s="693">
        <f>+M11-M13</f>
        <v>12949482.935360946</v>
      </c>
      <c r="N15" s="694">
        <f>M15/M$11</f>
        <v>0.61710152270649021</v>
      </c>
      <c r="O15" s="693">
        <f>+O11-O13</f>
        <v>61065061.876352221</v>
      </c>
      <c r="P15" s="694">
        <f>O15/O$11</f>
        <v>0.43062095336501049</v>
      </c>
    </row>
    <row r="16" spans="2:16" x14ac:dyDescent="0.15">
      <c r="B16" s="103"/>
      <c r="C16" s="103"/>
      <c r="D16" s="690"/>
      <c r="E16" s="103"/>
      <c r="F16" s="690"/>
      <c r="G16" s="103"/>
      <c r="H16" s="690"/>
      <c r="J16" s="103"/>
      <c r="K16" s="103"/>
      <c r="L16" s="690"/>
      <c r="M16" s="103"/>
      <c r="N16" s="690"/>
      <c r="O16" s="103"/>
      <c r="P16" s="690"/>
    </row>
    <row r="17" spans="2:16" x14ac:dyDescent="0.15">
      <c r="B17" s="103" t="s">
        <v>948</v>
      </c>
      <c r="C17" s="689">
        <f>'Tab. 16'!C21+'Tab. 16'!C34</f>
        <v>3305117.9765589996</v>
      </c>
      <c r="D17" s="690">
        <f t="shared" si="2"/>
        <v>2.6897848468773442E-2</v>
      </c>
      <c r="E17" s="689">
        <f>'Tab. 16'!D21+'Tab. 16'!D34</f>
        <v>591539.04590735177</v>
      </c>
      <c r="F17" s="690">
        <f t="shared" si="3"/>
        <v>2.825904916493957E-2</v>
      </c>
      <c r="G17" s="689">
        <f>+C17+E17</f>
        <v>3896657.0224663513</v>
      </c>
      <c r="H17" s="690">
        <f>G17/G$8</f>
        <v>2.7095983272037778E-2</v>
      </c>
      <c r="J17" s="103" t="s">
        <v>948</v>
      </c>
      <c r="K17" s="689">
        <f>+C17</f>
        <v>3305117.9765589996</v>
      </c>
      <c r="L17" s="690">
        <f>K17/K$11</f>
        <v>2.7355124142756346E-2</v>
      </c>
      <c r="M17" s="689">
        <f>+E17</f>
        <v>591539.04590735177</v>
      </c>
      <c r="N17" s="690">
        <f>M17/M$11</f>
        <v>2.8189515194692698E-2</v>
      </c>
      <c r="O17" s="689">
        <f>+K17+M17</f>
        <v>3896657.0224663513</v>
      </c>
      <c r="P17" s="690">
        <f>O17/O$11</f>
        <v>2.747859594981809E-2</v>
      </c>
    </row>
    <row r="18" spans="2:16" x14ac:dyDescent="0.15">
      <c r="B18" s="103"/>
      <c r="C18" s="103"/>
      <c r="D18" s="690"/>
      <c r="E18" s="103"/>
      <c r="F18" s="690"/>
      <c r="G18" s="103"/>
      <c r="H18" s="690"/>
      <c r="J18" s="103"/>
      <c r="K18" s="103"/>
      <c r="L18" s="690"/>
      <c r="M18" s="103"/>
      <c r="N18" s="690"/>
      <c r="O18" s="103"/>
      <c r="P18" s="690"/>
    </row>
    <row r="19" spans="2:16" x14ac:dyDescent="0.15">
      <c r="B19" s="692" t="s">
        <v>946</v>
      </c>
      <c r="C19" s="693">
        <f>C15-C17</f>
        <v>44810460.964432269</v>
      </c>
      <c r="D19" s="694">
        <f t="shared" si="2"/>
        <v>0.36467835562470452</v>
      </c>
      <c r="E19" s="693">
        <f>E15-E17</f>
        <v>12357943.889453594</v>
      </c>
      <c r="F19" s="694">
        <f t="shared" si="3"/>
        <v>0.59036465363662549</v>
      </c>
      <c r="G19" s="693">
        <f>G15-G17</f>
        <v>57168404.853885867</v>
      </c>
      <c r="H19" s="694">
        <f>G19/G$8</f>
        <v>0.3975289928466757</v>
      </c>
      <c r="J19" s="692" t="s">
        <v>946</v>
      </c>
      <c r="K19" s="693">
        <f>K15-K17</f>
        <v>44810460.964432269</v>
      </c>
      <c r="L19" s="694">
        <f>K19/K$11</f>
        <v>0.37087805375479321</v>
      </c>
      <c r="M19" s="693">
        <f>M15-M17</f>
        <v>12357943.889453594</v>
      </c>
      <c r="N19" s="694">
        <f>M19/M$11</f>
        <v>0.58891200751179751</v>
      </c>
      <c r="O19" s="693">
        <f>O15-O17</f>
        <v>57168404.853885867</v>
      </c>
      <c r="P19" s="694">
        <f>O19/O$11</f>
        <v>0.40314235741519239</v>
      </c>
    </row>
    <row r="20" spans="2:16" x14ac:dyDescent="0.15">
      <c r="B20" s="695"/>
      <c r="C20" s="696"/>
      <c r="D20" s="697"/>
      <c r="E20" s="696"/>
      <c r="F20" s="697"/>
      <c r="G20" s="696"/>
      <c r="H20" s="697"/>
      <c r="J20" s="695"/>
      <c r="K20" s="696"/>
      <c r="L20" s="697"/>
      <c r="M20" s="696"/>
      <c r="N20" s="697"/>
      <c r="O20" s="696"/>
      <c r="P20" s="697"/>
    </row>
    <row r="21" spans="2:16" x14ac:dyDescent="0.15">
      <c r="B21" s="103" t="s">
        <v>947</v>
      </c>
      <c r="C21" s="698"/>
      <c r="D21" s="690"/>
      <c r="E21" s="698"/>
      <c r="F21" s="690"/>
      <c r="G21" s="689">
        <f>+'Tab. 17'!E24+'Tab. 17'!E37</f>
        <v>1187890.2107654945</v>
      </c>
      <c r="H21" s="690">
        <f>G21/G$8</f>
        <v>8.2601709861410341E-3</v>
      </c>
      <c r="J21" s="103" t="s">
        <v>947</v>
      </c>
      <c r="K21" s="698"/>
      <c r="L21" s="690"/>
      <c r="M21" s="698"/>
      <c r="N21" s="690"/>
      <c r="O21" s="689">
        <f>+G21</f>
        <v>1187890.2107654945</v>
      </c>
      <c r="P21" s="690">
        <f>O21/O$11</f>
        <v>8.3768099029945219E-3</v>
      </c>
    </row>
    <row r="22" spans="2:16" x14ac:dyDescent="0.15">
      <c r="B22" s="695"/>
      <c r="C22" s="696"/>
      <c r="D22" s="697"/>
      <c r="E22" s="696"/>
      <c r="F22" s="697"/>
      <c r="G22" s="696"/>
      <c r="H22" s="697"/>
      <c r="J22" s="695"/>
      <c r="K22" s="696"/>
      <c r="L22" s="697"/>
      <c r="M22" s="696"/>
      <c r="N22" s="697"/>
      <c r="O22" s="696"/>
      <c r="P22" s="697"/>
    </row>
    <row r="23" spans="2:16" x14ac:dyDescent="0.15">
      <c r="B23" s="692" t="s">
        <v>949</v>
      </c>
      <c r="C23" s="693"/>
      <c r="D23" s="694"/>
      <c r="E23" s="693"/>
      <c r="F23" s="694"/>
      <c r="G23" s="693">
        <f>G19-G21</f>
        <v>55980514.643120371</v>
      </c>
      <c r="H23" s="694">
        <f>G23/G$8</f>
        <v>0.38926882186053463</v>
      </c>
      <c r="J23" s="692" t="s">
        <v>949</v>
      </c>
      <c r="K23" s="693"/>
      <c r="L23" s="694"/>
      <c r="M23" s="693"/>
      <c r="N23" s="694"/>
      <c r="O23" s="693">
        <f>O19-O21</f>
        <v>55980514.643120371</v>
      </c>
      <c r="P23" s="694">
        <f>O23/O$11</f>
        <v>0.39476554751219783</v>
      </c>
    </row>
    <row r="24" spans="2:16" x14ac:dyDescent="0.15">
      <c r="B24" s="103"/>
      <c r="C24" s="103"/>
      <c r="D24" s="690"/>
      <c r="E24" s="103"/>
      <c r="F24" s="690"/>
      <c r="G24" s="103"/>
      <c r="H24" s="690"/>
      <c r="J24" s="103"/>
      <c r="K24" s="103"/>
      <c r="L24" s="690"/>
      <c r="M24" s="103"/>
      <c r="N24" s="690"/>
      <c r="O24" s="103"/>
      <c r="P24" s="690"/>
    </row>
    <row r="25" spans="2:16" x14ac:dyDescent="0.15">
      <c r="B25" s="103" t="s">
        <v>942</v>
      </c>
      <c r="C25" s="698"/>
      <c r="D25" s="690"/>
      <c r="E25" s="698"/>
      <c r="F25" s="690"/>
      <c r="G25" s="689">
        <f>+'Tab. 22'!O18</f>
        <v>49618474.495213576</v>
      </c>
      <c r="H25" s="690">
        <f>G25/G$8</f>
        <v>0.34502943090828569</v>
      </c>
      <c r="J25" s="103" t="s">
        <v>942</v>
      </c>
      <c r="K25" s="698"/>
      <c r="L25" s="690"/>
      <c r="M25" s="698"/>
      <c r="N25" s="690"/>
      <c r="O25" s="689">
        <f>+G25</f>
        <v>49618474.495213576</v>
      </c>
      <c r="P25" s="690">
        <f t="shared" ref="P25:P26" si="4">O25/O$11</f>
        <v>0.34990146796069521</v>
      </c>
    </row>
    <row r="26" spans="2:16" x14ac:dyDescent="0.15">
      <c r="B26" s="103" t="s">
        <v>957</v>
      </c>
      <c r="C26" s="698"/>
      <c r="D26" s="690"/>
      <c r="E26" s="698"/>
      <c r="F26" s="690"/>
      <c r="G26" s="689">
        <f>+'Tab. 22'!O38</f>
        <v>3542407.4296149323</v>
      </c>
      <c r="H26" s="690">
        <f>G26/G$8</f>
        <v>2.4632656120921765E-2</v>
      </c>
      <c r="J26" s="103" t="s">
        <v>957</v>
      </c>
      <c r="K26" s="698"/>
      <c r="L26" s="690"/>
      <c r="M26" s="698"/>
      <c r="N26" s="690"/>
      <c r="O26" s="689">
        <f>+G26</f>
        <v>3542407.4296149323</v>
      </c>
      <c r="P26" s="690">
        <f t="shared" si="4"/>
        <v>2.4980485038021576E-2</v>
      </c>
    </row>
    <row r="27" spans="2:16" x14ac:dyDescent="0.15">
      <c r="B27" s="103"/>
      <c r="C27" s="103"/>
      <c r="D27" s="690"/>
      <c r="E27" s="103"/>
      <c r="F27" s="690"/>
      <c r="G27" s="103"/>
      <c r="H27" s="690"/>
      <c r="J27" s="103"/>
      <c r="K27" s="103"/>
      <c r="L27" s="690"/>
      <c r="M27" s="103"/>
      <c r="N27" s="690"/>
      <c r="O27" s="103"/>
      <c r="P27" s="690"/>
    </row>
    <row r="28" spans="2:16" x14ac:dyDescent="0.15">
      <c r="B28" s="692" t="s">
        <v>40</v>
      </c>
      <c r="C28" s="693"/>
      <c r="D28" s="694"/>
      <c r="E28" s="693"/>
      <c r="F28" s="694"/>
      <c r="G28" s="693">
        <f>+G23-G25-G26</f>
        <v>2819632.7182918629</v>
      </c>
      <c r="H28" s="694">
        <f>G28/G$8</f>
        <v>1.9606734831327195E-2</v>
      </c>
      <c r="J28" s="692" t="s">
        <v>40</v>
      </c>
      <c r="K28" s="693"/>
      <c r="L28" s="694"/>
      <c r="M28" s="693"/>
      <c r="N28" s="694"/>
      <c r="O28" s="693">
        <f>+O23-O25-O26</f>
        <v>2819632.7182918629</v>
      </c>
      <c r="P28" s="694">
        <f>O28/O$11</f>
        <v>1.9883594513481054E-2</v>
      </c>
    </row>
    <row r="30" spans="2:16" x14ac:dyDescent="0.15">
      <c r="O30" s="84" t="s">
        <v>42</v>
      </c>
    </row>
    <row r="31" spans="2:16" x14ac:dyDescent="0.15">
      <c r="O31" s="649">
        <f>+O28-G28</f>
        <v>0</v>
      </c>
    </row>
    <row r="32" spans="2:16" x14ac:dyDescent="0.15">
      <c r="B32" s="84" t="s">
        <v>976</v>
      </c>
      <c r="C32" s="705">
        <f>'Tab 5'!O15</f>
        <v>666082.12060847704</v>
      </c>
      <c r="D32" s="706"/>
      <c r="E32" s="705">
        <f>'Tab 5'!O28</f>
        <v>42358.371125483332</v>
      </c>
    </row>
    <row r="34" spans="2:5" x14ac:dyDescent="0.15">
      <c r="B34" s="84" t="s">
        <v>975</v>
      </c>
      <c r="C34" s="708">
        <f>C32*'Tab. 14'!$C$8</f>
        <v>72436197.487429664</v>
      </c>
      <c r="D34" s="709"/>
      <c r="E34" s="708">
        <f>E32*'Tab. 14'!$C$12</f>
        <v>8005732.14271635</v>
      </c>
    </row>
    <row r="35" spans="2:5" x14ac:dyDescent="0.15">
      <c r="B35" s="84" t="s">
        <v>734</v>
      </c>
      <c r="C35" s="708">
        <f>C32*'Tab. 14'!$C$9</f>
        <v>270851.14624486404</v>
      </c>
      <c r="D35" s="709"/>
      <c r="E35" s="708">
        <f>E32*'Tab. 14'!$C$13</f>
        <v>29148.853755135962</v>
      </c>
    </row>
    <row r="36" spans="2:5" x14ac:dyDescent="0.15">
      <c r="B36" s="129" t="s">
        <v>977</v>
      </c>
      <c r="C36" s="710">
        <f>SUM(C34:C35)</f>
        <v>72707048.633674532</v>
      </c>
      <c r="D36" s="711"/>
      <c r="E36" s="710">
        <f>SUM(E34:E35)</f>
        <v>8034880.9964714861</v>
      </c>
    </row>
    <row r="37" spans="2:5" x14ac:dyDescent="0.15">
      <c r="B37" s="707" t="s">
        <v>978</v>
      </c>
      <c r="C37" s="708">
        <f>-('Tab. 23'!N12-'Tab. 23'!C9)</f>
        <v>1808286.3601503111</v>
      </c>
      <c r="D37" s="709"/>
      <c r="E37" s="708">
        <f>-('Tab. 23'!N18-'Tab. 23'!C15)</f>
        <v>-93499.403100169962</v>
      </c>
    </row>
    <row r="38" spans="2:5" x14ac:dyDescent="0.15">
      <c r="B38" s="129" t="s">
        <v>938</v>
      </c>
      <c r="C38" s="712">
        <f>C36+C37</f>
        <v>74515334.99382484</v>
      </c>
      <c r="D38" s="713"/>
      <c r="E38" s="712">
        <f>E36+E37</f>
        <v>7941381.5933713159</v>
      </c>
    </row>
    <row r="40" spans="2:5" x14ac:dyDescent="0.15">
      <c r="B40" s="84" t="s">
        <v>42</v>
      </c>
      <c r="C40" s="649">
        <f>C38-C13</f>
        <v>0</v>
      </c>
      <c r="E40" s="649">
        <f>E38-E13</f>
        <v>0</v>
      </c>
    </row>
  </sheetData>
  <mergeCells count="2">
    <mergeCell ref="C6:H6"/>
    <mergeCell ref="K6:P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630B-67ED-CA4C-95F5-48DA3CF6688A}">
  <dimension ref="B2:P40"/>
  <sheetViews>
    <sheetView showGridLines="0" topLeftCell="A4" zoomScale="200" zoomScaleNormal="160" workbookViewId="0">
      <selection activeCell="O17" sqref="O17"/>
    </sheetView>
  </sheetViews>
  <sheetFormatPr baseColWidth="10" defaultRowHeight="16" x14ac:dyDescent="0.15"/>
  <cols>
    <col min="1" max="1" width="10.83203125" style="84"/>
    <col min="2" max="2" width="27.83203125" style="84" customWidth="1"/>
    <col min="3" max="3" width="13.1640625" style="84" bestFit="1" customWidth="1"/>
    <col min="4" max="4" width="7.1640625" style="685" customWidth="1"/>
    <col min="5" max="5" width="12.1640625" style="84" bestFit="1" customWidth="1"/>
    <col min="6" max="6" width="7.1640625" style="685" bestFit="1" customWidth="1"/>
    <col min="7" max="7" width="13.1640625" style="84" bestFit="1" customWidth="1"/>
    <col min="8" max="8" width="6.6640625" style="685" customWidth="1"/>
    <col min="9" max="9" width="7.1640625" style="84" customWidth="1"/>
    <col min="10" max="10" width="24" style="84" customWidth="1"/>
    <col min="11" max="11" width="13.1640625" style="84" bestFit="1" customWidth="1"/>
    <col min="12" max="12" width="10.83203125" style="84"/>
    <col min="13" max="13" width="12.1640625" style="84" bestFit="1" customWidth="1"/>
    <col min="14" max="14" width="10.83203125" style="84"/>
    <col min="15" max="15" width="12.6640625" style="84" customWidth="1"/>
    <col min="16" max="16384" width="10.83203125" style="84"/>
  </cols>
  <sheetData>
    <row r="2" spans="2:16" x14ac:dyDescent="0.15">
      <c r="B2" s="84" t="s">
        <v>998</v>
      </c>
    </row>
    <row r="4" spans="2:16" x14ac:dyDescent="0.15">
      <c r="B4" s="699" t="s">
        <v>963</v>
      </c>
      <c r="J4" s="699" t="s">
        <v>964</v>
      </c>
    </row>
    <row r="6" spans="2:16" x14ac:dyDescent="0.15">
      <c r="C6" s="829" t="s">
        <v>99</v>
      </c>
      <c r="D6" s="830"/>
      <c r="E6" s="830"/>
      <c r="F6" s="830"/>
      <c r="G6" s="830"/>
      <c r="H6" s="831"/>
      <c r="K6" s="829" t="s">
        <v>99</v>
      </c>
      <c r="L6" s="830"/>
      <c r="M6" s="830"/>
      <c r="N6" s="830"/>
      <c r="O6" s="830"/>
      <c r="P6" s="831"/>
    </row>
    <row r="7" spans="2:16" x14ac:dyDescent="0.15">
      <c r="C7" s="686" t="s">
        <v>92</v>
      </c>
      <c r="D7" s="687" t="s">
        <v>903</v>
      </c>
      <c r="E7" s="686" t="s">
        <v>93</v>
      </c>
      <c r="F7" s="687" t="s">
        <v>903</v>
      </c>
      <c r="G7" s="686" t="s">
        <v>3</v>
      </c>
      <c r="H7" s="687" t="s">
        <v>903</v>
      </c>
      <c r="K7" s="686" t="s">
        <v>92</v>
      </c>
      <c r="L7" s="687" t="s">
        <v>903</v>
      </c>
      <c r="M7" s="686" t="s">
        <v>93</v>
      </c>
      <c r="N7" s="687" t="s">
        <v>903</v>
      </c>
      <c r="O7" s="686" t="s">
        <v>3</v>
      </c>
      <c r="P7" s="687" t="s">
        <v>903</v>
      </c>
    </row>
    <row r="8" spans="2:16" x14ac:dyDescent="0.15">
      <c r="B8" s="688" t="s">
        <v>37</v>
      </c>
      <c r="C8" s="689">
        <f>'Tab 2'!$N$14</f>
        <v>122876667.26935484</v>
      </c>
      <c r="D8" s="690">
        <f>C8/C$8</f>
        <v>1</v>
      </c>
      <c r="E8" s="689">
        <f>+'Tab 2'!$N$15</f>
        <v>20932729.988709681</v>
      </c>
      <c r="F8" s="690">
        <f>E8/E$8</f>
        <v>1</v>
      </c>
      <c r="G8" s="689">
        <f>+C8+E8</f>
        <v>143809397.25806451</v>
      </c>
      <c r="H8" s="690">
        <f>G8/G$8</f>
        <v>1</v>
      </c>
      <c r="J8" s="688" t="s">
        <v>37</v>
      </c>
      <c r="K8" s="689">
        <f>+C8</f>
        <v>122876667.26935484</v>
      </c>
      <c r="L8" s="690">
        <f>K8/K$11</f>
        <v>1.0176106286430446</v>
      </c>
      <c r="M8" s="689">
        <f>+E8</f>
        <v>20932729.988709681</v>
      </c>
      <c r="N8" s="690">
        <f>M8/M$11</f>
        <v>0.99734828342488691</v>
      </c>
      <c r="O8" s="689">
        <f>+K8+M8</f>
        <v>143809397.25806451</v>
      </c>
      <c r="P8" s="690">
        <f>O8/O$11</f>
        <v>1.014610217960825</v>
      </c>
    </row>
    <row r="9" spans="2:16" x14ac:dyDescent="0.15">
      <c r="B9" s="691" t="s">
        <v>943</v>
      </c>
      <c r="C9" s="716">
        <f>0.2%*C8</f>
        <v>245753.33453870966</v>
      </c>
      <c r="D9" s="690">
        <f t="shared" ref="D9" si="0">C9/C$8</f>
        <v>2E-3</v>
      </c>
      <c r="E9" s="716">
        <f>0.2%*E8</f>
        <v>41865.459977419363</v>
      </c>
      <c r="F9" s="690">
        <f t="shared" ref="F9" si="1">E9/E$8</f>
        <v>2E-3</v>
      </c>
      <c r="G9" s="689">
        <f>+C9+E9</f>
        <v>287618.79451612901</v>
      </c>
      <c r="H9" s="690">
        <f>G9/G$8</f>
        <v>2E-3</v>
      </c>
      <c r="J9" s="691" t="s">
        <v>943</v>
      </c>
      <c r="K9" s="716">
        <f>0.2%*K8</f>
        <v>245753.33453870966</v>
      </c>
      <c r="L9" s="690">
        <f>K9/K$11</f>
        <v>2.035221257286089E-3</v>
      </c>
      <c r="M9" s="716">
        <f>0.2%*M8</f>
        <v>41865.459977419363</v>
      </c>
      <c r="N9" s="690">
        <f>M9/M$11</f>
        <v>1.9946965668497739E-3</v>
      </c>
      <c r="O9" s="689">
        <f>+K9+M9</f>
        <v>287618.79451612901</v>
      </c>
      <c r="P9" s="690">
        <f>O9/O$11</f>
        <v>2.0292204359216499E-3</v>
      </c>
    </row>
    <row r="10" spans="2:16" x14ac:dyDescent="0.15">
      <c r="B10" s="691"/>
      <c r="C10" s="103"/>
      <c r="D10" s="690"/>
      <c r="E10" s="103"/>
      <c r="F10" s="690"/>
      <c r="G10" s="103"/>
      <c r="H10" s="690"/>
      <c r="J10" s="691" t="s">
        <v>965</v>
      </c>
      <c r="K10" s="689">
        <f>'Tab. 23'!N34-'Tab. 23'!C31</f>
        <v>-1880733.2559768595</v>
      </c>
      <c r="L10" s="690">
        <f>K10/K$11</f>
        <v>-1.5575407385758442E-2</v>
      </c>
      <c r="M10" s="689">
        <f>'Tab. 23'!N40-'Tab. 23'!C37</f>
        <v>97520.708997165319</v>
      </c>
      <c r="N10" s="690">
        <f>M10/M$11</f>
        <v>4.646413141962861E-3</v>
      </c>
      <c r="O10" s="689">
        <f>+K10+M10</f>
        <v>-1783212.5469796942</v>
      </c>
      <c r="P10" s="690">
        <f>O10/O$11</f>
        <v>-1.2580997524903301E-2</v>
      </c>
    </row>
    <row r="11" spans="2:16" x14ac:dyDescent="0.15">
      <c r="B11" s="692" t="s">
        <v>945</v>
      </c>
      <c r="C11" s="693">
        <f>+C8-C9</f>
        <v>122630913.93481612</v>
      </c>
      <c r="D11" s="694">
        <f t="shared" ref="D11:D19" si="2">C11/C$8</f>
        <v>0.998</v>
      </c>
      <c r="E11" s="693">
        <f>+E8-E9</f>
        <v>20890864.528732263</v>
      </c>
      <c r="F11" s="694">
        <f t="shared" ref="F11:F19" si="3">E11/E$8</f>
        <v>0.99800000000000011</v>
      </c>
      <c r="G11" s="693">
        <f>+G8-G9</f>
        <v>143521778.46354839</v>
      </c>
      <c r="H11" s="694">
        <f>G11/G$8</f>
        <v>0.99800000000000011</v>
      </c>
      <c r="J11" s="692" t="s">
        <v>971</v>
      </c>
      <c r="K11" s="693">
        <f>+K8-K9+K10</f>
        <v>120750180.67883927</v>
      </c>
      <c r="L11" s="694">
        <f>K11/K$11</f>
        <v>1</v>
      </c>
      <c r="M11" s="693">
        <f>+M8-M9+M10</f>
        <v>20988385.237729426</v>
      </c>
      <c r="N11" s="694">
        <f>M11/M$11</f>
        <v>1</v>
      </c>
      <c r="O11" s="693">
        <f>+O8-O9+O10</f>
        <v>141738565.9165687</v>
      </c>
      <c r="P11" s="694">
        <f>O11/O$11</f>
        <v>1</v>
      </c>
    </row>
    <row r="12" spans="2:16" x14ac:dyDescent="0.15">
      <c r="B12" s="103"/>
      <c r="C12" s="103"/>
      <c r="D12" s="690"/>
      <c r="E12" s="103"/>
      <c r="F12" s="690"/>
      <c r="G12" s="103"/>
      <c r="H12" s="690"/>
      <c r="J12" s="103"/>
      <c r="K12" s="103"/>
      <c r="L12" s="690"/>
      <c r="M12" s="103"/>
      <c r="N12" s="690"/>
      <c r="O12" s="103"/>
      <c r="P12" s="690"/>
    </row>
    <row r="13" spans="2:16" x14ac:dyDescent="0.15">
      <c r="B13" s="103" t="s">
        <v>938</v>
      </c>
      <c r="C13" s="689">
        <f>'Tab. 16'!$C$10*'Tab 2'!$L$14</f>
        <v>77500705.469842076</v>
      </c>
      <c r="D13" s="690">
        <f t="shared" si="2"/>
        <v>0.63071946197852791</v>
      </c>
      <c r="E13" s="689">
        <f>'Tab. 16'!$C$14*'Tab 2'!$L$15</f>
        <v>8282931.6308351234</v>
      </c>
      <c r="F13" s="690">
        <f t="shared" si="3"/>
        <v>0.39569285206958776</v>
      </c>
      <c r="G13" s="689">
        <f>+C13+E13</f>
        <v>85783637.100677192</v>
      </c>
      <c r="H13" s="690">
        <f>G13/G$8</f>
        <v>0.59650925973035906</v>
      </c>
      <c r="J13" s="103" t="s">
        <v>972</v>
      </c>
      <c r="K13" s="689">
        <f>+'Tab. 23'!O33</f>
        <v>75619972.213865206</v>
      </c>
      <c r="L13" s="690">
        <f>K13/K$11</f>
        <v>0.62625142081561413</v>
      </c>
      <c r="M13" s="689">
        <f>+'Tab. 23'!O39</f>
        <v>8380452.3398322901</v>
      </c>
      <c r="N13" s="690">
        <f>M13/M$11</f>
        <v>0.39928999991706399</v>
      </c>
      <c r="O13" s="689">
        <f>+K13+M13</f>
        <v>84000424.553697497</v>
      </c>
      <c r="P13" s="690">
        <f>O13/O$11</f>
        <v>0.59264339250576659</v>
      </c>
    </row>
    <row r="14" spans="2:16" x14ac:dyDescent="0.15">
      <c r="B14" s="103"/>
      <c r="C14" s="103"/>
      <c r="D14" s="690"/>
      <c r="E14" s="103"/>
      <c r="F14" s="690"/>
      <c r="G14" s="103"/>
      <c r="H14" s="690"/>
      <c r="J14" s="103"/>
      <c r="K14" s="103"/>
      <c r="L14" s="690"/>
      <c r="M14" s="103"/>
      <c r="N14" s="690"/>
      <c r="O14" s="103"/>
      <c r="P14" s="690"/>
    </row>
    <row r="15" spans="2:16" x14ac:dyDescent="0.15">
      <c r="B15" s="692" t="s">
        <v>939</v>
      </c>
      <c r="C15" s="693">
        <f>+C11-C13</f>
        <v>45130208.464974046</v>
      </c>
      <c r="D15" s="694">
        <f t="shared" si="2"/>
        <v>0.36728053802147204</v>
      </c>
      <c r="E15" s="693">
        <f>+E11-E13</f>
        <v>12607932.897897139</v>
      </c>
      <c r="F15" s="694">
        <f t="shared" si="3"/>
        <v>0.60230714793041229</v>
      </c>
      <c r="G15" s="693">
        <f>+G11-G13</f>
        <v>57738141.3628712</v>
      </c>
      <c r="H15" s="694">
        <f>G15/G$8</f>
        <v>0.40149074026964099</v>
      </c>
      <c r="J15" s="692" t="s">
        <v>939</v>
      </c>
      <c r="K15" s="693">
        <f>+K11-K13</f>
        <v>45130208.464974061</v>
      </c>
      <c r="L15" s="694">
        <f>K15/K$11</f>
        <v>0.37374857918438587</v>
      </c>
      <c r="M15" s="693">
        <f>+M11-M13</f>
        <v>12607932.897897135</v>
      </c>
      <c r="N15" s="694">
        <f>M15/M$11</f>
        <v>0.60071000008293596</v>
      </c>
      <c r="O15" s="693">
        <f>+O11-O13</f>
        <v>57738141.3628712</v>
      </c>
      <c r="P15" s="694">
        <f>O15/O$11</f>
        <v>0.40735660749423336</v>
      </c>
    </row>
    <row r="16" spans="2:16" x14ac:dyDescent="0.15">
      <c r="B16" s="103"/>
      <c r="C16" s="103"/>
      <c r="D16" s="690"/>
      <c r="E16" s="103"/>
      <c r="F16" s="690"/>
      <c r="G16" s="103"/>
      <c r="H16" s="690"/>
      <c r="J16" s="103"/>
      <c r="K16" s="103"/>
      <c r="L16" s="690"/>
      <c r="M16" s="103"/>
      <c r="N16" s="690"/>
      <c r="O16" s="103"/>
      <c r="P16" s="690"/>
    </row>
    <row r="17" spans="2:16" x14ac:dyDescent="0.15">
      <c r="B17" s="103" t="s">
        <v>974</v>
      </c>
      <c r="C17" s="689">
        <f>'Tab. 16'!C44</f>
        <v>121343.2501234591</v>
      </c>
      <c r="D17" s="690">
        <f t="shared" si="2"/>
        <v>9.8752068085851993E-4</v>
      </c>
      <c r="E17" s="689">
        <f>+'Tab. 16'!D44</f>
        <v>216818.84879141318</v>
      </c>
      <c r="F17" s="690">
        <f t="shared" si="3"/>
        <v>1.0357886855099981E-2</v>
      </c>
      <c r="G17" s="689">
        <f>+C17+E17</f>
        <v>338162.09891487227</v>
      </c>
      <c r="H17" s="690">
        <f>G17/G$8</f>
        <v>2.3514603729827459E-3</v>
      </c>
      <c r="J17" s="103" t="s">
        <v>974</v>
      </c>
      <c r="K17" s="689">
        <f>+C17</f>
        <v>121343.2501234591</v>
      </c>
      <c r="L17" s="690">
        <f>K17/K$11</f>
        <v>1.0049115408464458E-3</v>
      </c>
      <c r="M17" s="689">
        <f>+E17</f>
        <v>216818.84879141318</v>
      </c>
      <c r="N17" s="690">
        <f>M17/M$11</f>
        <v>1.0330420674843167E-2</v>
      </c>
      <c r="O17" s="689">
        <f>+K17+M17</f>
        <v>338162.09891487227</v>
      </c>
      <c r="P17" s="690">
        <f>O17/O$11</f>
        <v>2.3858157215582666E-3</v>
      </c>
    </row>
    <row r="18" spans="2:16" x14ac:dyDescent="0.15">
      <c r="B18" s="103"/>
      <c r="C18" s="103"/>
      <c r="D18" s="690"/>
      <c r="E18" s="103"/>
      <c r="F18" s="690"/>
      <c r="G18" s="103"/>
      <c r="H18" s="690"/>
      <c r="J18" s="103"/>
      <c r="K18" s="103"/>
      <c r="L18" s="690"/>
      <c r="M18" s="103"/>
      <c r="N18" s="690"/>
      <c r="O18" s="103"/>
      <c r="P18" s="690"/>
    </row>
    <row r="19" spans="2:16" x14ac:dyDescent="0.15">
      <c r="B19" s="692" t="s">
        <v>946</v>
      </c>
      <c r="C19" s="693">
        <f>C15-C17</f>
        <v>45008865.21485059</v>
      </c>
      <c r="D19" s="694">
        <f t="shared" si="2"/>
        <v>0.36629301734061354</v>
      </c>
      <c r="E19" s="693">
        <f>E15-E17</f>
        <v>12391114.049105726</v>
      </c>
      <c r="F19" s="694">
        <f t="shared" si="3"/>
        <v>0.59194926107531232</v>
      </c>
      <c r="G19" s="693">
        <f>G15-G17</f>
        <v>57399979.263956331</v>
      </c>
      <c r="H19" s="694">
        <f>G19/G$8</f>
        <v>0.39913927989665826</v>
      </c>
      <c r="J19" s="692" t="s">
        <v>946</v>
      </c>
      <c r="K19" s="693">
        <f>K15-K17</f>
        <v>45008865.214850605</v>
      </c>
      <c r="L19" s="694">
        <f>K19/K$11</f>
        <v>0.37274366764353944</v>
      </c>
      <c r="M19" s="693">
        <f>M15-M17</f>
        <v>12391114.049105722</v>
      </c>
      <c r="N19" s="694">
        <f>M19/M$11</f>
        <v>0.59037957940809282</v>
      </c>
      <c r="O19" s="693">
        <f>O15-O17</f>
        <v>57399979.263956331</v>
      </c>
      <c r="P19" s="694">
        <f>O19/O$11</f>
        <v>0.40497079177267514</v>
      </c>
    </row>
    <row r="20" spans="2:16" x14ac:dyDescent="0.15">
      <c r="B20" s="695"/>
      <c r="C20" s="696"/>
      <c r="D20" s="697"/>
      <c r="E20" s="696"/>
      <c r="F20" s="697"/>
      <c r="G20" s="696"/>
      <c r="H20" s="697"/>
      <c r="J20" s="695"/>
      <c r="K20" s="696"/>
      <c r="L20" s="697"/>
      <c r="M20" s="696"/>
      <c r="N20" s="697"/>
      <c r="O20" s="696"/>
      <c r="P20" s="697"/>
    </row>
    <row r="21" spans="2:16" x14ac:dyDescent="0.15">
      <c r="B21" s="103" t="s">
        <v>947</v>
      </c>
      <c r="C21" s="698"/>
      <c r="D21" s="690"/>
      <c r="E21" s="698"/>
      <c r="F21" s="690"/>
      <c r="G21" s="689">
        <f>+'Tab. 17'!E24+'Tab. 17'!E37+'Tab. 14'!E24</f>
        <v>1487890.2107654945</v>
      </c>
      <c r="H21" s="690">
        <f>G21/G$8</f>
        <v>1.0346265537122657E-2</v>
      </c>
      <c r="J21" s="103" t="s">
        <v>947</v>
      </c>
      <c r="K21" s="698"/>
      <c r="L21" s="690"/>
      <c r="M21" s="698"/>
      <c r="N21" s="690"/>
      <c r="O21" s="689">
        <f>+G21</f>
        <v>1487890.2107654945</v>
      </c>
      <c r="P21" s="690">
        <f>O21/O$11</f>
        <v>1.0497426731700591E-2</v>
      </c>
    </row>
    <row r="22" spans="2:16" x14ac:dyDescent="0.15">
      <c r="B22" s="695"/>
      <c r="C22" s="696"/>
      <c r="D22" s="697"/>
      <c r="E22" s="696"/>
      <c r="F22" s="697"/>
      <c r="G22" s="696"/>
      <c r="H22" s="697"/>
      <c r="J22" s="695"/>
      <c r="K22" s="696"/>
      <c r="L22" s="697"/>
      <c r="M22" s="696"/>
      <c r="N22" s="697"/>
      <c r="O22" s="696"/>
      <c r="P22" s="697"/>
    </row>
    <row r="23" spans="2:16" x14ac:dyDescent="0.15">
      <c r="B23" s="692" t="s">
        <v>949</v>
      </c>
      <c r="C23" s="693"/>
      <c r="D23" s="694"/>
      <c r="E23" s="693"/>
      <c r="F23" s="694"/>
      <c r="G23" s="693">
        <f>G19-G21</f>
        <v>55912089.053190835</v>
      </c>
      <c r="H23" s="694">
        <f>G23/G$8</f>
        <v>0.38879301435953562</v>
      </c>
      <c r="J23" s="692" t="s">
        <v>949</v>
      </c>
      <c r="K23" s="693"/>
      <c r="L23" s="694"/>
      <c r="M23" s="693"/>
      <c r="N23" s="694"/>
      <c r="O23" s="693">
        <f>O19-O21</f>
        <v>55912089.053190835</v>
      </c>
      <c r="P23" s="694">
        <f>O23/O$11</f>
        <v>0.39447336504097452</v>
      </c>
    </row>
    <row r="24" spans="2:16" x14ac:dyDescent="0.15">
      <c r="B24" s="103"/>
      <c r="C24" s="103"/>
      <c r="D24" s="690"/>
      <c r="E24" s="103"/>
      <c r="F24" s="690"/>
      <c r="G24" s="103"/>
      <c r="H24" s="690"/>
      <c r="J24" s="103"/>
      <c r="K24" s="103"/>
      <c r="L24" s="690"/>
      <c r="M24" s="103"/>
      <c r="N24" s="690"/>
      <c r="O24" s="103"/>
      <c r="P24" s="690"/>
    </row>
    <row r="25" spans="2:16" x14ac:dyDescent="0.15">
      <c r="B25" s="103" t="s">
        <v>942</v>
      </c>
      <c r="C25" s="698"/>
      <c r="D25" s="690"/>
      <c r="E25" s="698"/>
      <c r="F25" s="690"/>
      <c r="G25" s="689">
        <f>+'Tab. 22'!O18</f>
        <v>49618474.495213576</v>
      </c>
      <c r="H25" s="690">
        <f>G25/G$8</f>
        <v>0.34502943090828569</v>
      </c>
      <c r="J25" s="103" t="s">
        <v>942</v>
      </c>
      <c r="K25" s="698"/>
      <c r="L25" s="690"/>
      <c r="M25" s="698"/>
      <c r="N25" s="690"/>
      <c r="O25" s="689">
        <f>+G25</f>
        <v>49618474.495213576</v>
      </c>
      <c r="P25" s="690">
        <f t="shared" ref="P25:P26" si="4">O25/O$11</f>
        <v>0.35007038609675512</v>
      </c>
    </row>
    <row r="26" spans="2:16" x14ac:dyDescent="0.15">
      <c r="B26" s="103" t="s">
        <v>957</v>
      </c>
      <c r="C26" s="698"/>
      <c r="D26" s="690"/>
      <c r="E26" s="698"/>
      <c r="F26" s="690"/>
      <c r="G26" s="689">
        <f>+'Tab. 22'!O38</f>
        <v>3542407.4296149323</v>
      </c>
      <c r="H26" s="690">
        <f>G26/G$8</f>
        <v>2.4632656120921765E-2</v>
      </c>
      <c r="J26" s="103" t="s">
        <v>957</v>
      </c>
      <c r="K26" s="698"/>
      <c r="L26" s="690"/>
      <c r="M26" s="698"/>
      <c r="N26" s="690"/>
      <c r="O26" s="689">
        <f>+G26</f>
        <v>3542407.4296149323</v>
      </c>
      <c r="P26" s="690">
        <f t="shared" si="4"/>
        <v>2.4992544595802479E-2</v>
      </c>
    </row>
    <row r="27" spans="2:16" x14ac:dyDescent="0.15">
      <c r="B27" s="103"/>
      <c r="C27" s="103"/>
      <c r="D27" s="690"/>
      <c r="E27" s="103"/>
      <c r="F27" s="690"/>
      <c r="G27" s="103"/>
      <c r="H27" s="690"/>
      <c r="J27" s="103"/>
      <c r="K27" s="103"/>
      <c r="L27" s="690"/>
      <c r="M27" s="103"/>
      <c r="N27" s="690"/>
      <c r="O27" s="103"/>
      <c r="P27" s="690"/>
    </row>
    <row r="28" spans="2:16" x14ac:dyDescent="0.15">
      <c r="B28" s="692" t="s">
        <v>40</v>
      </c>
      <c r="C28" s="693"/>
      <c r="D28" s="694"/>
      <c r="E28" s="693"/>
      <c r="F28" s="694"/>
      <c r="G28" s="693">
        <f>+G23-G25-G26</f>
        <v>2751207.1283623269</v>
      </c>
      <c r="H28" s="694">
        <f>G28/G$8</f>
        <v>1.9130927330328167E-2</v>
      </c>
      <c r="J28" s="692" t="s">
        <v>40</v>
      </c>
      <c r="K28" s="693"/>
      <c r="L28" s="694"/>
      <c r="M28" s="693"/>
      <c r="N28" s="694"/>
      <c r="O28" s="693">
        <f>+O23-O25-O26</f>
        <v>2751207.1283623269</v>
      </c>
      <c r="P28" s="694">
        <f>O28/O$11</f>
        <v>1.9410434348416963E-2</v>
      </c>
    </row>
    <row r="30" spans="2:16" x14ac:dyDescent="0.15">
      <c r="O30" s="84" t="s">
        <v>42</v>
      </c>
    </row>
    <row r="31" spans="2:16" x14ac:dyDescent="0.15">
      <c r="O31" s="649">
        <f>+O28-G28</f>
        <v>0</v>
      </c>
    </row>
    <row r="32" spans="2:16" x14ac:dyDescent="0.15">
      <c r="B32" s="84" t="s">
        <v>976</v>
      </c>
      <c r="C32" s="705">
        <f>'Tab 5'!O15</f>
        <v>666082.12060847704</v>
      </c>
      <c r="D32" s="706"/>
      <c r="E32" s="705">
        <f>'Tab 5'!O28</f>
        <v>42358.371125483332</v>
      </c>
    </row>
    <row r="34" spans="2:5" x14ac:dyDescent="0.15">
      <c r="B34" s="84" t="s">
        <v>975</v>
      </c>
      <c r="C34" s="708">
        <f>C32*'Tab. 16'!$C$8</f>
        <v>72436197.487429664</v>
      </c>
      <c r="D34" s="709"/>
      <c r="E34" s="708">
        <f>E32*'Tab. 16'!$C$12</f>
        <v>8005732.14271635</v>
      </c>
    </row>
    <row r="35" spans="2:5" x14ac:dyDescent="0.15">
      <c r="B35" s="84" t="s">
        <v>979</v>
      </c>
      <c r="C35" s="708">
        <f>C32*'Tab. 16'!$C$9</f>
        <v>3183774.7264355407</v>
      </c>
      <c r="D35" s="709"/>
      <c r="E35" s="708">
        <f>E32*'Tab. 16'!$C$13</f>
        <v>374720.19711593859</v>
      </c>
    </row>
    <row r="36" spans="2:5" x14ac:dyDescent="0.15">
      <c r="B36" s="129" t="s">
        <v>977</v>
      </c>
      <c r="C36" s="710">
        <f>SUM(C34:C35)</f>
        <v>75619972.213865206</v>
      </c>
      <c r="D36" s="711"/>
      <c r="E36" s="710">
        <f>SUM(E34:E35)</f>
        <v>8380452.3398322882</v>
      </c>
    </row>
    <row r="37" spans="2:5" x14ac:dyDescent="0.15">
      <c r="B37" s="707" t="s">
        <v>978</v>
      </c>
      <c r="C37" s="708">
        <f>-('Tab. 23'!N34-'Tab. 23'!C31)</f>
        <v>1880733.2559768595</v>
      </c>
      <c r="D37" s="709"/>
      <c r="E37" s="708">
        <f>-('Tab. 23'!N40-'Tab. 23'!C37)</f>
        <v>-97520.708997165319</v>
      </c>
    </row>
    <row r="38" spans="2:5" x14ac:dyDescent="0.15">
      <c r="B38" s="129" t="s">
        <v>938</v>
      </c>
      <c r="C38" s="712">
        <f>C36+C37</f>
        <v>77500705.469842061</v>
      </c>
      <c r="D38" s="713"/>
      <c r="E38" s="712">
        <f>E36+E37</f>
        <v>8282931.6308351234</v>
      </c>
    </row>
    <row r="40" spans="2:5" x14ac:dyDescent="0.15">
      <c r="B40" s="84" t="s">
        <v>42</v>
      </c>
      <c r="C40" s="649">
        <f>C38-C13</f>
        <v>0</v>
      </c>
      <c r="E40" s="649">
        <f>E38-E13</f>
        <v>0</v>
      </c>
    </row>
  </sheetData>
  <mergeCells count="2">
    <mergeCell ref="C6:H6"/>
    <mergeCell ref="K6:P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4" customWidth="1"/>
    <col min="2" max="2" width="20" style="4" customWidth="1"/>
    <col min="3" max="3" width="11.33203125" style="4" bestFit="1" customWidth="1"/>
    <col min="4" max="4" width="9.1640625" style="4"/>
    <col min="5" max="5" width="14" style="4" bestFit="1" customWidth="1"/>
    <col min="6" max="6" width="11.33203125" style="4" bestFit="1" customWidth="1"/>
    <col min="7" max="7" width="9.1640625" style="4"/>
    <col min="8" max="8" width="14" style="4" bestFit="1" customWidth="1"/>
    <col min="9" max="9" width="11.33203125" style="4" bestFit="1" customWidth="1"/>
    <col min="10" max="10" width="9.1640625" style="4"/>
    <col min="11" max="11" width="14" style="4" bestFit="1" customWidth="1"/>
    <col min="12" max="12" width="11.33203125" style="4" bestFit="1" customWidth="1"/>
    <col min="13" max="13" width="9.1640625" style="4"/>
    <col min="14" max="14" width="14" style="4" bestFit="1" customWidth="1"/>
    <col min="15" max="15" width="11.33203125" style="4" bestFit="1" customWidth="1"/>
    <col min="16" max="16" width="9.1640625" style="4"/>
    <col min="17" max="17" width="14" style="4" bestFit="1" customWidth="1"/>
    <col min="18" max="18" width="11.33203125" style="4" bestFit="1" customWidth="1"/>
    <col min="19" max="19" width="9.1640625" style="4"/>
    <col min="20" max="20" width="14" style="4" bestFit="1" customWidth="1"/>
    <col min="21" max="21" width="12.33203125" style="4" bestFit="1" customWidth="1"/>
    <col min="22" max="22" width="9.1640625" style="4"/>
    <col min="23" max="23" width="14" style="4" bestFit="1" customWidth="1"/>
    <col min="24" max="24" width="2.33203125" style="14" customWidth="1"/>
    <col min="25" max="25" width="15" style="4" bestFit="1" customWidth="1"/>
    <col min="26" max="26" width="8.6640625" style="4" bestFit="1" customWidth="1"/>
    <col min="27" max="27" width="16.5" style="4" bestFit="1" customWidth="1"/>
    <col min="28" max="28" width="8.6640625" style="4" bestFit="1" customWidth="1"/>
    <col min="29" max="29" width="10.33203125" style="4" bestFit="1" customWidth="1"/>
    <col min="30" max="30" width="8.6640625" style="4" bestFit="1" customWidth="1"/>
    <col min="31" max="31" width="10.33203125" style="4" bestFit="1" customWidth="1"/>
    <col min="32" max="33" width="8.6640625" style="4" bestFit="1" customWidth="1"/>
    <col min="34" max="34" width="12.83203125" style="4" bestFit="1" customWidth="1"/>
    <col min="35" max="35" width="9.1640625" style="4"/>
    <col min="36" max="36" width="14" style="4" bestFit="1" customWidth="1"/>
    <col min="37" max="16384" width="9.1640625" style="4"/>
  </cols>
  <sheetData>
    <row r="2" spans="2:24" x14ac:dyDescent="0.2">
      <c r="B2" s="84" t="s">
        <v>128</v>
      </c>
    </row>
    <row r="3" spans="2:24" x14ac:dyDescent="0.2">
      <c r="B3" s="13"/>
      <c r="E3" s="50"/>
    </row>
    <row r="4" spans="2:24" ht="17" thickBot="1" x14ac:dyDescent="0.25"/>
    <row r="5" spans="2:24" x14ac:dyDescent="0.2">
      <c r="B5" s="15"/>
      <c r="C5" s="792" t="s">
        <v>99</v>
      </c>
      <c r="D5" s="793"/>
      <c r="E5" s="793"/>
      <c r="F5" s="793"/>
      <c r="G5" s="793"/>
      <c r="H5" s="793"/>
      <c r="I5" s="793"/>
      <c r="J5" s="793"/>
      <c r="K5" s="793"/>
      <c r="L5" s="793"/>
      <c r="M5" s="793"/>
      <c r="N5" s="793"/>
      <c r="O5" s="793"/>
      <c r="P5" s="793"/>
      <c r="Q5" s="793"/>
      <c r="R5" s="793"/>
      <c r="S5" s="793"/>
      <c r="T5" s="793"/>
      <c r="U5" s="793"/>
      <c r="V5" s="793"/>
      <c r="W5" s="794"/>
      <c r="X5" s="16"/>
    </row>
    <row r="6" spans="2:24" x14ac:dyDescent="0.2">
      <c r="B6" s="17"/>
      <c r="C6" s="796" t="s">
        <v>29</v>
      </c>
      <c r="D6" s="797"/>
      <c r="E6" s="797"/>
      <c r="F6" s="797" t="s">
        <v>30</v>
      </c>
      <c r="G6" s="797"/>
      <c r="H6" s="797"/>
      <c r="I6" s="797" t="s">
        <v>31</v>
      </c>
      <c r="J6" s="797"/>
      <c r="K6" s="797"/>
      <c r="L6" s="797" t="s">
        <v>32</v>
      </c>
      <c r="M6" s="797"/>
      <c r="N6" s="797"/>
      <c r="O6" s="797" t="s">
        <v>33</v>
      </c>
      <c r="P6" s="797"/>
      <c r="Q6" s="797"/>
      <c r="R6" s="797" t="s">
        <v>34</v>
      </c>
      <c r="S6" s="797"/>
      <c r="T6" s="772"/>
      <c r="U6" s="783" t="s">
        <v>2</v>
      </c>
      <c r="V6" s="784"/>
      <c r="W6" s="785"/>
      <c r="X6" s="18"/>
    </row>
    <row r="7" spans="2:24" x14ac:dyDescent="0.2">
      <c r="B7" s="19"/>
      <c r="C7" s="20" t="s">
        <v>0</v>
      </c>
      <c r="D7" s="21" t="s">
        <v>9</v>
      </c>
      <c r="E7" s="22" t="s">
        <v>1</v>
      </c>
      <c r="F7" s="23" t="s">
        <v>0</v>
      </c>
      <c r="G7" s="23" t="s">
        <v>9</v>
      </c>
      <c r="H7" s="24" t="s">
        <v>1</v>
      </c>
      <c r="I7" s="25" t="s">
        <v>0</v>
      </c>
      <c r="J7" s="23" t="s">
        <v>9</v>
      </c>
      <c r="K7" s="24" t="s">
        <v>1</v>
      </c>
      <c r="L7" s="25" t="s">
        <v>0</v>
      </c>
      <c r="M7" s="23" t="s">
        <v>9</v>
      </c>
      <c r="N7" s="24" t="s">
        <v>1</v>
      </c>
      <c r="O7" s="25" t="s">
        <v>0</v>
      </c>
      <c r="P7" s="23" t="s">
        <v>9</v>
      </c>
      <c r="Q7" s="24" t="s">
        <v>1</v>
      </c>
      <c r="R7" s="25" t="s">
        <v>0</v>
      </c>
      <c r="S7" s="23" t="s">
        <v>9</v>
      </c>
      <c r="T7" s="26" t="s">
        <v>1</v>
      </c>
      <c r="U7" s="27" t="s">
        <v>0</v>
      </c>
      <c r="V7" s="27" t="s">
        <v>9</v>
      </c>
      <c r="W7" s="28" t="s">
        <v>1</v>
      </c>
      <c r="X7" s="18"/>
    </row>
    <row r="8" spans="2:24" x14ac:dyDescent="0.2">
      <c r="B8" s="29"/>
      <c r="C8" s="19"/>
      <c r="D8" s="30"/>
      <c r="E8" s="31"/>
      <c r="F8" s="30"/>
      <c r="G8" s="30"/>
      <c r="H8" s="31"/>
      <c r="I8" s="32"/>
      <c r="J8" s="30"/>
      <c r="K8" s="31"/>
      <c r="L8" s="32"/>
      <c r="M8" s="30"/>
      <c r="N8" s="31"/>
      <c r="O8" s="32"/>
      <c r="P8" s="30"/>
      <c r="Q8" s="31"/>
      <c r="R8" s="30"/>
      <c r="S8" s="30"/>
      <c r="T8" s="30"/>
      <c r="U8" s="33"/>
      <c r="V8" s="34"/>
      <c r="W8" s="35"/>
      <c r="X8" s="36"/>
    </row>
    <row r="9" spans="2:24" x14ac:dyDescent="0.2">
      <c r="B9" s="19" t="s">
        <v>102</v>
      </c>
      <c r="C9" s="37">
        <f>QUANTITÀ!B8</f>
        <v>18863.320540150991</v>
      </c>
      <c r="D9" s="66">
        <f>PREZZI!B5</f>
        <v>180</v>
      </c>
      <c r="E9" s="69">
        <f>C9*D9</f>
        <v>3395397.6972271786</v>
      </c>
      <c r="F9" s="38">
        <f>QUANTITÀ!C8</f>
        <v>20959.245044612213</v>
      </c>
      <c r="G9" s="66">
        <f>PREZZI!C5</f>
        <v>180</v>
      </c>
      <c r="H9" s="69">
        <f>F9*G9</f>
        <v>3772664.1080301981</v>
      </c>
      <c r="I9" s="39">
        <f>QUANTITÀ!D8</f>
        <v>24103.131801304044</v>
      </c>
      <c r="J9" s="66">
        <f>PREZZI!D5</f>
        <v>180</v>
      </c>
      <c r="K9" s="69">
        <f>I9*J9</f>
        <v>4338563.7242347281</v>
      </c>
      <c r="L9" s="39">
        <f>QUANTITÀ!E8</f>
        <v>22007.207296842822</v>
      </c>
      <c r="M9" s="66">
        <f>PREZZI!E5</f>
        <v>180</v>
      </c>
      <c r="N9" s="69">
        <f>L9*M9</f>
        <v>3961297.3134317081</v>
      </c>
      <c r="O9" s="39">
        <f>QUANTITÀ!F8</f>
        <v>22007.207296842822</v>
      </c>
      <c r="P9" s="66">
        <f>PREZZI!F5</f>
        <v>180</v>
      </c>
      <c r="Q9" s="69">
        <f>O9*P9</f>
        <v>3961297.3134317081</v>
      </c>
      <c r="R9" s="38">
        <f>QUANTITÀ!G8</f>
        <v>23055.169549073435</v>
      </c>
      <c r="S9" s="66">
        <f>PREZZI!G5</f>
        <v>180</v>
      </c>
      <c r="T9" s="69">
        <f>R9*S9</f>
        <v>4149930.5188332181</v>
      </c>
      <c r="U9" s="40">
        <f>C9+F9+I9+L9+O9+R9</f>
        <v>130995.28152882634</v>
      </c>
      <c r="V9" s="71">
        <f>IFERROR(W9/U9,0)</f>
        <v>180.00000000000003</v>
      </c>
      <c r="W9" s="74">
        <f>E9+H9+K9+N9+Q9+T9</f>
        <v>23579150.675188743</v>
      </c>
      <c r="X9" s="41"/>
    </row>
    <row r="10" spans="2:24" x14ac:dyDescent="0.2">
      <c r="B10" s="19" t="s">
        <v>103</v>
      </c>
      <c r="C10" s="37">
        <f>QUANTITÀ!B9</f>
        <v>33131.005957446803</v>
      </c>
      <c r="D10" s="66">
        <f>PREZZI!B6</f>
        <v>180</v>
      </c>
      <c r="E10" s="69">
        <f>C10*D10</f>
        <v>5963581.0723404242</v>
      </c>
      <c r="F10" s="38">
        <f>QUANTITÀ!C9</f>
        <v>36812.228841607561</v>
      </c>
      <c r="G10" s="66">
        <f>PREZZI!C6</f>
        <v>180</v>
      </c>
      <c r="H10" s="69">
        <f>F10*G10</f>
        <v>6626201.1914893612</v>
      </c>
      <c r="I10" s="39">
        <f>QUANTITÀ!D9</f>
        <v>42334.063167848697</v>
      </c>
      <c r="J10" s="66">
        <f>PREZZI!D6</f>
        <v>180</v>
      </c>
      <c r="K10" s="69">
        <f>I10*J10</f>
        <v>7620131.3702127654</v>
      </c>
      <c r="L10" s="39">
        <f>QUANTITÀ!E9</f>
        <v>38652.84028368794</v>
      </c>
      <c r="M10" s="66">
        <f>PREZZI!E6</f>
        <v>180</v>
      </c>
      <c r="N10" s="69">
        <f>L10*M10</f>
        <v>6957511.2510638293</v>
      </c>
      <c r="O10" s="39">
        <f>QUANTITÀ!F9</f>
        <v>38652.84028368794</v>
      </c>
      <c r="P10" s="66">
        <f>PREZZI!F6</f>
        <v>180</v>
      </c>
      <c r="Q10" s="69">
        <f>O10*P10</f>
        <v>6957511.2510638293</v>
      </c>
      <c r="R10" s="38">
        <f>QUANTITÀ!G9</f>
        <v>40493.451725768318</v>
      </c>
      <c r="S10" s="66">
        <f>PREZZI!G6</f>
        <v>180</v>
      </c>
      <c r="T10" s="69">
        <f>R10*S10</f>
        <v>7288821.3106382973</v>
      </c>
      <c r="U10" s="40">
        <f>C10+F10+I10+L10+O10+R10</f>
        <v>230076.43026004726</v>
      </c>
      <c r="V10" s="71">
        <f t="shared" ref="V10:V12" si="0">IFERROR(W10/U10,0)</f>
        <v>180.00000000000006</v>
      </c>
      <c r="W10" s="74">
        <f>E10+H10+K10+N10+Q10+T10</f>
        <v>41413757.446808517</v>
      </c>
      <c r="X10" s="41"/>
    </row>
    <row r="11" spans="2:24" x14ac:dyDescent="0.2">
      <c r="B11" s="42" t="s">
        <v>104</v>
      </c>
      <c r="C11" s="37">
        <f>QUANTITÀ!B10</f>
        <v>293.61702127659601</v>
      </c>
      <c r="D11" s="66">
        <f>PREZZI!B7</f>
        <v>180</v>
      </c>
      <c r="E11" s="69">
        <f>C11*D11</f>
        <v>52851.063829787279</v>
      </c>
      <c r="F11" s="38">
        <f>QUANTITÀ!C10</f>
        <v>326.2411347517733</v>
      </c>
      <c r="G11" s="66">
        <f>PREZZI!C7</f>
        <v>180</v>
      </c>
      <c r="H11" s="69">
        <f>F11*G11</f>
        <v>58723.404255319198</v>
      </c>
      <c r="I11" s="39">
        <f>QUANTITÀ!D10</f>
        <v>375.1773049645393</v>
      </c>
      <c r="J11" s="66">
        <f>PREZZI!D7</f>
        <v>180</v>
      </c>
      <c r="K11" s="69">
        <f>I11*J11</f>
        <v>67531.914893617068</v>
      </c>
      <c r="L11" s="39">
        <f>QUANTITÀ!E10</f>
        <v>342.55319148936201</v>
      </c>
      <c r="M11" s="66">
        <f>PREZZI!E7</f>
        <v>180</v>
      </c>
      <c r="N11" s="69">
        <f>L11*M11</f>
        <v>61659.574468085164</v>
      </c>
      <c r="O11" s="39">
        <f>QUANTITÀ!F10</f>
        <v>342.55319148936201</v>
      </c>
      <c r="P11" s="66">
        <f>PREZZI!F7</f>
        <v>180</v>
      </c>
      <c r="Q11" s="69">
        <f>O11*P11</f>
        <v>61659.574468085164</v>
      </c>
      <c r="R11" s="38">
        <f>QUANTITÀ!G10</f>
        <v>358.86524822695065</v>
      </c>
      <c r="S11" s="66">
        <f>PREZZI!G7</f>
        <v>180</v>
      </c>
      <c r="T11" s="69">
        <f>R11*S11</f>
        <v>64595.744680851116</v>
      </c>
      <c r="U11" s="40">
        <f>C11+F11+I11+L11+O11+R11</f>
        <v>2039.0070921985832</v>
      </c>
      <c r="V11" s="71">
        <f t="shared" si="0"/>
        <v>180</v>
      </c>
      <c r="W11" s="74">
        <f>E11+H11+K11+N11+Q11+T11</f>
        <v>367021.276595745</v>
      </c>
      <c r="X11" s="41"/>
    </row>
    <row r="12" spans="2:24" s="13" customFormat="1" ht="17" thickBot="1" x14ac:dyDescent="0.25">
      <c r="B12" s="43" t="s">
        <v>92</v>
      </c>
      <c r="C12" s="44">
        <f>SUM(C9:C11)</f>
        <v>52287.943518874388</v>
      </c>
      <c r="D12" s="67">
        <f>E12/C12</f>
        <v>180</v>
      </c>
      <c r="E12" s="70">
        <f>SUM(E9:E11)</f>
        <v>9411829.8333973903</v>
      </c>
      <c r="F12" s="45">
        <f>SUM(F9:F11)</f>
        <v>58097.71502097154</v>
      </c>
      <c r="G12" s="67">
        <f>H12/F12</f>
        <v>180.00000000000003</v>
      </c>
      <c r="H12" s="70">
        <f>SUM(H9:H11)</f>
        <v>10457588.703774879</v>
      </c>
      <c r="I12" s="46">
        <f>SUM(I9:I11)</f>
        <v>66812.372274117282</v>
      </c>
      <c r="J12" s="67">
        <f>K12/I12</f>
        <v>180</v>
      </c>
      <c r="K12" s="70">
        <f>SUM(K9:K11)</f>
        <v>12026227.009341111</v>
      </c>
      <c r="L12" s="46">
        <f>SUM(L9:L11)</f>
        <v>61002.600772020131</v>
      </c>
      <c r="M12" s="67">
        <f>N12/L12</f>
        <v>180</v>
      </c>
      <c r="N12" s="70">
        <f>SUM(N9:N11)</f>
        <v>10980468.138963623</v>
      </c>
      <c r="O12" s="46">
        <f>SUM(O9:O11)</f>
        <v>61002.600772020131</v>
      </c>
      <c r="P12" s="67">
        <f>Q12/O12</f>
        <v>180</v>
      </c>
      <c r="Q12" s="70">
        <f>SUM(Q9:Q11)</f>
        <v>10980468.138963623</v>
      </c>
      <c r="R12" s="45">
        <f>SUM(R9:R11)</f>
        <v>63907.486523068706</v>
      </c>
      <c r="S12" s="67">
        <f>T12/R12</f>
        <v>180</v>
      </c>
      <c r="T12" s="70">
        <f>SUM(T9:T11)</f>
        <v>11503347.574152367</v>
      </c>
      <c r="U12" s="44">
        <f>SUM(U9:U11)</f>
        <v>363110.71888107219</v>
      </c>
      <c r="V12" s="72">
        <f t="shared" si="0"/>
        <v>180.00000000000003</v>
      </c>
      <c r="W12" s="75">
        <f>SUM(W9:W11)</f>
        <v>65359929.398593001</v>
      </c>
      <c r="X12" s="47"/>
    </row>
    <row r="13" spans="2:24" x14ac:dyDescent="0.2">
      <c r="B13" s="19"/>
      <c r="C13" s="19"/>
      <c r="D13" s="66"/>
      <c r="E13" s="69"/>
      <c r="F13" s="30"/>
      <c r="G13" s="66"/>
      <c r="H13" s="69"/>
      <c r="I13" s="32"/>
      <c r="J13" s="66"/>
      <c r="K13" s="69"/>
      <c r="L13" s="32"/>
      <c r="M13" s="66"/>
      <c r="N13" s="69"/>
      <c r="O13" s="32"/>
      <c r="P13" s="66"/>
      <c r="Q13" s="69"/>
      <c r="R13" s="30"/>
      <c r="S13" s="66"/>
      <c r="T13" s="69"/>
      <c r="U13" s="33"/>
      <c r="V13" s="73"/>
      <c r="W13" s="74"/>
      <c r="X13" s="36"/>
    </row>
    <row r="14" spans="2:24" x14ac:dyDescent="0.2">
      <c r="B14" s="29"/>
      <c r="C14" s="19"/>
      <c r="D14" s="66"/>
      <c r="E14" s="69"/>
      <c r="F14" s="30"/>
      <c r="G14" s="66"/>
      <c r="H14" s="69"/>
      <c r="I14" s="32"/>
      <c r="J14" s="66"/>
      <c r="K14" s="69"/>
      <c r="L14" s="32"/>
      <c r="M14" s="66"/>
      <c r="N14" s="69"/>
      <c r="O14" s="32"/>
      <c r="P14" s="66"/>
      <c r="Q14" s="69"/>
      <c r="R14" s="30"/>
      <c r="S14" s="66"/>
      <c r="T14" s="69"/>
      <c r="U14" s="33"/>
      <c r="V14" s="73"/>
      <c r="W14" s="74"/>
      <c r="X14" s="36"/>
    </row>
    <row r="15" spans="2:24" x14ac:dyDescent="0.2">
      <c r="B15" s="19" t="s">
        <v>102</v>
      </c>
      <c r="C15" s="37">
        <f>QUANTITÀ!B15</f>
        <v>1198.375657844887</v>
      </c>
      <c r="D15" s="66">
        <f>PREZZI!B12</f>
        <v>500</v>
      </c>
      <c r="E15" s="69">
        <f>C15*D15</f>
        <v>599187.82892244344</v>
      </c>
      <c r="F15" s="38">
        <f>QUANTITÀ!C15</f>
        <v>1331.528508716541</v>
      </c>
      <c r="G15" s="66">
        <f>PREZZI!C12</f>
        <v>500</v>
      </c>
      <c r="H15" s="69">
        <f>F15*G15</f>
        <v>665764.25435827044</v>
      </c>
      <c r="I15" s="39">
        <f>QUANTITÀ!D15</f>
        <v>1531.257785024022</v>
      </c>
      <c r="J15" s="66">
        <f>PREZZI!D12</f>
        <v>500</v>
      </c>
      <c r="K15" s="69">
        <f>I15*J15</f>
        <v>765628.89251201099</v>
      </c>
      <c r="L15" s="39">
        <f>QUANTITÀ!E15</f>
        <v>1398.1049341523681</v>
      </c>
      <c r="M15" s="66">
        <f>PREZZI!E12</f>
        <v>500</v>
      </c>
      <c r="N15" s="69">
        <f>L15*M15</f>
        <v>699052.467076184</v>
      </c>
      <c r="O15" s="39">
        <f>QUANTITÀ!F15</f>
        <v>1398.1049341523681</v>
      </c>
      <c r="P15" s="66">
        <f>PREZZI!F12</f>
        <v>500</v>
      </c>
      <c r="Q15" s="69">
        <f>O15*P15</f>
        <v>699052.467076184</v>
      </c>
      <c r="R15" s="38">
        <f>QUANTITÀ!G15</f>
        <v>1464.6813595881949</v>
      </c>
      <c r="S15" s="66">
        <f>PREZZI!G12</f>
        <v>500</v>
      </c>
      <c r="T15" s="69">
        <f>R15*S15</f>
        <v>732340.67979409744</v>
      </c>
      <c r="U15" s="40">
        <f>C15+F15+I15+L15+O15+R15</f>
        <v>8322.0531794783819</v>
      </c>
      <c r="V15" s="71">
        <f>IFERROR(W15/U15,0)</f>
        <v>499.99999999999994</v>
      </c>
      <c r="W15" s="74">
        <f>E15+H15+K15+N15+Q15+T15</f>
        <v>4161026.5897391904</v>
      </c>
      <c r="X15" s="41"/>
    </row>
    <row r="16" spans="2:24" x14ac:dyDescent="0.2">
      <c r="B16" s="19" t="s">
        <v>103</v>
      </c>
      <c r="C16" s="37">
        <f>QUANTITÀ!B16</f>
        <v>0</v>
      </c>
      <c r="D16" s="66">
        <f>PREZZI!B13</f>
        <v>500</v>
      </c>
      <c r="E16" s="69">
        <f>C16*D16</f>
        <v>0</v>
      </c>
      <c r="F16" s="38">
        <f>QUANTITÀ!C16</f>
        <v>0</v>
      </c>
      <c r="G16" s="66">
        <f>PREZZI!C13</f>
        <v>500</v>
      </c>
      <c r="H16" s="69">
        <f>F16*G16</f>
        <v>0</v>
      </c>
      <c r="I16" s="39">
        <f>QUANTITÀ!D16</f>
        <v>0</v>
      </c>
      <c r="J16" s="66">
        <f>PREZZI!D13</f>
        <v>500</v>
      </c>
      <c r="K16" s="69">
        <f>I16*J16</f>
        <v>0</v>
      </c>
      <c r="L16" s="39">
        <f>QUANTITÀ!E16</f>
        <v>0</v>
      </c>
      <c r="M16" s="66">
        <f>PREZZI!E13</f>
        <v>500</v>
      </c>
      <c r="N16" s="69">
        <f>L16*M16</f>
        <v>0</v>
      </c>
      <c r="O16" s="39">
        <f>QUANTITÀ!F16</f>
        <v>0</v>
      </c>
      <c r="P16" s="66">
        <f>PREZZI!F13</f>
        <v>500</v>
      </c>
      <c r="Q16" s="69">
        <f>O16*P16</f>
        <v>0</v>
      </c>
      <c r="R16" s="38">
        <f>QUANTITÀ!G16</f>
        <v>0</v>
      </c>
      <c r="S16" s="66">
        <f>PREZZI!G13</f>
        <v>500</v>
      </c>
      <c r="T16" s="69">
        <f>R16*S16</f>
        <v>0</v>
      </c>
      <c r="U16" s="40">
        <f>C16+F16+I16+L16+O16+R16</f>
        <v>0</v>
      </c>
      <c r="V16" s="71">
        <f t="shared" ref="V16:V18" si="1">IFERROR(W16/U16,0)</f>
        <v>0</v>
      </c>
      <c r="W16" s="74">
        <f>E16+H16+K16+N16+Q16+T16</f>
        <v>0</v>
      </c>
      <c r="X16" s="41"/>
    </row>
    <row r="17" spans="2:111" x14ac:dyDescent="0.2">
      <c r="B17" s="42" t="s">
        <v>104</v>
      </c>
      <c r="C17" s="37">
        <f>QUANTITÀ!B17</f>
        <v>2008.3404255319151</v>
      </c>
      <c r="D17" s="66">
        <f>PREZZI!B14</f>
        <v>500</v>
      </c>
      <c r="E17" s="69">
        <f>C17*D17</f>
        <v>1004170.2127659576</v>
      </c>
      <c r="F17" s="38">
        <f>QUANTITÀ!C17</f>
        <v>2231.489361702128</v>
      </c>
      <c r="G17" s="66">
        <f>PREZZI!C14</f>
        <v>500</v>
      </c>
      <c r="H17" s="69">
        <f>F17*G17</f>
        <v>1115744.6808510639</v>
      </c>
      <c r="I17" s="39">
        <f>QUANTITÀ!D17</f>
        <v>2566.2127659574471</v>
      </c>
      <c r="J17" s="66">
        <f>PREZZI!D14</f>
        <v>500</v>
      </c>
      <c r="K17" s="69">
        <f>I17*J17</f>
        <v>1283106.3829787236</v>
      </c>
      <c r="L17" s="39">
        <f>QUANTITÀ!E17</f>
        <v>2343.0638297872342</v>
      </c>
      <c r="M17" s="66">
        <f>PREZZI!E14</f>
        <v>500</v>
      </c>
      <c r="N17" s="69">
        <f>L17*M17</f>
        <v>1171531.9148936172</v>
      </c>
      <c r="O17" s="39">
        <f>QUANTITÀ!F17</f>
        <v>2343.0638297872342</v>
      </c>
      <c r="P17" s="66">
        <f>PREZZI!F14</f>
        <v>500</v>
      </c>
      <c r="Q17" s="69">
        <f>O17*P17</f>
        <v>1171531.9148936172</v>
      </c>
      <c r="R17" s="38">
        <f>QUANTITÀ!G17</f>
        <v>2454.6382978723404</v>
      </c>
      <c r="S17" s="66">
        <f>PREZZI!G14</f>
        <v>500</v>
      </c>
      <c r="T17" s="69">
        <f>R17*S17</f>
        <v>1227319.1489361702</v>
      </c>
      <c r="U17" s="40">
        <f>C17+F17+I17+L17+O17+R17</f>
        <v>13946.808510638297</v>
      </c>
      <c r="V17" s="71">
        <f t="shared" si="1"/>
        <v>500.00000000000006</v>
      </c>
      <c r="W17" s="74">
        <f>E17+H17+K17+N17+Q17+T17</f>
        <v>6973404.2553191492</v>
      </c>
      <c r="X17" s="41"/>
    </row>
    <row r="18" spans="2:111" ht="17" thickBot="1" x14ac:dyDescent="0.25">
      <c r="B18" s="43" t="s">
        <v>93</v>
      </c>
      <c r="C18" s="44">
        <f>SUM(C15:C17)</f>
        <v>3206.7160833768021</v>
      </c>
      <c r="D18" s="67">
        <f>E18/C18</f>
        <v>500</v>
      </c>
      <c r="E18" s="70">
        <f>SUM(E15:E17)</f>
        <v>1603358.041688401</v>
      </c>
      <c r="F18" s="45">
        <f>SUM(F15:F17)</f>
        <v>3563.0178704186692</v>
      </c>
      <c r="G18" s="67">
        <f>H18/F18</f>
        <v>499.99999999999994</v>
      </c>
      <c r="H18" s="70">
        <f>SUM(H15:H17)</f>
        <v>1781508.9352093344</v>
      </c>
      <c r="I18" s="46">
        <f>SUM(I15:I17)</f>
        <v>4097.4705509814694</v>
      </c>
      <c r="J18" s="67">
        <f>K18/I18</f>
        <v>500</v>
      </c>
      <c r="K18" s="70">
        <f>SUM(K15:K17)</f>
        <v>2048735.2754907347</v>
      </c>
      <c r="L18" s="46">
        <f>SUM(L15:L17)</f>
        <v>3741.1687639396023</v>
      </c>
      <c r="M18" s="67">
        <f>N18/L18</f>
        <v>500</v>
      </c>
      <c r="N18" s="70">
        <f>SUM(N15:N17)</f>
        <v>1870584.3819698012</v>
      </c>
      <c r="O18" s="46">
        <f>SUM(O15:O17)</f>
        <v>3741.1687639396023</v>
      </c>
      <c r="P18" s="67">
        <f>Q18/O18</f>
        <v>500</v>
      </c>
      <c r="Q18" s="70">
        <f>SUM(Q15:Q17)</f>
        <v>1870584.3819698012</v>
      </c>
      <c r="R18" s="45">
        <f>SUM(R15:R17)</f>
        <v>3919.3196574605354</v>
      </c>
      <c r="S18" s="67">
        <f>T18/R18</f>
        <v>499.99999999999994</v>
      </c>
      <c r="T18" s="70">
        <f>SUM(T15:T17)</f>
        <v>1959659.8287302675</v>
      </c>
      <c r="U18" s="44">
        <f>SUM(U15:U17)</f>
        <v>22268.861690116679</v>
      </c>
      <c r="V18" s="72">
        <f t="shared" si="1"/>
        <v>500.00000000000006</v>
      </c>
      <c r="W18" s="75">
        <f>SUM(W15:W17)</f>
        <v>11134430.845058341</v>
      </c>
      <c r="X18" s="47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</row>
    <row r="19" spans="2:111" x14ac:dyDescent="0.2">
      <c r="B19" s="19"/>
      <c r="C19" s="19"/>
      <c r="D19" s="66"/>
      <c r="E19" s="69"/>
      <c r="F19" s="30"/>
      <c r="G19" s="66"/>
      <c r="H19" s="69"/>
      <c r="I19" s="32"/>
      <c r="J19" s="66"/>
      <c r="K19" s="69"/>
      <c r="L19" s="32"/>
      <c r="M19" s="66"/>
      <c r="N19" s="69"/>
      <c r="O19" s="32"/>
      <c r="P19" s="66"/>
      <c r="Q19" s="69"/>
      <c r="R19" s="30"/>
      <c r="S19" s="66"/>
      <c r="T19" s="69"/>
      <c r="U19" s="33"/>
      <c r="V19" s="73"/>
      <c r="W19" s="74"/>
      <c r="X19" s="47"/>
      <c r="Y19" s="50"/>
      <c r="Z19" s="51"/>
      <c r="AA19" s="51"/>
    </row>
    <row r="20" spans="2:111" x14ac:dyDescent="0.2">
      <c r="B20" s="29"/>
      <c r="C20" s="19"/>
      <c r="D20" s="66"/>
      <c r="E20" s="69"/>
      <c r="F20" s="30"/>
      <c r="G20" s="66"/>
      <c r="H20" s="69"/>
      <c r="I20" s="32"/>
      <c r="J20" s="66"/>
      <c r="K20" s="69"/>
      <c r="L20" s="32"/>
      <c r="M20" s="66"/>
      <c r="N20" s="69"/>
      <c r="O20" s="32"/>
      <c r="P20" s="66"/>
      <c r="Q20" s="69"/>
      <c r="R20" s="30"/>
      <c r="S20" s="66"/>
      <c r="T20" s="69"/>
      <c r="U20" s="33"/>
      <c r="V20" s="73"/>
      <c r="W20" s="74"/>
      <c r="X20" s="47"/>
      <c r="Y20" s="50"/>
      <c r="Z20" s="51"/>
      <c r="AA20" s="51"/>
    </row>
    <row r="21" spans="2:111" x14ac:dyDescent="0.2">
      <c r="B21" s="19" t="s">
        <v>102</v>
      </c>
      <c r="C21" s="48">
        <f>C9+C15</f>
        <v>20061.69619799588</v>
      </c>
      <c r="D21" s="68">
        <f>E21/C21</f>
        <v>199.11504424778761</v>
      </c>
      <c r="E21" s="69">
        <f>E9+E15</f>
        <v>3994585.5261496222</v>
      </c>
      <c r="F21" s="48">
        <f>F9+F15</f>
        <v>22290.773553328752</v>
      </c>
      <c r="G21" s="68">
        <f>H21/F21</f>
        <v>199.11504424778761</v>
      </c>
      <c r="H21" s="69">
        <f>H9+H15</f>
        <v>4438428.3623884683</v>
      </c>
      <c r="I21" s="48">
        <f>I9+I15</f>
        <v>25634.389586328067</v>
      </c>
      <c r="J21" s="68">
        <f>K21/I21</f>
        <v>199.11504424778764</v>
      </c>
      <c r="K21" s="69">
        <f>K9+K15</f>
        <v>5104192.6167467395</v>
      </c>
      <c r="L21" s="48">
        <f>L9+L15</f>
        <v>23405.31223099519</v>
      </c>
      <c r="M21" s="68">
        <f>N21/L21</f>
        <v>199.11504424778764</v>
      </c>
      <c r="N21" s="69">
        <f>N9+N15</f>
        <v>4660349.7805078924</v>
      </c>
      <c r="O21" s="48">
        <f>O9+O15</f>
        <v>23405.31223099519</v>
      </c>
      <c r="P21" s="68">
        <f>Q21/O21</f>
        <v>199.11504424778764</v>
      </c>
      <c r="Q21" s="69">
        <f>Q9+Q15</f>
        <v>4660349.7805078924</v>
      </c>
      <c r="R21" s="48">
        <f>R9+R15</f>
        <v>24519.850908661629</v>
      </c>
      <c r="S21" s="68">
        <f>T21/R21</f>
        <v>199.11504424778761</v>
      </c>
      <c r="T21" s="69">
        <f>T9+T15</f>
        <v>4882271.1986273155</v>
      </c>
      <c r="U21" s="40">
        <f>C21+F21+I21+L21+O21+R21</f>
        <v>139317.3347083047</v>
      </c>
      <c r="V21" s="71">
        <f>IFERROR(W21/U21,0)</f>
        <v>199.11504424778764</v>
      </c>
      <c r="W21" s="74">
        <f>E21+H21+K21+N21+Q21+T21</f>
        <v>27740177.264927931</v>
      </c>
      <c r="X21" s="47"/>
      <c r="Y21" s="50"/>
      <c r="Z21" s="51"/>
      <c r="AA21" s="51"/>
    </row>
    <row r="22" spans="2:111" x14ac:dyDescent="0.2">
      <c r="B22" s="19" t="s">
        <v>103</v>
      </c>
      <c r="C22" s="48">
        <f t="shared" ref="C22:C23" si="2">C10+C16</f>
        <v>33131.005957446803</v>
      </c>
      <c r="D22" s="68">
        <f>E22/C22</f>
        <v>180</v>
      </c>
      <c r="E22" s="69">
        <f t="shared" ref="E22:F23" si="3">E10+E16</f>
        <v>5963581.0723404242</v>
      </c>
      <c r="F22" s="48">
        <f t="shared" si="3"/>
        <v>36812.228841607561</v>
      </c>
      <c r="G22" s="68">
        <f>H22/F22</f>
        <v>180</v>
      </c>
      <c r="H22" s="69">
        <f t="shared" ref="H22:I23" si="4">H10+H16</f>
        <v>6626201.1914893612</v>
      </c>
      <c r="I22" s="48">
        <f t="shared" si="4"/>
        <v>42334.063167848697</v>
      </c>
      <c r="J22" s="68">
        <f>K22/I22</f>
        <v>180</v>
      </c>
      <c r="K22" s="69">
        <f t="shared" ref="K22:L23" si="5">K10+K16</f>
        <v>7620131.3702127654</v>
      </c>
      <c r="L22" s="48">
        <f t="shared" si="5"/>
        <v>38652.84028368794</v>
      </c>
      <c r="M22" s="68">
        <f>N22/L22</f>
        <v>180</v>
      </c>
      <c r="N22" s="69">
        <f t="shared" ref="N22:O23" si="6">N10+N16</f>
        <v>6957511.2510638293</v>
      </c>
      <c r="O22" s="48">
        <f t="shared" si="6"/>
        <v>38652.84028368794</v>
      </c>
      <c r="P22" s="68">
        <f>Q22/O22</f>
        <v>180</v>
      </c>
      <c r="Q22" s="69">
        <f t="shared" ref="Q22:R23" si="7">Q10+Q16</f>
        <v>6957511.2510638293</v>
      </c>
      <c r="R22" s="48">
        <f t="shared" si="7"/>
        <v>40493.451725768318</v>
      </c>
      <c r="S22" s="68">
        <f>T22/R22</f>
        <v>180</v>
      </c>
      <c r="T22" s="69">
        <f t="shared" ref="T22" si="8">T10+T16</f>
        <v>7288821.3106382973</v>
      </c>
      <c r="U22" s="40">
        <f>C22+F22+I22+L22+O22+R22</f>
        <v>230076.43026004726</v>
      </c>
      <c r="V22" s="71">
        <f t="shared" ref="V22:V24" si="9">IFERROR(W22/U22,0)</f>
        <v>180.00000000000006</v>
      </c>
      <c r="W22" s="74">
        <f>E22+H22+K22+N22+Q22+T22</f>
        <v>41413757.446808517</v>
      </c>
      <c r="X22" s="47"/>
      <c r="Y22" s="50"/>
      <c r="Z22" s="51"/>
      <c r="AA22" s="51"/>
    </row>
    <row r="23" spans="2:111" x14ac:dyDescent="0.2">
      <c r="B23" s="42" t="s">
        <v>104</v>
      </c>
      <c r="C23" s="48">
        <f t="shared" si="2"/>
        <v>2301.9574468085111</v>
      </c>
      <c r="D23" s="68">
        <f>E23/C23</f>
        <v>459.18367346938771</v>
      </c>
      <c r="E23" s="69">
        <f t="shared" si="3"/>
        <v>1057021.2765957448</v>
      </c>
      <c r="F23" s="48">
        <f t="shared" si="3"/>
        <v>2557.7304964539012</v>
      </c>
      <c r="G23" s="68">
        <f>H23/F23</f>
        <v>459.18367346938771</v>
      </c>
      <c r="H23" s="69">
        <f t="shared" ref="H23" si="10">H11+H17</f>
        <v>1174468.0851063831</v>
      </c>
      <c r="I23" s="48">
        <f t="shared" si="4"/>
        <v>2941.3900709219865</v>
      </c>
      <c r="J23" s="68">
        <f>K23/I23</f>
        <v>459.18367346938777</v>
      </c>
      <c r="K23" s="69">
        <f t="shared" ref="K23" si="11">K11+K17</f>
        <v>1350638.2978723408</v>
      </c>
      <c r="L23" s="48">
        <f t="shared" si="5"/>
        <v>2685.6170212765965</v>
      </c>
      <c r="M23" s="68">
        <f>N23/L23</f>
        <v>459.18367346938766</v>
      </c>
      <c r="N23" s="69">
        <f t="shared" ref="N23" si="12">N11+N17</f>
        <v>1233191.4893617022</v>
      </c>
      <c r="O23" s="48">
        <f t="shared" si="6"/>
        <v>2685.6170212765965</v>
      </c>
      <c r="P23" s="68">
        <f>Q23/O23</f>
        <v>459.18367346938766</v>
      </c>
      <c r="Q23" s="69">
        <f t="shared" ref="Q23" si="13">Q11+Q17</f>
        <v>1233191.4893617022</v>
      </c>
      <c r="R23" s="48">
        <f t="shared" si="7"/>
        <v>2813.5035460992913</v>
      </c>
      <c r="S23" s="68">
        <f>T23/R23</f>
        <v>459.18367346938771</v>
      </c>
      <c r="T23" s="69">
        <f t="shared" ref="T23" si="14">T11+T17</f>
        <v>1291914.8936170214</v>
      </c>
      <c r="U23" s="40">
        <f>C23+F23+I23+L23+O23+R23</f>
        <v>15985.815602836883</v>
      </c>
      <c r="V23" s="71">
        <f t="shared" si="9"/>
        <v>459.18367346938777</v>
      </c>
      <c r="W23" s="74">
        <f>E23+H23+K23+N23+Q23+T23</f>
        <v>7340425.5319148954</v>
      </c>
      <c r="X23" s="47"/>
      <c r="Y23" s="50"/>
      <c r="Z23" s="51"/>
      <c r="AA23" s="51"/>
    </row>
    <row r="24" spans="2:111" ht="17" thickBot="1" x14ac:dyDescent="0.25">
      <c r="B24" s="43" t="s">
        <v>3</v>
      </c>
      <c r="C24" s="44">
        <f>SUM(C21:C23)</f>
        <v>55494.659602251195</v>
      </c>
      <c r="D24" s="67">
        <f>E24/C24</f>
        <v>198.49095307612177</v>
      </c>
      <c r="E24" s="70">
        <f>SUM(E21:E23)</f>
        <v>11015187.875085792</v>
      </c>
      <c r="F24" s="44">
        <f>SUM(F21:F23)</f>
        <v>61660.732891390209</v>
      </c>
      <c r="G24" s="67">
        <f>H24/F24</f>
        <v>198.4909530761218</v>
      </c>
      <c r="H24" s="70">
        <f>SUM(H21:H23)</f>
        <v>12239097.638984215</v>
      </c>
      <c r="I24" s="44">
        <f>SUM(I21:I23)</f>
        <v>70909.842825098749</v>
      </c>
      <c r="J24" s="67">
        <f>K24/I24</f>
        <v>198.49095307612177</v>
      </c>
      <c r="K24" s="70">
        <f>SUM(K21:K23)</f>
        <v>14074962.284831846</v>
      </c>
      <c r="L24" s="44">
        <f>SUM(L21:L23)</f>
        <v>64743.76953595972</v>
      </c>
      <c r="M24" s="67">
        <f>N24/L24</f>
        <v>198.49095307612177</v>
      </c>
      <c r="N24" s="70">
        <f>SUM(N21:N23)</f>
        <v>12851052.520933423</v>
      </c>
      <c r="O24" s="44">
        <f>SUM(O21:O23)</f>
        <v>64743.76953595972</v>
      </c>
      <c r="P24" s="67">
        <f>Q24/O24</f>
        <v>198.49095307612177</v>
      </c>
      <c r="Q24" s="70">
        <f>SUM(Q21:Q23)</f>
        <v>12851052.520933423</v>
      </c>
      <c r="R24" s="44">
        <f>SUM(R21:R23)</f>
        <v>67826.806180529238</v>
      </c>
      <c r="S24" s="67">
        <f>T24/R24</f>
        <v>198.49095307612174</v>
      </c>
      <c r="T24" s="70">
        <f>SUM(T21:T23)</f>
        <v>13463007.402882634</v>
      </c>
      <c r="U24" s="44">
        <f>SUM(U21:U23)</f>
        <v>385379.58057118882</v>
      </c>
      <c r="V24" s="72">
        <f t="shared" si="9"/>
        <v>198.49095307612177</v>
      </c>
      <c r="W24" s="75">
        <f>SUM(W21:W23)</f>
        <v>76494360.24365133</v>
      </c>
      <c r="X24" s="47"/>
      <c r="Y24" s="50"/>
      <c r="Z24" s="51"/>
      <c r="AA24" s="51"/>
    </row>
    <row r="25" spans="2:111" x14ac:dyDescent="0.2"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47"/>
      <c r="Y25" s="50"/>
      <c r="Z25" s="51"/>
      <c r="AA25" s="51"/>
    </row>
    <row r="26" spans="2:111" x14ac:dyDescent="0.2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47"/>
      <c r="Y26" s="50"/>
      <c r="Z26" s="51"/>
      <c r="AA26" s="51"/>
    </row>
    <row r="27" spans="2:111" x14ac:dyDescent="0.2">
      <c r="W27" s="50"/>
    </row>
    <row r="28" spans="2:111" ht="17" thickBot="1" x14ac:dyDescent="0.25"/>
    <row r="29" spans="2:111" x14ac:dyDescent="0.2">
      <c r="B29" s="15"/>
      <c r="C29" s="792" t="s">
        <v>99</v>
      </c>
      <c r="D29" s="793"/>
      <c r="E29" s="793"/>
      <c r="F29" s="793"/>
      <c r="G29" s="793"/>
      <c r="H29" s="793"/>
      <c r="I29" s="793"/>
      <c r="J29" s="793"/>
      <c r="K29" s="793"/>
      <c r="L29" s="793"/>
      <c r="M29" s="793"/>
      <c r="N29" s="793"/>
      <c r="O29" s="793"/>
      <c r="P29" s="793"/>
      <c r="Q29" s="793"/>
      <c r="R29" s="793"/>
      <c r="S29" s="793"/>
      <c r="T29" s="793"/>
      <c r="U29" s="793"/>
      <c r="V29" s="793"/>
      <c r="W29" s="794"/>
      <c r="X29" s="16"/>
      <c r="Y29" s="786" t="s">
        <v>3</v>
      </c>
      <c r="Z29" s="787"/>
      <c r="AA29" s="788"/>
    </row>
    <row r="30" spans="2:111" x14ac:dyDescent="0.2">
      <c r="B30" s="17"/>
      <c r="C30" s="795" t="s">
        <v>23</v>
      </c>
      <c r="D30" s="773"/>
      <c r="E30" s="774"/>
      <c r="F30" s="780" t="s">
        <v>24</v>
      </c>
      <c r="G30" s="781"/>
      <c r="H30" s="782"/>
      <c r="I30" s="780" t="s">
        <v>25</v>
      </c>
      <c r="J30" s="781"/>
      <c r="K30" s="782"/>
      <c r="L30" s="780" t="s">
        <v>26</v>
      </c>
      <c r="M30" s="781"/>
      <c r="N30" s="782"/>
      <c r="O30" s="780" t="s">
        <v>27</v>
      </c>
      <c r="P30" s="781"/>
      <c r="Q30" s="782"/>
      <c r="R30" s="780" t="s">
        <v>28</v>
      </c>
      <c r="S30" s="781"/>
      <c r="T30" s="782"/>
      <c r="U30" s="783" t="s">
        <v>180</v>
      </c>
      <c r="V30" s="784"/>
      <c r="W30" s="785"/>
      <c r="X30" s="18"/>
      <c r="Y30" s="789"/>
      <c r="Z30" s="790"/>
      <c r="AA30" s="791"/>
    </row>
    <row r="31" spans="2:111" x14ac:dyDescent="0.2">
      <c r="B31" s="19"/>
      <c r="C31" s="20" t="s">
        <v>0</v>
      </c>
      <c r="D31" s="21" t="s">
        <v>9</v>
      </c>
      <c r="E31" s="22" t="s">
        <v>1</v>
      </c>
      <c r="F31" s="23" t="s">
        <v>0</v>
      </c>
      <c r="G31" s="23" t="s">
        <v>9</v>
      </c>
      <c r="H31" s="24" t="s">
        <v>1</v>
      </c>
      <c r="I31" s="25" t="s">
        <v>0</v>
      </c>
      <c r="J31" s="23" t="s">
        <v>9</v>
      </c>
      <c r="K31" s="24" t="s">
        <v>1</v>
      </c>
      <c r="L31" s="25" t="s">
        <v>0</v>
      </c>
      <c r="M31" s="23" t="s">
        <v>9</v>
      </c>
      <c r="N31" s="24" t="s">
        <v>1</v>
      </c>
      <c r="O31" s="25" t="s">
        <v>0</v>
      </c>
      <c r="P31" s="23" t="s">
        <v>9</v>
      </c>
      <c r="Q31" s="24" t="s">
        <v>1</v>
      </c>
      <c r="R31" s="25" t="s">
        <v>0</v>
      </c>
      <c r="S31" s="23" t="s">
        <v>9</v>
      </c>
      <c r="T31" s="26" t="s">
        <v>1</v>
      </c>
      <c r="U31" s="27" t="s">
        <v>0</v>
      </c>
      <c r="V31" s="27" t="s">
        <v>9</v>
      </c>
      <c r="W31" s="28" t="s">
        <v>1</v>
      </c>
      <c r="X31" s="18"/>
      <c r="Y31" s="54" t="s">
        <v>0</v>
      </c>
      <c r="Z31" s="27" t="s">
        <v>9</v>
      </c>
      <c r="AA31" s="28" t="s">
        <v>1</v>
      </c>
    </row>
    <row r="32" spans="2:111" x14ac:dyDescent="0.2">
      <c r="B32" s="29"/>
      <c r="C32" s="19"/>
      <c r="D32" s="30"/>
      <c r="E32" s="31"/>
      <c r="F32" s="30"/>
      <c r="G32" s="30"/>
      <c r="H32" s="31"/>
      <c r="I32" s="32"/>
      <c r="J32" s="30"/>
      <c r="K32" s="31"/>
      <c r="L32" s="32"/>
      <c r="M32" s="30"/>
      <c r="N32" s="31"/>
      <c r="O32" s="32"/>
      <c r="P32" s="30"/>
      <c r="Q32" s="31"/>
      <c r="R32" s="30"/>
      <c r="S32" s="30"/>
      <c r="T32" s="30"/>
      <c r="U32" s="33"/>
      <c r="V32" s="34"/>
      <c r="W32" s="35"/>
      <c r="X32" s="36"/>
      <c r="Y32" s="33"/>
      <c r="Z32" s="34"/>
      <c r="AA32" s="35"/>
    </row>
    <row r="33" spans="2:32" x14ac:dyDescent="0.2">
      <c r="B33" s="19" t="s">
        <v>102</v>
      </c>
      <c r="C33" s="37">
        <f>QUANTITÀ!H8</f>
        <v>23055.169549073435</v>
      </c>
      <c r="D33" s="66">
        <f>PREZZI!H5</f>
        <v>180</v>
      </c>
      <c r="E33" s="69">
        <f>C33*D33</f>
        <v>4149930.5188332181</v>
      </c>
      <c r="F33" s="38">
        <f>QUANTITÀ!I8</f>
        <v>12575.547026767326</v>
      </c>
      <c r="G33" s="66">
        <f>PREZZI!I5</f>
        <v>180</v>
      </c>
      <c r="H33" s="69">
        <f>F33*G33</f>
        <v>2263598.4648181186</v>
      </c>
      <c r="I33" s="39">
        <f>QUANTITÀ!J8</f>
        <v>23055.169549073435</v>
      </c>
      <c r="J33" s="66">
        <f>PREZZI!J5</f>
        <v>180</v>
      </c>
      <c r="K33" s="69">
        <f>I33*J33</f>
        <v>4149930.5188332181</v>
      </c>
      <c r="L33" s="39">
        <f>QUANTITÀ!K8</f>
        <v>22007.207296842822</v>
      </c>
      <c r="M33" s="66">
        <f>PREZZI!K5</f>
        <v>180</v>
      </c>
      <c r="N33" s="69">
        <f>L33*M33</f>
        <v>3961297.3134317081</v>
      </c>
      <c r="O33" s="39">
        <f>QUANTITÀ!L8</f>
        <v>22007.207296842822</v>
      </c>
      <c r="P33" s="66">
        <f>PREZZI!L5</f>
        <v>180</v>
      </c>
      <c r="Q33" s="69">
        <f>O33*P33</f>
        <v>3961297.3134317081</v>
      </c>
      <c r="R33" s="38">
        <f>QUANTITÀ!M8</f>
        <v>12575.547026767326</v>
      </c>
      <c r="S33" s="66">
        <f>PREZZI!M5</f>
        <v>180</v>
      </c>
      <c r="T33" s="69">
        <f>R33*S33</f>
        <v>2263598.4648181186</v>
      </c>
      <c r="U33" s="40">
        <f>C33+F33+I33+L33+O33+R33</f>
        <v>115275.84774536717</v>
      </c>
      <c r="V33" s="71">
        <f>IFERROR(W33/U33,0)</f>
        <v>180.00000000000003</v>
      </c>
      <c r="W33" s="74">
        <f>E33+H33+K33+N33+Q33+T33</f>
        <v>20749652.594166093</v>
      </c>
      <c r="X33" s="41"/>
      <c r="Y33" s="40">
        <f>U9+U33</f>
        <v>246271.12927419349</v>
      </c>
      <c r="Z33" s="71">
        <f>IFERROR(AA33/Y33,0)</f>
        <v>180.00000000000003</v>
      </c>
      <c r="AA33" s="74">
        <f>W9+W33</f>
        <v>44328803.269354835</v>
      </c>
    </row>
    <row r="34" spans="2:32" x14ac:dyDescent="0.2">
      <c r="B34" s="19" t="s">
        <v>103</v>
      </c>
      <c r="C34" s="37">
        <f>QUANTITÀ!H9</f>
        <v>40493.451725768318</v>
      </c>
      <c r="D34" s="66">
        <f>PREZZI!H6</f>
        <v>180</v>
      </c>
      <c r="E34" s="69">
        <f>C34*D34</f>
        <v>7288821.3106382973</v>
      </c>
      <c r="F34" s="38">
        <f>QUANTITÀ!I9</f>
        <v>22087.337304964538</v>
      </c>
      <c r="G34" s="66">
        <f>PREZZI!I6</f>
        <v>180</v>
      </c>
      <c r="H34" s="69">
        <f>F34*G34</f>
        <v>3975720.7148936167</v>
      </c>
      <c r="I34" s="39">
        <f>QUANTITÀ!J9</f>
        <v>40493.451725768318</v>
      </c>
      <c r="J34" s="66">
        <f>PREZZI!J6</f>
        <v>180</v>
      </c>
      <c r="K34" s="69">
        <f>I34*J34</f>
        <v>7288821.3106382973</v>
      </c>
      <c r="L34" s="39">
        <f>QUANTITÀ!K9</f>
        <v>38652.84028368794</v>
      </c>
      <c r="M34" s="66">
        <f>PREZZI!K6</f>
        <v>180</v>
      </c>
      <c r="N34" s="69">
        <f>L34*M34</f>
        <v>6957511.2510638293</v>
      </c>
      <c r="O34" s="39">
        <f>QUANTITÀ!L9</f>
        <v>38652.84028368794</v>
      </c>
      <c r="P34" s="66">
        <f>PREZZI!L6</f>
        <v>180</v>
      </c>
      <c r="Q34" s="69">
        <f>O34*P34</f>
        <v>6957511.2510638293</v>
      </c>
      <c r="R34" s="38">
        <f>QUANTITÀ!M9</f>
        <v>22087.337304964538</v>
      </c>
      <c r="S34" s="66">
        <f>PREZZI!M6</f>
        <v>180</v>
      </c>
      <c r="T34" s="69">
        <f>R34*S34</f>
        <v>3975720.7148936167</v>
      </c>
      <c r="U34" s="40">
        <f>C34+F34+I34+L34+O34+R34</f>
        <v>202467.25862884161</v>
      </c>
      <c r="V34" s="71">
        <f t="shared" ref="V34:V36" si="15">IFERROR(W34/U34,0)</f>
        <v>180</v>
      </c>
      <c r="W34" s="74">
        <f>E34+H34+K34+N34+Q34+T34</f>
        <v>36444106.55319149</v>
      </c>
      <c r="X34" s="41"/>
      <c r="Y34" s="40">
        <f>U10+U34</f>
        <v>432543.68888888886</v>
      </c>
      <c r="Z34" s="71">
        <f t="shared" ref="Z34:Z36" si="16">IFERROR(AA34/Y34,0)</f>
        <v>180</v>
      </c>
      <c r="AA34" s="74">
        <f>W10+W34</f>
        <v>77857864</v>
      </c>
    </row>
    <row r="35" spans="2:32" x14ac:dyDescent="0.2">
      <c r="B35" s="42" t="s">
        <v>104</v>
      </c>
      <c r="C35" s="37">
        <f>QUANTITÀ!H10</f>
        <v>358.86524822695065</v>
      </c>
      <c r="D35" s="66">
        <f>PREZZI!H7</f>
        <v>180</v>
      </c>
      <c r="E35" s="69">
        <f>C35*D35</f>
        <v>64595.744680851116</v>
      </c>
      <c r="F35" s="38">
        <f>QUANTITÀ!I10</f>
        <v>195.744680851064</v>
      </c>
      <c r="G35" s="66">
        <f>PREZZI!I7</f>
        <v>180</v>
      </c>
      <c r="H35" s="69">
        <f>F35*G35</f>
        <v>35234.042553191524</v>
      </c>
      <c r="I35" s="39">
        <f>QUANTITÀ!J10</f>
        <v>358.86524822695065</v>
      </c>
      <c r="J35" s="66">
        <f>PREZZI!J7</f>
        <v>180</v>
      </c>
      <c r="K35" s="69">
        <f>I35*J35</f>
        <v>64595.744680851116</v>
      </c>
      <c r="L35" s="39">
        <f>QUANTITÀ!K10</f>
        <v>342.55319148936201</v>
      </c>
      <c r="M35" s="66">
        <f>PREZZI!K7</f>
        <v>180</v>
      </c>
      <c r="N35" s="69">
        <f>L35*M35</f>
        <v>61659.574468085164</v>
      </c>
      <c r="O35" s="39">
        <f>QUANTITÀ!L10</f>
        <v>342.55319148936201</v>
      </c>
      <c r="P35" s="66">
        <f>PREZZI!L7</f>
        <v>180</v>
      </c>
      <c r="Q35" s="69">
        <f>O35*P35</f>
        <v>61659.574468085164</v>
      </c>
      <c r="R35" s="38">
        <f>QUANTITÀ!M10</f>
        <v>195.744680851064</v>
      </c>
      <c r="S35" s="66">
        <f>PREZZI!M7</f>
        <v>180</v>
      </c>
      <c r="T35" s="69">
        <f>R35*S35</f>
        <v>35234.042553191524</v>
      </c>
      <c r="U35" s="40">
        <f>C35+F35+I35+L35+O35+R35</f>
        <v>1794.3262411347532</v>
      </c>
      <c r="V35" s="71">
        <f t="shared" si="15"/>
        <v>180.00000000000003</v>
      </c>
      <c r="W35" s="74">
        <f>E35+H35+K35+N35+Q35+T35</f>
        <v>322978.72340425564</v>
      </c>
      <c r="X35" s="41"/>
      <c r="Y35" s="40">
        <f>U11+U35</f>
        <v>3833.3333333333367</v>
      </c>
      <c r="Z35" s="71">
        <f t="shared" si="16"/>
        <v>180.00000000000003</v>
      </c>
      <c r="AA35" s="74">
        <f>W11+W35</f>
        <v>690000.0000000007</v>
      </c>
    </row>
    <row r="36" spans="2:32" ht="17" thickBot="1" x14ac:dyDescent="0.25">
      <c r="B36" s="43" t="s">
        <v>92</v>
      </c>
      <c r="C36" s="44">
        <f>SUM(C33:C35)</f>
        <v>63907.486523068706</v>
      </c>
      <c r="D36" s="67">
        <f>E36/C36</f>
        <v>180</v>
      </c>
      <c r="E36" s="70">
        <f>SUM(E33:E35)</f>
        <v>11503347.574152367</v>
      </c>
      <c r="F36" s="45">
        <f>SUM(F33:F35)</f>
        <v>34858.629012582933</v>
      </c>
      <c r="G36" s="67">
        <f>H36/F36</f>
        <v>179.99999999999994</v>
      </c>
      <c r="H36" s="70">
        <f>SUM(H33:H35)</f>
        <v>6274553.2222649259</v>
      </c>
      <c r="I36" s="46">
        <f>SUM(I33:I35)</f>
        <v>63907.486523068706</v>
      </c>
      <c r="J36" s="67">
        <f>K36/I36</f>
        <v>180</v>
      </c>
      <c r="K36" s="70">
        <f>SUM(K33:K35)</f>
        <v>11503347.574152367</v>
      </c>
      <c r="L36" s="46">
        <f>SUM(L33:L35)</f>
        <v>61002.600772020131</v>
      </c>
      <c r="M36" s="67">
        <f>N36/L36</f>
        <v>180</v>
      </c>
      <c r="N36" s="70">
        <f>SUM(N33:N35)</f>
        <v>10980468.138963623</v>
      </c>
      <c r="O36" s="46">
        <f>SUM(O33:O35)</f>
        <v>61002.600772020131</v>
      </c>
      <c r="P36" s="67">
        <f>Q36/O36</f>
        <v>180</v>
      </c>
      <c r="Q36" s="70">
        <f>SUM(Q33:Q35)</f>
        <v>10980468.138963623</v>
      </c>
      <c r="R36" s="45">
        <f>SUM(R33:R35)</f>
        <v>34858.629012582933</v>
      </c>
      <c r="S36" s="67">
        <f>T36/R36</f>
        <v>179.99999999999994</v>
      </c>
      <c r="T36" s="70">
        <f>SUM(T33:T35)</f>
        <v>6274553.2222649259</v>
      </c>
      <c r="U36" s="44">
        <f>SUM(U33:U35)</f>
        <v>319537.43261534348</v>
      </c>
      <c r="V36" s="72">
        <f t="shared" si="15"/>
        <v>180.00000000000006</v>
      </c>
      <c r="W36" s="75">
        <f>SUM(W33:W35)</f>
        <v>57516737.870761842</v>
      </c>
      <c r="X36" s="47"/>
      <c r="Y36" s="44">
        <f>SUM(Y33:Y35)</f>
        <v>682648.15149641572</v>
      </c>
      <c r="Z36" s="72">
        <f t="shared" si="16"/>
        <v>180</v>
      </c>
      <c r="AA36" s="75">
        <f>SUM(AA33:AA35)</f>
        <v>122876667.26935484</v>
      </c>
      <c r="AC36" s="55"/>
      <c r="AD36" s="55"/>
      <c r="AE36" s="55"/>
      <c r="AF36" s="49"/>
    </row>
    <row r="37" spans="2:32" x14ac:dyDescent="0.2">
      <c r="B37" s="19"/>
      <c r="C37" s="19"/>
      <c r="D37" s="66"/>
      <c r="E37" s="69"/>
      <c r="F37" s="30"/>
      <c r="G37" s="66"/>
      <c r="H37" s="69"/>
      <c r="I37" s="32"/>
      <c r="J37" s="66"/>
      <c r="K37" s="69"/>
      <c r="L37" s="32"/>
      <c r="M37" s="66"/>
      <c r="N37" s="69"/>
      <c r="O37" s="32"/>
      <c r="P37" s="66"/>
      <c r="Q37" s="69"/>
      <c r="R37" s="30"/>
      <c r="S37" s="66"/>
      <c r="T37" s="69"/>
      <c r="U37" s="33"/>
      <c r="V37" s="73"/>
      <c r="W37" s="74"/>
      <c r="X37" s="36"/>
      <c r="Y37" s="33"/>
      <c r="Z37" s="73"/>
      <c r="AA37" s="74"/>
      <c r="AC37" s="55"/>
      <c r="AD37" s="55"/>
      <c r="AE37" s="55"/>
    </row>
    <row r="38" spans="2:32" x14ac:dyDescent="0.2">
      <c r="B38" s="29"/>
      <c r="C38" s="19"/>
      <c r="D38" s="66"/>
      <c r="E38" s="69"/>
      <c r="F38" s="30"/>
      <c r="G38" s="66"/>
      <c r="H38" s="69"/>
      <c r="I38" s="32"/>
      <c r="J38" s="66"/>
      <c r="K38" s="69"/>
      <c r="L38" s="32"/>
      <c r="M38" s="66"/>
      <c r="N38" s="69"/>
      <c r="O38" s="32"/>
      <c r="P38" s="66"/>
      <c r="Q38" s="69"/>
      <c r="R38" s="30"/>
      <c r="S38" s="66"/>
      <c r="T38" s="69"/>
      <c r="U38" s="33"/>
      <c r="V38" s="73"/>
      <c r="W38" s="74"/>
      <c r="X38" s="36"/>
      <c r="Y38" s="33"/>
      <c r="Z38" s="73"/>
      <c r="AA38" s="74"/>
      <c r="AC38" s="55"/>
      <c r="AD38" s="55"/>
      <c r="AE38" s="55"/>
    </row>
    <row r="39" spans="2:32" x14ac:dyDescent="0.2">
      <c r="B39" s="19" t="s">
        <v>102</v>
      </c>
      <c r="C39" s="37">
        <f>QUANTITÀ!H15</f>
        <v>1464.6813595881949</v>
      </c>
      <c r="D39" s="66">
        <f>PREZZI!H12</f>
        <v>500</v>
      </c>
      <c r="E39" s="69">
        <f>C39*D39</f>
        <v>732340.67979409744</v>
      </c>
      <c r="F39" s="38">
        <f>QUANTITÀ!I15</f>
        <v>798.91710522992457</v>
      </c>
      <c r="G39" s="66">
        <f>PREZZI!I12</f>
        <v>500</v>
      </c>
      <c r="H39" s="69">
        <f>F39*G39</f>
        <v>399458.55261496227</v>
      </c>
      <c r="I39" s="39">
        <f>QUANTITÀ!J15</f>
        <v>1464.6813595881949</v>
      </c>
      <c r="J39" s="66">
        <f>PREZZI!J12</f>
        <v>500</v>
      </c>
      <c r="K39" s="69">
        <f>I39*J39</f>
        <v>732340.67979409744</v>
      </c>
      <c r="L39" s="39">
        <f>QUANTITÀ!K15</f>
        <v>1398.1049341523681</v>
      </c>
      <c r="M39" s="66">
        <f>PREZZI!K12</f>
        <v>500</v>
      </c>
      <c r="N39" s="69">
        <f>L39*M39</f>
        <v>699052.467076184</v>
      </c>
      <c r="O39" s="39">
        <f>QUANTITÀ!L15</f>
        <v>1398.1049341523681</v>
      </c>
      <c r="P39" s="66">
        <f>PREZZI!L12</f>
        <v>500</v>
      </c>
      <c r="Q39" s="69">
        <f>O39*P39</f>
        <v>699052.467076184</v>
      </c>
      <c r="R39" s="38">
        <f>QUANTITÀ!M15</f>
        <v>798.91710522992457</v>
      </c>
      <c r="S39" s="66">
        <f>PREZZI!M12</f>
        <v>500</v>
      </c>
      <c r="T39" s="69">
        <f>R39*S39</f>
        <v>399458.55261496227</v>
      </c>
      <c r="U39" s="40">
        <f>C39+F39+I39+L39+O39+R39</f>
        <v>7323.4067979409756</v>
      </c>
      <c r="V39" s="71">
        <f>IFERROR(W39/U39,0)</f>
        <v>500</v>
      </c>
      <c r="W39" s="74">
        <f>E39+H39+K39+N39+Q39+T39</f>
        <v>3661703.398970488</v>
      </c>
      <c r="X39" s="41"/>
      <c r="Y39" s="40">
        <f>U15+U39</f>
        <v>15645.459977419358</v>
      </c>
      <c r="Z39" s="71">
        <f>IFERROR(AA39/Y39,0)</f>
        <v>500</v>
      </c>
      <c r="AA39" s="74">
        <f>W15+W39</f>
        <v>7822729.9887096789</v>
      </c>
      <c r="AC39" s="55"/>
      <c r="AD39" s="55"/>
      <c r="AE39" s="55"/>
    </row>
    <row r="40" spans="2:32" x14ac:dyDescent="0.2">
      <c r="B40" s="19" t="s">
        <v>103</v>
      </c>
      <c r="C40" s="37">
        <f>QUANTITÀ!H16</f>
        <v>0</v>
      </c>
      <c r="D40" s="66">
        <f>PREZZI!H13</f>
        <v>500</v>
      </c>
      <c r="E40" s="69">
        <f>C40*D40</f>
        <v>0</v>
      </c>
      <c r="F40" s="38">
        <f>QUANTITÀ!I16</f>
        <v>0</v>
      </c>
      <c r="G40" s="66">
        <f>PREZZI!I13</f>
        <v>500</v>
      </c>
      <c r="H40" s="69">
        <f>F40*G40</f>
        <v>0</v>
      </c>
      <c r="I40" s="39">
        <f>QUANTITÀ!J16</f>
        <v>0</v>
      </c>
      <c r="J40" s="66">
        <f>PREZZI!J13</f>
        <v>500</v>
      </c>
      <c r="K40" s="69">
        <f>I40*J40</f>
        <v>0</v>
      </c>
      <c r="L40" s="39">
        <f>QUANTITÀ!K16</f>
        <v>0</v>
      </c>
      <c r="M40" s="66">
        <f>PREZZI!K13</f>
        <v>500</v>
      </c>
      <c r="N40" s="69">
        <f>L40*M40</f>
        <v>0</v>
      </c>
      <c r="O40" s="39">
        <f>QUANTITÀ!L16</f>
        <v>0</v>
      </c>
      <c r="P40" s="66">
        <f>PREZZI!L13</f>
        <v>500</v>
      </c>
      <c r="Q40" s="69">
        <f>O40*P40</f>
        <v>0</v>
      </c>
      <c r="R40" s="38">
        <f>QUANTITÀ!M16</f>
        <v>0</v>
      </c>
      <c r="S40" s="66">
        <f>PREZZI!M13</f>
        <v>500</v>
      </c>
      <c r="T40" s="69">
        <f>R40*S40</f>
        <v>0</v>
      </c>
      <c r="U40" s="40">
        <f>C40+F40+I40+L40+O40+R40</f>
        <v>0</v>
      </c>
      <c r="V40" s="71">
        <f t="shared" ref="V40:V42" si="17">IFERROR(W40/U40,0)</f>
        <v>0</v>
      </c>
      <c r="W40" s="74">
        <f>E40+H40+K40+N40+Q40+T40</f>
        <v>0</v>
      </c>
      <c r="X40" s="41"/>
      <c r="Y40" s="40">
        <f>U16+U40</f>
        <v>0</v>
      </c>
      <c r="Z40" s="71">
        <f t="shared" ref="Z40:Z42" si="18">IFERROR(AA40/Y40,0)</f>
        <v>0</v>
      </c>
      <c r="AA40" s="74">
        <f>W16+W40</f>
        <v>0</v>
      </c>
      <c r="AC40" s="55"/>
      <c r="AD40" s="55"/>
      <c r="AE40" s="55"/>
    </row>
    <row r="41" spans="2:32" x14ac:dyDescent="0.2">
      <c r="B41" s="42" t="s">
        <v>104</v>
      </c>
      <c r="C41" s="37">
        <f>QUANTITÀ!H17</f>
        <v>2454.6382978723404</v>
      </c>
      <c r="D41" s="66">
        <f>PREZZI!H14</f>
        <v>500</v>
      </c>
      <c r="E41" s="69">
        <f>C41*D41</f>
        <v>1227319.1489361702</v>
      </c>
      <c r="F41" s="38">
        <f>QUANTITÀ!I17</f>
        <v>1338.8936170212767</v>
      </c>
      <c r="G41" s="66">
        <f>PREZZI!I14</f>
        <v>500</v>
      </c>
      <c r="H41" s="69">
        <f>F41*G41</f>
        <v>669446.80851063831</v>
      </c>
      <c r="I41" s="39">
        <f>QUANTITÀ!J17</f>
        <v>2454.6382978723404</v>
      </c>
      <c r="J41" s="66">
        <f>PREZZI!J14</f>
        <v>500</v>
      </c>
      <c r="K41" s="69">
        <f>I41*J41</f>
        <v>1227319.1489361702</v>
      </c>
      <c r="L41" s="39">
        <f>QUANTITÀ!K17</f>
        <v>2343.0638297872342</v>
      </c>
      <c r="M41" s="66">
        <f>PREZZI!K14</f>
        <v>500</v>
      </c>
      <c r="N41" s="69">
        <f>L41*M41</f>
        <v>1171531.9148936172</v>
      </c>
      <c r="O41" s="39">
        <f>QUANTITÀ!L17</f>
        <v>2343.0638297872342</v>
      </c>
      <c r="P41" s="66">
        <f>PREZZI!L14</f>
        <v>500</v>
      </c>
      <c r="Q41" s="69">
        <f>O41*P41</f>
        <v>1171531.9148936172</v>
      </c>
      <c r="R41" s="38">
        <f>QUANTITÀ!M17</f>
        <v>1338.8936170212767</v>
      </c>
      <c r="S41" s="66">
        <f>PREZZI!M14</f>
        <v>500</v>
      </c>
      <c r="T41" s="69">
        <f>R41*S41</f>
        <v>669446.80851063831</v>
      </c>
      <c r="U41" s="40">
        <f>C41+F41+I41+L41+O41+R41</f>
        <v>12273.191489361701</v>
      </c>
      <c r="V41" s="71">
        <f t="shared" si="17"/>
        <v>500.00000000000006</v>
      </c>
      <c r="W41" s="74">
        <f>E41+H41+K41+N41+Q41+T41</f>
        <v>6136595.7446808517</v>
      </c>
      <c r="X41" s="41"/>
      <c r="Y41" s="40">
        <f>U17+U41</f>
        <v>26220</v>
      </c>
      <c r="Z41" s="71">
        <f t="shared" si="18"/>
        <v>500</v>
      </c>
      <c r="AA41" s="74">
        <f>W17+W41</f>
        <v>13110000</v>
      </c>
      <c r="AC41" s="55"/>
      <c r="AD41" s="55"/>
      <c r="AE41" s="55"/>
    </row>
    <row r="42" spans="2:32" ht="17" thickBot="1" x14ac:dyDescent="0.25">
      <c r="B42" s="43" t="s">
        <v>93</v>
      </c>
      <c r="C42" s="44">
        <f>SUM(C39:C41)</f>
        <v>3919.3196574605354</v>
      </c>
      <c r="D42" s="67">
        <f>E42/C42</f>
        <v>499.99999999999994</v>
      </c>
      <c r="E42" s="70">
        <f>SUM(E39:E41)</f>
        <v>1959659.8287302675</v>
      </c>
      <c r="F42" s="45">
        <f>SUM(F39:F41)</f>
        <v>2137.8107222512012</v>
      </c>
      <c r="G42" s="67">
        <f>H42/F42</f>
        <v>499.99999999999994</v>
      </c>
      <c r="H42" s="70">
        <f>SUM(H39:H41)</f>
        <v>1068905.3611256005</v>
      </c>
      <c r="I42" s="46">
        <f>SUM(I39:I41)</f>
        <v>3919.3196574605354</v>
      </c>
      <c r="J42" s="67">
        <f>K42/I42</f>
        <v>499.99999999999994</v>
      </c>
      <c r="K42" s="70">
        <f>SUM(K39:K41)</f>
        <v>1959659.8287302675</v>
      </c>
      <c r="L42" s="46">
        <f>SUM(L39:L41)</f>
        <v>3741.1687639396023</v>
      </c>
      <c r="M42" s="67">
        <f>N42/L42</f>
        <v>500</v>
      </c>
      <c r="N42" s="70">
        <f>SUM(N39:N41)</f>
        <v>1870584.3819698012</v>
      </c>
      <c r="O42" s="46">
        <f>SUM(O39:O41)</f>
        <v>3741.1687639396023</v>
      </c>
      <c r="P42" s="67">
        <f>Q42/O42</f>
        <v>500</v>
      </c>
      <c r="Q42" s="70">
        <f>SUM(Q39:Q41)</f>
        <v>1870584.3819698012</v>
      </c>
      <c r="R42" s="45">
        <f>SUM(R39:R41)</f>
        <v>2137.8107222512012</v>
      </c>
      <c r="S42" s="67">
        <f>T42/R42</f>
        <v>499.99999999999994</v>
      </c>
      <c r="T42" s="70">
        <f>SUM(T39:T41)</f>
        <v>1068905.3611256005</v>
      </c>
      <c r="U42" s="44">
        <f>SUM(U39:U41)</f>
        <v>19596.598287302677</v>
      </c>
      <c r="V42" s="72">
        <f t="shared" si="17"/>
        <v>500.00000000000011</v>
      </c>
      <c r="W42" s="75">
        <f>SUM(W39:W41)</f>
        <v>9798299.1436513402</v>
      </c>
      <c r="X42" s="47"/>
      <c r="Y42" s="44">
        <f>SUM(Y39:Y41)</f>
        <v>41865.459977419356</v>
      </c>
      <c r="Z42" s="72">
        <f t="shared" si="18"/>
        <v>500.00000000000006</v>
      </c>
      <c r="AA42" s="75">
        <f>SUM(AA39:AA41)</f>
        <v>20932729.988709681</v>
      </c>
      <c r="AC42" s="55"/>
      <c r="AD42" s="55"/>
      <c r="AE42" s="55"/>
      <c r="AF42" s="49"/>
    </row>
    <row r="43" spans="2:32" x14ac:dyDescent="0.2">
      <c r="B43" s="19"/>
      <c r="C43" s="19"/>
      <c r="D43" s="66"/>
      <c r="E43" s="69"/>
      <c r="F43" s="30"/>
      <c r="G43" s="66"/>
      <c r="H43" s="69"/>
      <c r="I43" s="32"/>
      <c r="J43" s="66"/>
      <c r="K43" s="69"/>
      <c r="L43" s="32"/>
      <c r="M43" s="66"/>
      <c r="N43" s="69"/>
      <c r="O43" s="32"/>
      <c r="P43" s="66"/>
      <c r="Q43" s="69"/>
      <c r="R43" s="30"/>
      <c r="S43" s="66"/>
      <c r="T43" s="69"/>
      <c r="U43" s="33"/>
      <c r="V43" s="73"/>
      <c r="W43" s="74"/>
      <c r="Y43" s="33"/>
      <c r="Z43" s="73"/>
      <c r="AA43" s="74"/>
    </row>
    <row r="44" spans="2:32" x14ac:dyDescent="0.2">
      <c r="B44" s="29"/>
      <c r="C44" s="19"/>
      <c r="D44" s="66"/>
      <c r="E44" s="69"/>
      <c r="F44" s="30"/>
      <c r="G44" s="66"/>
      <c r="H44" s="69"/>
      <c r="I44" s="32"/>
      <c r="J44" s="66"/>
      <c r="K44" s="69"/>
      <c r="L44" s="32"/>
      <c r="M44" s="66"/>
      <c r="N44" s="69"/>
      <c r="O44" s="32"/>
      <c r="P44" s="66"/>
      <c r="Q44" s="69"/>
      <c r="R44" s="30"/>
      <c r="S44" s="66"/>
      <c r="T44" s="69"/>
      <c r="U44" s="33"/>
      <c r="V44" s="73"/>
      <c r="W44" s="74"/>
      <c r="Y44" s="33"/>
      <c r="Z44" s="73"/>
      <c r="AA44" s="74"/>
    </row>
    <row r="45" spans="2:32" x14ac:dyDescent="0.2">
      <c r="B45" s="19" t="s">
        <v>102</v>
      </c>
      <c r="C45" s="48">
        <f>C33+C39</f>
        <v>24519.850908661629</v>
      </c>
      <c r="D45" s="68">
        <f>E45/C45</f>
        <v>199.11504424778761</v>
      </c>
      <c r="E45" s="69">
        <f>E33+E39</f>
        <v>4882271.1986273155</v>
      </c>
      <c r="F45" s="48">
        <f>F33+F39</f>
        <v>13374.464131997251</v>
      </c>
      <c r="G45" s="68">
        <f>H45/F45</f>
        <v>199.11504424778761</v>
      </c>
      <c r="H45" s="69">
        <f>H33+H39</f>
        <v>2663057.0174330808</v>
      </c>
      <c r="I45" s="48">
        <f>I33+I39</f>
        <v>24519.850908661629</v>
      </c>
      <c r="J45" s="68">
        <f>K45/I45</f>
        <v>199.11504424778761</v>
      </c>
      <c r="K45" s="69">
        <f>K33+K39</f>
        <v>4882271.1986273155</v>
      </c>
      <c r="L45" s="48">
        <f>L33+L39</f>
        <v>23405.31223099519</v>
      </c>
      <c r="M45" s="68">
        <f>N45/L45</f>
        <v>199.11504424778764</v>
      </c>
      <c r="N45" s="69">
        <f>N33+N39</f>
        <v>4660349.7805078924</v>
      </c>
      <c r="O45" s="48">
        <f>O33+O39</f>
        <v>23405.31223099519</v>
      </c>
      <c r="P45" s="68">
        <f>Q45/O45</f>
        <v>199.11504424778764</v>
      </c>
      <c r="Q45" s="69">
        <f>Q33+Q39</f>
        <v>4660349.7805078924</v>
      </c>
      <c r="R45" s="48">
        <f>R33+R39</f>
        <v>13374.464131997251</v>
      </c>
      <c r="S45" s="68">
        <f>T45/R45</f>
        <v>199.11504424778761</v>
      </c>
      <c r="T45" s="69">
        <f>T33+T39</f>
        <v>2663057.0174330808</v>
      </c>
      <c r="U45" s="40">
        <f>C45+F45+I45+L45+O45+R45</f>
        <v>122599.25454330814</v>
      </c>
      <c r="V45" s="71">
        <f>IFERROR(W45/U45,0)</f>
        <v>199.11504424778761</v>
      </c>
      <c r="W45" s="74">
        <f>E45+H45+K45+N45+Q45+T45</f>
        <v>24411355.993136577</v>
      </c>
      <c r="Y45" s="40">
        <f>U21+U45</f>
        <v>261916.58925161284</v>
      </c>
      <c r="Z45" s="71">
        <f>IFERROR(AA45/Y45,0)</f>
        <v>199.11504424778764</v>
      </c>
      <c r="AA45" s="74">
        <f>W21+W45</f>
        <v>52151533.258064508</v>
      </c>
    </row>
    <row r="46" spans="2:32" x14ac:dyDescent="0.2">
      <c r="B46" s="19" t="s">
        <v>103</v>
      </c>
      <c r="C46" s="48">
        <f t="shared" ref="C46:C47" si="19">C34+C40</f>
        <v>40493.451725768318</v>
      </c>
      <c r="D46" s="68">
        <f>E46/C46</f>
        <v>180</v>
      </c>
      <c r="E46" s="69">
        <f t="shared" ref="E46:F47" si="20">E34+E40</f>
        <v>7288821.3106382973</v>
      </c>
      <c r="F46" s="48">
        <f t="shared" si="20"/>
        <v>22087.337304964538</v>
      </c>
      <c r="G46" s="68">
        <f>H46/F46</f>
        <v>180</v>
      </c>
      <c r="H46" s="69">
        <f t="shared" ref="H46:I47" si="21">H34+H40</f>
        <v>3975720.7148936167</v>
      </c>
      <c r="I46" s="48">
        <f t="shared" si="21"/>
        <v>40493.451725768318</v>
      </c>
      <c r="J46" s="68">
        <f>K46/I46</f>
        <v>180</v>
      </c>
      <c r="K46" s="69">
        <f t="shared" ref="K46:L47" si="22">K34+K40</f>
        <v>7288821.3106382973</v>
      </c>
      <c r="L46" s="48">
        <f t="shared" si="22"/>
        <v>38652.84028368794</v>
      </c>
      <c r="M46" s="68">
        <f>N46/L46</f>
        <v>180</v>
      </c>
      <c r="N46" s="69">
        <f t="shared" ref="N46:O47" si="23">N34+N40</f>
        <v>6957511.2510638293</v>
      </c>
      <c r="O46" s="48">
        <f t="shared" si="23"/>
        <v>38652.84028368794</v>
      </c>
      <c r="P46" s="68">
        <f>Q46/O46</f>
        <v>180</v>
      </c>
      <c r="Q46" s="69">
        <f t="shared" ref="Q46:R47" si="24">Q34+Q40</f>
        <v>6957511.2510638293</v>
      </c>
      <c r="R46" s="48">
        <f t="shared" si="24"/>
        <v>22087.337304964538</v>
      </c>
      <c r="S46" s="68">
        <f>T46/R46</f>
        <v>180</v>
      </c>
      <c r="T46" s="69">
        <f t="shared" ref="T46" si="25">T34+T40</f>
        <v>3975720.7148936167</v>
      </c>
      <c r="U46" s="40">
        <f>C46+F46+I46+L46+O46+R46</f>
        <v>202467.25862884161</v>
      </c>
      <c r="V46" s="71">
        <f t="shared" ref="V46:V48" si="26">IFERROR(W46/U46,0)</f>
        <v>180</v>
      </c>
      <c r="W46" s="74">
        <f>E46+H46+K46+N46+Q46+T46</f>
        <v>36444106.55319149</v>
      </c>
      <c r="Y46" s="40">
        <f>U22+U46</f>
        <v>432543.68888888886</v>
      </c>
      <c r="Z46" s="71">
        <f t="shared" ref="Z46:Z48" si="27">IFERROR(AA46/Y46,0)</f>
        <v>180</v>
      </c>
      <c r="AA46" s="74">
        <f>W22+W46</f>
        <v>77857864</v>
      </c>
    </row>
    <row r="47" spans="2:32" x14ac:dyDescent="0.2">
      <c r="B47" s="42" t="s">
        <v>104</v>
      </c>
      <c r="C47" s="48">
        <f t="shared" si="19"/>
        <v>2813.5035460992913</v>
      </c>
      <c r="D47" s="68">
        <f>E47/C47</f>
        <v>459.18367346938771</v>
      </c>
      <c r="E47" s="69">
        <f t="shared" ref="E47" si="28">E35+E41</f>
        <v>1291914.8936170214</v>
      </c>
      <c r="F47" s="48">
        <f t="shared" si="20"/>
        <v>1534.6382978723407</v>
      </c>
      <c r="G47" s="68">
        <f>H47/F47</f>
        <v>459.18367346938771</v>
      </c>
      <c r="H47" s="69">
        <f t="shared" ref="H47" si="29">H35+H41</f>
        <v>704680.85106382985</v>
      </c>
      <c r="I47" s="48">
        <f t="shared" si="21"/>
        <v>2813.5035460992913</v>
      </c>
      <c r="J47" s="68">
        <f>K47/I47</f>
        <v>459.18367346938771</v>
      </c>
      <c r="K47" s="69">
        <f t="shared" ref="K47" si="30">K35+K41</f>
        <v>1291914.8936170214</v>
      </c>
      <c r="L47" s="48">
        <f t="shared" si="22"/>
        <v>2685.6170212765965</v>
      </c>
      <c r="M47" s="68">
        <f>N47/L47</f>
        <v>459.18367346938766</v>
      </c>
      <c r="N47" s="69">
        <f t="shared" ref="N47" si="31">N35+N41</f>
        <v>1233191.4893617022</v>
      </c>
      <c r="O47" s="48">
        <f t="shared" si="23"/>
        <v>2685.6170212765965</v>
      </c>
      <c r="P47" s="68">
        <f>Q47/O47</f>
        <v>459.18367346938766</v>
      </c>
      <c r="Q47" s="69">
        <f t="shared" ref="Q47" si="32">Q35+Q41</f>
        <v>1233191.4893617022</v>
      </c>
      <c r="R47" s="48">
        <f t="shared" si="24"/>
        <v>1534.6382978723407</v>
      </c>
      <c r="S47" s="68">
        <f>T47/R47</f>
        <v>459.18367346938771</v>
      </c>
      <c r="T47" s="69">
        <f t="shared" ref="T47" si="33">T35+T41</f>
        <v>704680.85106382985</v>
      </c>
      <c r="U47" s="40">
        <f>C47+F47+I47+L47+O47+R47</f>
        <v>14067.517730496456</v>
      </c>
      <c r="V47" s="71">
        <f t="shared" si="26"/>
        <v>459.18367346938777</v>
      </c>
      <c r="W47" s="74">
        <f>E47+H47+K47+N47+Q47+T47</f>
        <v>6459574.4680851074</v>
      </c>
      <c r="Y47" s="40">
        <f>U23+U47</f>
        <v>30053.333333333339</v>
      </c>
      <c r="Z47" s="71">
        <f t="shared" si="27"/>
        <v>459.18367346938777</v>
      </c>
      <c r="AA47" s="74">
        <f>W23+W47</f>
        <v>13800000.000000004</v>
      </c>
    </row>
    <row r="48" spans="2:32" ht="17" thickBot="1" x14ac:dyDescent="0.25">
      <c r="B48" s="43" t="s">
        <v>3</v>
      </c>
      <c r="C48" s="44">
        <f>SUM(C45:C47)</f>
        <v>67826.806180529238</v>
      </c>
      <c r="D48" s="67">
        <f>E48/C48</f>
        <v>198.49095307612174</v>
      </c>
      <c r="E48" s="70">
        <f>SUM(E45:E47)</f>
        <v>13463007.402882634</v>
      </c>
      <c r="F48" s="44">
        <f>SUM(F45:F47)</f>
        <v>36996.43973483413</v>
      </c>
      <c r="G48" s="67">
        <f>H48/F48</f>
        <v>198.49095307612174</v>
      </c>
      <c r="H48" s="70">
        <f>SUM(H45:H47)</f>
        <v>7343458.5833905274</v>
      </c>
      <c r="I48" s="44">
        <f>SUM(I45:I47)</f>
        <v>67826.806180529238</v>
      </c>
      <c r="J48" s="67">
        <f>K48/I48</f>
        <v>198.49095307612174</v>
      </c>
      <c r="K48" s="70">
        <f>SUM(K45:K47)</f>
        <v>13463007.402882634</v>
      </c>
      <c r="L48" s="44">
        <f>SUM(L45:L47)</f>
        <v>64743.76953595972</v>
      </c>
      <c r="M48" s="67">
        <f>N48/L48</f>
        <v>198.49095307612177</v>
      </c>
      <c r="N48" s="70">
        <f>SUM(N45:N47)</f>
        <v>12851052.520933423</v>
      </c>
      <c r="O48" s="44">
        <f>SUM(O45:O47)</f>
        <v>64743.76953595972</v>
      </c>
      <c r="P48" s="67">
        <f>Q48/O48</f>
        <v>198.49095307612177</v>
      </c>
      <c r="Q48" s="70">
        <f>SUM(Q45:Q47)</f>
        <v>12851052.520933423</v>
      </c>
      <c r="R48" s="44">
        <f>SUM(R45:R47)</f>
        <v>36996.43973483413</v>
      </c>
      <c r="S48" s="67">
        <f>T48/R48</f>
        <v>198.49095307612174</v>
      </c>
      <c r="T48" s="70">
        <f>SUM(T45:T47)</f>
        <v>7343458.5833905274</v>
      </c>
      <c r="U48" s="44">
        <f>SUM(U45:U47)</f>
        <v>339134.03090264625</v>
      </c>
      <c r="V48" s="72">
        <f t="shared" si="26"/>
        <v>198.49095307612174</v>
      </c>
      <c r="W48" s="75">
        <f>SUM(W45:W47)</f>
        <v>67315037.014413178</v>
      </c>
      <c r="Y48" s="44">
        <f>SUM(Y45:Y47)</f>
        <v>724513.61147383507</v>
      </c>
      <c r="Z48" s="72">
        <f t="shared" si="27"/>
        <v>198.49095307612177</v>
      </c>
      <c r="AA48" s="75">
        <f>SUM(AA45:AA47)</f>
        <v>143809397.25806451</v>
      </c>
    </row>
    <row r="50" spans="27:27" x14ac:dyDescent="0.2">
      <c r="AA50" s="94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FA41-E6C2-1042-9D03-A7216CD1DBB7}">
  <dimension ref="B2:P42"/>
  <sheetViews>
    <sheetView showGridLines="0" topLeftCell="A6" zoomScale="233" zoomScaleNormal="160" workbookViewId="0">
      <selection activeCell="C17" sqref="C17"/>
    </sheetView>
  </sheetViews>
  <sheetFormatPr baseColWidth="10" defaultRowHeight="16" x14ac:dyDescent="0.15"/>
  <cols>
    <col min="1" max="1" width="10.83203125" style="84"/>
    <col min="2" max="2" width="27.83203125" style="84" customWidth="1"/>
    <col min="3" max="3" width="13.1640625" style="84" bestFit="1" customWidth="1"/>
    <col min="4" max="4" width="7.1640625" style="685" customWidth="1"/>
    <col min="5" max="5" width="12.1640625" style="84" bestFit="1" customWidth="1"/>
    <col min="6" max="6" width="7.1640625" style="685" bestFit="1" customWidth="1"/>
    <col min="7" max="7" width="13.1640625" style="84" bestFit="1" customWidth="1"/>
    <col min="8" max="8" width="6.6640625" style="685" customWidth="1"/>
    <col min="9" max="9" width="7.1640625" style="84" customWidth="1"/>
    <col min="10" max="10" width="24" style="84" customWidth="1"/>
    <col min="11" max="11" width="13.1640625" style="84" bestFit="1" customWidth="1"/>
    <col min="12" max="12" width="10.83203125" style="84"/>
    <col min="13" max="13" width="12.1640625" style="84" bestFit="1" customWidth="1"/>
    <col min="14" max="14" width="10.83203125" style="84"/>
    <col min="15" max="15" width="12.6640625" style="84" customWidth="1"/>
    <col min="16" max="16384" width="10.83203125" style="84"/>
  </cols>
  <sheetData>
    <row r="2" spans="2:16" x14ac:dyDescent="0.15">
      <c r="B2" s="84" t="s">
        <v>999</v>
      </c>
    </row>
    <row r="4" spans="2:16" x14ac:dyDescent="0.15">
      <c r="B4" s="699" t="s">
        <v>963</v>
      </c>
      <c r="J4" s="699" t="s">
        <v>964</v>
      </c>
    </row>
    <row r="6" spans="2:16" x14ac:dyDescent="0.15">
      <c r="C6" s="829" t="s">
        <v>99</v>
      </c>
      <c r="D6" s="830"/>
      <c r="E6" s="830"/>
      <c r="F6" s="830"/>
      <c r="G6" s="830"/>
      <c r="H6" s="831"/>
      <c r="K6" s="829" t="s">
        <v>99</v>
      </c>
      <c r="L6" s="830"/>
      <c r="M6" s="830"/>
      <c r="N6" s="830"/>
      <c r="O6" s="830"/>
      <c r="P6" s="831"/>
    </row>
    <row r="7" spans="2:16" x14ac:dyDescent="0.15">
      <c r="C7" s="686" t="s">
        <v>92</v>
      </c>
      <c r="D7" s="687" t="s">
        <v>903</v>
      </c>
      <c r="E7" s="686" t="s">
        <v>93</v>
      </c>
      <c r="F7" s="687" t="s">
        <v>903</v>
      </c>
      <c r="G7" s="686" t="s">
        <v>3</v>
      </c>
      <c r="H7" s="687" t="s">
        <v>903</v>
      </c>
      <c r="K7" s="686" t="s">
        <v>92</v>
      </c>
      <c r="L7" s="687" t="s">
        <v>903</v>
      </c>
      <c r="M7" s="686" t="s">
        <v>93</v>
      </c>
      <c r="N7" s="687" t="s">
        <v>903</v>
      </c>
      <c r="O7" s="686" t="s">
        <v>3</v>
      </c>
      <c r="P7" s="687" t="s">
        <v>903</v>
      </c>
    </row>
    <row r="8" spans="2:16" x14ac:dyDescent="0.15">
      <c r="B8" s="688" t="s">
        <v>37</v>
      </c>
      <c r="C8" s="689">
        <f>'Tab 2'!$N$14</f>
        <v>122876667.26935484</v>
      </c>
      <c r="D8" s="690">
        <f>C8/C$8</f>
        <v>1</v>
      </c>
      <c r="E8" s="689">
        <f>+'Tab 2'!$N$15</f>
        <v>20932729.988709681</v>
      </c>
      <c r="F8" s="690">
        <f>E8/E$8</f>
        <v>1</v>
      </c>
      <c r="G8" s="689">
        <f>+C8+E8</f>
        <v>143809397.25806451</v>
      </c>
      <c r="H8" s="690">
        <f>G8/G$8</f>
        <v>1</v>
      </c>
      <c r="J8" s="688" t="s">
        <v>37</v>
      </c>
      <c r="K8" s="689">
        <f>+C8</f>
        <v>122876667.26935484</v>
      </c>
      <c r="L8" s="690">
        <f>K8/K$11</f>
        <v>1.0178532294120228</v>
      </c>
      <c r="M8" s="689">
        <f>+E8</f>
        <v>20932729.988709681</v>
      </c>
      <c r="N8" s="690">
        <f>M8/M$11</f>
        <v>0.99726318476841525</v>
      </c>
      <c r="O8" s="689">
        <f>+K8+M8</f>
        <v>143809397.25806451</v>
      </c>
      <c r="P8" s="690">
        <f>O8/O$11</f>
        <v>1.0148034527052527</v>
      </c>
    </row>
    <row r="9" spans="2:16" x14ac:dyDescent="0.15">
      <c r="B9" s="691" t="s">
        <v>943</v>
      </c>
      <c r="C9" s="716">
        <f>0.2%*C8</f>
        <v>245753.33453870966</v>
      </c>
      <c r="D9" s="690">
        <f t="shared" ref="D9:D19" si="0">C9/C$8</f>
        <v>2E-3</v>
      </c>
      <c r="E9" s="716">
        <f>0.2%*E8</f>
        <v>41865.459977419363</v>
      </c>
      <c r="F9" s="690">
        <f t="shared" ref="F9:F19" si="1">E9/E$8</f>
        <v>2E-3</v>
      </c>
      <c r="G9" s="689">
        <f>+C9+E9</f>
        <v>287618.79451612901</v>
      </c>
      <c r="H9" s="690">
        <f>G9/G$8</f>
        <v>2E-3</v>
      </c>
      <c r="J9" s="691" t="s">
        <v>943</v>
      </c>
      <c r="K9" s="716">
        <f>0.2%*K8</f>
        <v>245753.33453870966</v>
      </c>
      <c r="L9" s="690">
        <f>K9/K$11</f>
        <v>2.0357064588240456E-3</v>
      </c>
      <c r="M9" s="716">
        <f>0.2%*M8</f>
        <v>41865.459977419363</v>
      </c>
      <c r="N9" s="690">
        <f>M9/M$11</f>
        <v>1.9945263695368303E-3</v>
      </c>
      <c r="O9" s="689">
        <f>+K9+M9</f>
        <v>287618.79451612901</v>
      </c>
      <c r="P9" s="690">
        <f>O9/O$11</f>
        <v>2.0296069054105055E-3</v>
      </c>
    </row>
    <row r="10" spans="2:16" x14ac:dyDescent="0.15">
      <c r="B10" s="691"/>
      <c r="C10" s="103"/>
      <c r="D10" s="690"/>
      <c r="E10" s="103"/>
      <c r="F10" s="690"/>
      <c r="G10" s="103"/>
      <c r="H10" s="690"/>
      <c r="J10" s="691" t="s">
        <v>965</v>
      </c>
      <c r="K10" s="689">
        <f>'Tab. 23'!N56-'Tab. 23'!C53</f>
        <v>-1909513.5219724644</v>
      </c>
      <c r="L10" s="690">
        <f>K10/K$11</f>
        <v>-1.5817522953198857E-2</v>
      </c>
      <c r="M10" s="689">
        <f>'Tab. 23'!N62-'Tab. 23'!C59</f>
        <v>99311.693977376446</v>
      </c>
      <c r="N10" s="690">
        <f>M10/M$11</f>
        <v>4.7313416011214512E-3</v>
      </c>
      <c r="O10" s="689">
        <f>+K10+M10</f>
        <v>-1810201.827995088</v>
      </c>
      <c r="P10" s="690">
        <f>O10/O$11</f>
        <v>-1.2773845799842266E-2</v>
      </c>
    </row>
    <row r="11" spans="2:16" x14ac:dyDescent="0.15">
      <c r="B11" s="692" t="s">
        <v>945</v>
      </c>
      <c r="C11" s="693">
        <f>+C8-C9</f>
        <v>122630913.93481612</v>
      </c>
      <c r="D11" s="694">
        <f t="shared" si="0"/>
        <v>0.998</v>
      </c>
      <c r="E11" s="693">
        <f>+E8-E9</f>
        <v>20890864.528732263</v>
      </c>
      <c r="F11" s="694">
        <f t="shared" si="1"/>
        <v>0.99800000000000011</v>
      </c>
      <c r="G11" s="693">
        <f>+G8-G9</f>
        <v>143521778.46354839</v>
      </c>
      <c r="H11" s="694">
        <f>G11/G$8</f>
        <v>0.99800000000000011</v>
      </c>
      <c r="J11" s="692" t="s">
        <v>971</v>
      </c>
      <c r="K11" s="693">
        <f>+K8-K9+K10</f>
        <v>120721400.41284366</v>
      </c>
      <c r="L11" s="694">
        <f>K11/K$11</f>
        <v>1</v>
      </c>
      <c r="M11" s="693">
        <f>+M8-M9+M10</f>
        <v>20990176.222709641</v>
      </c>
      <c r="N11" s="694">
        <f>M11/M$11</f>
        <v>1</v>
      </c>
      <c r="O11" s="693">
        <f>+O8-O9+O10</f>
        <v>141711576.6355533</v>
      </c>
      <c r="P11" s="694">
        <f>O11/O$11</f>
        <v>1</v>
      </c>
    </row>
    <row r="12" spans="2:16" x14ac:dyDescent="0.15">
      <c r="B12" s="103"/>
      <c r="C12" s="103"/>
      <c r="D12" s="690"/>
      <c r="E12" s="103"/>
      <c r="F12" s="690"/>
      <c r="G12" s="103"/>
      <c r="H12" s="690"/>
      <c r="J12" s="103"/>
      <c r="K12" s="103"/>
      <c r="L12" s="690"/>
      <c r="M12" s="103"/>
      <c r="N12" s="690"/>
      <c r="O12" s="103"/>
      <c r="P12" s="690"/>
    </row>
    <row r="13" spans="2:16" x14ac:dyDescent="0.15">
      <c r="B13" s="103" t="s">
        <v>938</v>
      </c>
      <c r="C13" s="689">
        <f>'Tab. 17'!$C$11*'Tab 2'!$L$14</f>
        <v>78686674.246211901</v>
      </c>
      <c r="D13" s="690">
        <f t="shared" si="0"/>
        <v>0.64037116236009906</v>
      </c>
      <c r="E13" s="689">
        <f>'Tab. 17'!$C$17*'Tab 2'!$L$15</f>
        <v>8435049.1276775971</v>
      </c>
      <c r="F13" s="690">
        <f t="shared" si="1"/>
        <v>0.4029598209228869</v>
      </c>
      <c r="G13" s="689">
        <f>+C13+E13</f>
        <v>87121723.373889506</v>
      </c>
      <c r="H13" s="690">
        <f>G13/G$8</f>
        <v>0.60581384134133076</v>
      </c>
      <c r="J13" s="103" t="s">
        <v>972</v>
      </c>
      <c r="K13" s="689">
        <f>'Tab. 23'!O55</f>
        <v>76777160.724239424</v>
      </c>
      <c r="L13" s="690">
        <f>K13/K$11</f>
        <v>0.63598633267735882</v>
      </c>
      <c r="M13" s="689">
        <f>'Tab. 23'!O61</f>
        <v>8534360.8216549773</v>
      </c>
      <c r="N13" s="690">
        <f>M13/M$11</f>
        <v>0.40658833594839011</v>
      </c>
      <c r="O13" s="689">
        <f>+K13+M13</f>
        <v>85311521.545894399</v>
      </c>
      <c r="P13" s="690">
        <f>O13/O$11</f>
        <v>0.60200813208997228</v>
      </c>
    </row>
    <row r="14" spans="2:16" x14ac:dyDescent="0.15">
      <c r="B14" s="103"/>
      <c r="C14" s="103"/>
      <c r="D14" s="690"/>
      <c r="E14" s="103"/>
      <c r="F14" s="690"/>
      <c r="G14" s="103"/>
      <c r="H14" s="690"/>
      <c r="J14" s="103"/>
      <c r="K14" s="103"/>
      <c r="L14" s="690"/>
      <c r="M14" s="103"/>
      <c r="N14" s="690"/>
      <c r="O14" s="103"/>
      <c r="P14" s="690"/>
    </row>
    <row r="15" spans="2:16" x14ac:dyDescent="0.15">
      <c r="B15" s="692" t="s">
        <v>939</v>
      </c>
      <c r="C15" s="693">
        <f>+C11-C13</f>
        <v>43944239.688604221</v>
      </c>
      <c r="D15" s="694">
        <f t="shared" si="0"/>
        <v>0.35762883763990089</v>
      </c>
      <c r="E15" s="693">
        <f>+E11-E13</f>
        <v>12455815.401054665</v>
      </c>
      <c r="F15" s="694">
        <f t="shared" si="1"/>
        <v>0.59504017907711315</v>
      </c>
      <c r="G15" s="693">
        <f>+G11-G13</f>
        <v>56400055.089658886</v>
      </c>
      <c r="H15" s="694">
        <f>G15/G$8</f>
        <v>0.39218615865866929</v>
      </c>
      <c r="J15" s="692" t="s">
        <v>939</v>
      </c>
      <c r="K15" s="693">
        <f>+K11-K13</f>
        <v>43944239.688604236</v>
      </c>
      <c r="L15" s="694">
        <f>K15/K$11</f>
        <v>0.36401366732264123</v>
      </c>
      <c r="M15" s="693">
        <f>+M11-M13</f>
        <v>12455815.401054664</v>
      </c>
      <c r="N15" s="694">
        <f>M15/M$11</f>
        <v>0.59341166405160994</v>
      </c>
      <c r="O15" s="693">
        <f>+O11-O13</f>
        <v>56400055.089658901</v>
      </c>
      <c r="P15" s="694">
        <f>O15/O$11</f>
        <v>0.39799186791002772</v>
      </c>
    </row>
    <row r="16" spans="2:16" x14ac:dyDescent="0.15">
      <c r="B16" s="103"/>
      <c r="C16" s="103"/>
      <c r="D16" s="690"/>
      <c r="E16" s="103"/>
      <c r="F16" s="690"/>
      <c r="G16" s="103"/>
      <c r="H16" s="690"/>
      <c r="J16" s="103"/>
      <c r="K16" s="103"/>
      <c r="L16" s="690"/>
      <c r="M16" s="103"/>
      <c r="N16" s="690"/>
      <c r="O16" s="103"/>
      <c r="P16" s="690"/>
    </row>
    <row r="17" spans="2:16" x14ac:dyDescent="0.15">
      <c r="B17" s="103" t="s">
        <v>984</v>
      </c>
      <c r="C17" s="689">
        <f>'Tab. 16'!C44+'Tab. 17'!C48</f>
        <v>177820.94550704834</v>
      </c>
      <c r="D17" s="690">
        <f t="shared" si="0"/>
        <v>1.4471498084925394E-3</v>
      </c>
      <c r="E17" s="689">
        <f>+'Tab. 16'!D44+'Tab. 17'!D48</f>
        <v>337134.37197641429</v>
      </c>
      <c r="F17" s="690">
        <f t="shared" si="1"/>
        <v>1.6105609357128847E-2</v>
      </c>
      <c r="G17" s="689">
        <f>+C17+E17</f>
        <v>514955.31748346263</v>
      </c>
      <c r="H17" s="690">
        <f>G17/G$8</f>
        <v>3.580818272670878E-3</v>
      </c>
      <c r="J17" s="103" t="s">
        <v>984</v>
      </c>
      <c r="K17" s="689">
        <f>+C17</f>
        <v>177820.94550704834</v>
      </c>
      <c r="L17" s="690">
        <f>K17/K$11</f>
        <v>1.4729861060171219E-3</v>
      </c>
      <c r="M17" s="689">
        <f>+E17</f>
        <v>337134.37197641429</v>
      </c>
      <c r="N17" s="690">
        <f>M17/M$11</f>
        <v>1.6061531280126305E-2</v>
      </c>
      <c r="O17" s="689">
        <f>+K17+M17</f>
        <v>514955.31748346263</v>
      </c>
      <c r="P17" s="690">
        <f>O17/O$11</f>
        <v>3.6338267466164659E-3</v>
      </c>
    </row>
    <row r="18" spans="2:16" hidden="1" x14ac:dyDescent="0.15">
      <c r="B18" s="103"/>
      <c r="C18" s="103"/>
      <c r="D18" s="690"/>
      <c r="E18" s="103"/>
      <c r="F18" s="690"/>
      <c r="G18" s="103"/>
      <c r="H18" s="690"/>
      <c r="J18" s="103"/>
      <c r="K18" s="103"/>
      <c r="L18" s="690"/>
      <c r="M18" s="103"/>
      <c r="N18" s="690"/>
      <c r="O18" s="103"/>
      <c r="P18" s="690"/>
    </row>
    <row r="19" spans="2:16" hidden="1" x14ac:dyDescent="0.15">
      <c r="B19" s="692" t="s">
        <v>946</v>
      </c>
      <c r="C19" s="693">
        <f>C15-C17</f>
        <v>43766418.743097171</v>
      </c>
      <c r="D19" s="694">
        <f t="shared" si="0"/>
        <v>0.3561816878314083</v>
      </c>
      <c r="E19" s="693">
        <f>E15-E17</f>
        <v>12118681.029078251</v>
      </c>
      <c r="F19" s="694">
        <f t="shared" si="1"/>
        <v>0.57893456971998425</v>
      </c>
      <c r="G19" s="693">
        <f>G15-G17</f>
        <v>55885099.772175424</v>
      </c>
      <c r="H19" s="694">
        <f>G19/G$8</f>
        <v>0.38860534038599842</v>
      </c>
      <c r="J19" s="692" t="s">
        <v>946</v>
      </c>
      <c r="K19" s="693">
        <f>K15-K17</f>
        <v>43766418.743097186</v>
      </c>
      <c r="L19" s="694">
        <f>K19/K$11</f>
        <v>0.36254068121662408</v>
      </c>
      <c r="M19" s="693">
        <f>M15-M17</f>
        <v>12118681.029078249</v>
      </c>
      <c r="N19" s="694">
        <f>M19/M$11</f>
        <v>0.57735013277148362</v>
      </c>
      <c r="O19" s="693">
        <f>O15-O17</f>
        <v>55885099.772175439</v>
      </c>
      <c r="P19" s="694">
        <f>O19/O$11</f>
        <v>0.39435804116341128</v>
      </c>
    </row>
    <row r="20" spans="2:16" hidden="1" x14ac:dyDescent="0.15">
      <c r="B20" s="695"/>
      <c r="C20" s="696"/>
      <c r="D20" s="697"/>
      <c r="E20" s="696"/>
      <c r="F20" s="697"/>
      <c r="G20" s="696"/>
      <c r="H20" s="697"/>
      <c r="J20" s="695"/>
      <c r="K20" s="696"/>
      <c r="L20" s="697"/>
      <c r="M20" s="696"/>
      <c r="N20" s="697"/>
      <c r="O20" s="696"/>
      <c r="P20" s="697"/>
    </row>
    <row r="21" spans="2:16" hidden="1" x14ac:dyDescent="0.15">
      <c r="B21" s="103" t="s">
        <v>947</v>
      </c>
      <c r="C21" s="698"/>
      <c r="D21" s="690"/>
      <c r="E21" s="698"/>
      <c r="F21" s="690"/>
      <c r="G21" s="689"/>
      <c r="H21" s="690"/>
      <c r="J21" s="103" t="s">
        <v>947</v>
      </c>
      <c r="K21" s="698"/>
      <c r="L21" s="690"/>
      <c r="M21" s="698"/>
      <c r="N21" s="690"/>
      <c r="O21" s="689"/>
      <c r="P21" s="690"/>
    </row>
    <row r="22" spans="2:16" x14ac:dyDescent="0.15">
      <c r="B22" s="695"/>
      <c r="C22" s="696"/>
      <c r="D22" s="697"/>
      <c r="E22" s="696"/>
      <c r="F22" s="697"/>
      <c r="G22" s="696"/>
      <c r="H22" s="697"/>
      <c r="J22" s="695"/>
      <c r="K22" s="696"/>
      <c r="L22" s="697"/>
      <c r="M22" s="696"/>
      <c r="N22" s="697"/>
      <c r="O22" s="696"/>
      <c r="P22" s="697"/>
    </row>
    <row r="23" spans="2:16" x14ac:dyDescent="0.15">
      <c r="B23" s="692" t="s">
        <v>949</v>
      </c>
      <c r="C23" s="693">
        <f>C19-C21</f>
        <v>43766418.743097171</v>
      </c>
      <c r="D23" s="694">
        <f>C23/C$11</f>
        <v>0.35689547878898631</v>
      </c>
      <c r="E23" s="693">
        <f>E19-E21</f>
        <v>12118681.029078251</v>
      </c>
      <c r="F23" s="694">
        <f>E23/E$11</f>
        <v>0.58009475923846121</v>
      </c>
      <c r="G23" s="693">
        <f>G19-G21</f>
        <v>55885099.772175424</v>
      </c>
      <c r="H23" s="694">
        <f>G23/G$8</f>
        <v>0.38860534038599842</v>
      </c>
      <c r="J23" s="692" t="s">
        <v>949</v>
      </c>
      <c r="K23" s="693">
        <f>K19-K21</f>
        <v>43766418.743097186</v>
      </c>
      <c r="L23" s="694">
        <f>K23/K$11</f>
        <v>0.36254068121662408</v>
      </c>
      <c r="M23" s="693">
        <f>M19-M21</f>
        <v>12118681.029078249</v>
      </c>
      <c r="N23" s="694">
        <f>M23/M$11</f>
        <v>0.57735013277148362</v>
      </c>
      <c r="O23" s="693">
        <f>O19-O21</f>
        <v>55885099.772175439</v>
      </c>
      <c r="P23" s="694">
        <f>O23/O$11</f>
        <v>0.39435804116341128</v>
      </c>
    </row>
    <row r="24" spans="2:16" x14ac:dyDescent="0.15">
      <c r="B24" s="103"/>
      <c r="C24" s="103"/>
      <c r="D24" s="690"/>
      <c r="E24" s="103"/>
      <c r="F24" s="690"/>
      <c r="G24" s="103"/>
      <c r="H24" s="690"/>
      <c r="J24" s="103"/>
      <c r="K24" s="103"/>
      <c r="L24" s="690"/>
      <c r="M24" s="103"/>
      <c r="N24" s="690"/>
      <c r="O24" s="103"/>
      <c r="P24" s="690"/>
    </row>
    <row r="25" spans="2:16" x14ac:dyDescent="0.15">
      <c r="B25" s="103" t="s">
        <v>942</v>
      </c>
      <c r="C25" s="698"/>
      <c r="D25" s="690"/>
      <c r="E25" s="698"/>
      <c r="F25" s="690"/>
      <c r="G25" s="689">
        <f>+'Tab. 22'!O18</f>
        <v>49618474.495213576</v>
      </c>
      <c r="H25" s="690">
        <f>G25/G$8</f>
        <v>0.34502943090828569</v>
      </c>
      <c r="J25" s="103" t="s">
        <v>942</v>
      </c>
      <c r="K25" s="698"/>
      <c r="L25" s="690"/>
      <c r="M25" s="698"/>
      <c r="N25" s="690"/>
      <c r="O25" s="689">
        <f>+G25</f>
        <v>49618474.495213576</v>
      </c>
      <c r="P25" s="690">
        <f t="shared" ref="P25:P26" si="2">O25/O$11</f>
        <v>0.35013705777065673</v>
      </c>
    </row>
    <row r="26" spans="2:16" x14ac:dyDescent="0.15">
      <c r="B26" s="103" t="s">
        <v>957</v>
      </c>
      <c r="C26" s="698"/>
      <c r="D26" s="690"/>
      <c r="E26" s="698"/>
      <c r="F26" s="690"/>
      <c r="G26" s="689">
        <f>+'Tab. 22'!O38</f>
        <v>3542407.4296149323</v>
      </c>
      <c r="H26" s="690">
        <f>G26/G$8</f>
        <v>2.4632656120921765E-2</v>
      </c>
      <c r="J26" s="103" t="s">
        <v>957</v>
      </c>
      <c r="K26" s="698"/>
      <c r="L26" s="690"/>
      <c r="M26" s="698"/>
      <c r="N26" s="690"/>
      <c r="O26" s="689">
        <f>+G26</f>
        <v>3542407.4296149323</v>
      </c>
      <c r="P26" s="690">
        <f t="shared" si="2"/>
        <v>2.4997304480812582E-2</v>
      </c>
    </row>
    <row r="27" spans="2:16" x14ac:dyDescent="0.15">
      <c r="B27" s="103"/>
      <c r="C27" s="103"/>
      <c r="D27" s="690"/>
      <c r="E27" s="103"/>
      <c r="F27" s="690"/>
      <c r="G27" s="103"/>
      <c r="H27" s="690"/>
      <c r="J27" s="103"/>
      <c r="K27" s="103"/>
      <c r="L27" s="690"/>
      <c r="M27" s="103"/>
      <c r="N27" s="690"/>
      <c r="O27" s="103"/>
      <c r="P27" s="690"/>
    </row>
    <row r="28" spans="2:16" x14ac:dyDescent="0.15">
      <c r="B28" s="692" t="s">
        <v>40</v>
      </c>
      <c r="C28" s="693"/>
      <c r="D28" s="694"/>
      <c r="E28" s="693"/>
      <c r="F28" s="694"/>
      <c r="G28" s="693">
        <f>+G23-G25-G26</f>
        <v>2724217.8473469159</v>
      </c>
      <c r="H28" s="694">
        <f>G28/G$8</f>
        <v>1.8943253356790965E-2</v>
      </c>
      <c r="J28" s="692" t="s">
        <v>40</v>
      </c>
      <c r="K28" s="693"/>
      <c r="L28" s="694"/>
      <c r="M28" s="693"/>
      <c r="N28" s="694"/>
      <c r="O28" s="693">
        <f>+O23-O25-O26</f>
        <v>2724217.8473469308</v>
      </c>
      <c r="P28" s="694">
        <f>O28/O$11</f>
        <v>1.9223678911941943E-2</v>
      </c>
    </row>
    <row r="30" spans="2:16" x14ac:dyDescent="0.15">
      <c r="O30" s="84" t="s">
        <v>42</v>
      </c>
    </row>
    <row r="31" spans="2:16" x14ac:dyDescent="0.15">
      <c r="O31" s="649">
        <f>+O28-G28</f>
        <v>1.4901161193847656E-8</v>
      </c>
    </row>
    <row r="32" spans="2:16" x14ac:dyDescent="0.15">
      <c r="B32" s="84" t="s">
        <v>976</v>
      </c>
      <c r="C32" s="705">
        <f>'Tab 5'!O15</f>
        <v>666082.12060847704</v>
      </c>
      <c r="D32" s="706"/>
      <c r="E32" s="705">
        <f>'Tab 5'!O28</f>
        <v>42358.371125483332</v>
      </c>
    </row>
    <row r="34" spans="2:5" x14ac:dyDescent="0.15">
      <c r="B34" s="84" t="s">
        <v>975</v>
      </c>
      <c r="C34" s="708">
        <f>C32*'Tab. 16'!$C$8</f>
        <v>72436197.487429664</v>
      </c>
      <c r="D34" s="709"/>
      <c r="E34" s="708">
        <f>E32*'Tab. 16'!$C$12</f>
        <v>8005732.14271635</v>
      </c>
    </row>
    <row r="35" spans="2:5" x14ac:dyDescent="0.15">
      <c r="B35" s="84" t="s">
        <v>734</v>
      </c>
      <c r="C35" s="708">
        <f>C32*'Tab. 14'!$C$9</f>
        <v>270851.14624486404</v>
      </c>
      <c r="D35" s="709"/>
      <c r="E35" s="708">
        <f>E32*'Tab. 14'!$C$13</f>
        <v>29148.853755135962</v>
      </c>
    </row>
    <row r="36" spans="2:5" x14ac:dyDescent="0.15">
      <c r="B36" s="84" t="s">
        <v>979</v>
      </c>
      <c r="C36" s="708">
        <f>C32*'Tab. 16'!$C$9</f>
        <v>3183774.7264355407</v>
      </c>
      <c r="D36" s="709"/>
      <c r="E36" s="708">
        <f>E32*'Tab. 16'!$C$13</f>
        <v>374720.19711593859</v>
      </c>
    </row>
    <row r="37" spans="2:5" x14ac:dyDescent="0.15">
      <c r="B37" s="84" t="s">
        <v>982</v>
      </c>
      <c r="C37" s="708">
        <f>C32*'Tab. 17'!$C$10</f>
        <v>886337.36412935343</v>
      </c>
      <c r="D37" s="709"/>
      <c r="E37" s="708">
        <f>E32*'Tab. 17'!$C$16</f>
        <v>124759.62806755063</v>
      </c>
    </row>
    <row r="38" spans="2:5" x14ac:dyDescent="0.15">
      <c r="B38" s="129" t="s">
        <v>977</v>
      </c>
      <c r="C38" s="710">
        <f>SUM(C34:C37)</f>
        <v>76777160.724239424</v>
      </c>
      <c r="D38" s="711"/>
      <c r="E38" s="710">
        <f>SUM(E34:E37)</f>
        <v>8534360.8216549754</v>
      </c>
    </row>
    <row r="39" spans="2:5" x14ac:dyDescent="0.15">
      <c r="B39" s="707" t="s">
        <v>978</v>
      </c>
      <c r="C39" s="708">
        <f>-('Tab. 23'!N56-'Tab. 23'!C53)</f>
        <v>1909513.5219724644</v>
      </c>
      <c r="D39" s="709"/>
      <c r="E39" s="708">
        <f>-('Tab. 23'!N62-'Tab. 23'!C59)</f>
        <v>-99311.693977376446</v>
      </c>
    </row>
    <row r="40" spans="2:5" x14ac:dyDescent="0.15">
      <c r="B40" s="129" t="s">
        <v>938</v>
      </c>
      <c r="C40" s="712">
        <f>C38+C39</f>
        <v>78686674.246211886</v>
      </c>
      <c r="D40" s="713"/>
      <c r="E40" s="712">
        <f>E38+E39</f>
        <v>8435049.127677599</v>
      </c>
    </row>
    <row r="42" spans="2:5" x14ac:dyDescent="0.15">
      <c r="B42" s="84" t="s">
        <v>42</v>
      </c>
      <c r="C42" s="649">
        <f>C40-C13</f>
        <v>0</v>
      </c>
      <c r="E42" s="649">
        <f>E40-E13</f>
        <v>0</v>
      </c>
    </row>
  </sheetData>
  <mergeCells count="2">
    <mergeCell ref="C6:H6"/>
    <mergeCell ref="K6:P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774F-BAD5-1C4E-A71D-F5C948BA47EC}">
  <sheetPr>
    <tabColor theme="4"/>
  </sheetPr>
  <dimension ref="B2:Q36"/>
  <sheetViews>
    <sheetView showGridLines="0" zoomScale="150" zoomScaleNormal="160" workbookViewId="0">
      <selection activeCell="C29" sqref="C29"/>
    </sheetView>
  </sheetViews>
  <sheetFormatPr baseColWidth="10" defaultRowHeight="16" outlineLevelRow="1" x14ac:dyDescent="0.15"/>
  <cols>
    <col min="1" max="1" width="2.5" style="84" customWidth="1"/>
    <col min="2" max="2" width="27.83203125" style="84" customWidth="1"/>
    <col min="3" max="3" width="12.1640625" style="84" customWidth="1"/>
    <col min="4" max="4" width="12.1640625" style="685" customWidth="1"/>
    <col min="5" max="5" width="13.33203125" style="84" customWidth="1"/>
    <col min="6" max="6" width="12.1640625" style="685" customWidth="1"/>
    <col min="7" max="7" width="12.1640625" style="84" customWidth="1"/>
    <col min="8" max="8" width="12.1640625" style="685" customWidth="1"/>
    <col min="9" max="14" width="12.1640625" style="84" customWidth="1"/>
    <col min="15" max="15" width="13.6640625" style="84" customWidth="1"/>
    <col min="16" max="16384" width="10.83203125" style="84"/>
  </cols>
  <sheetData>
    <row r="2" spans="2:17" x14ac:dyDescent="0.15">
      <c r="B2" s="84" t="s">
        <v>1000</v>
      </c>
    </row>
    <row r="4" spans="2:17" x14ac:dyDescent="0.15">
      <c r="B4" s="699" t="s">
        <v>963</v>
      </c>
    </row>
    <row r="5" spans="2:17" ht="17" thickBot="1" x14ac:dyDescent="0.2"/>
    <row r="6" spans="2:17" x14ac:dyDescent="0.2">
      <c r="B6" s="269"/>
      <c r="C6" s="768" t="s">
        <v>99</v>
      </c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70"/>
    </row>
    <row r="7" spans="2:17" x14ac:dyDescent="0.2">
      <c r="B7" s="270"/>
      <c r="C7" s="675" t="s">
        <v>114</v>
      </c>
      <c r="D7" s="676" t="s">
        <v>115</v>
      </c>
      <c r="E7" s="676" t="s">
        <v>116</v>
      </c>
      <c r="F7" s="676" t="s">
        <v>117</v>
      </c>
      <c r="G7" s="676" t="s">
        <v>118</v>
      </c>
      <c r="H7" s="676" t="s">
        <v>119</v>
      </c>
      <c r="I7" s="676" t="s">
        <v>120</v>
      </c>
      <c r="J7" s="676" t="s">
        <v>121</v>
      </c>
      <c r="K7" s="676" t="s">
        <v>122</v>
      </c>
      <c r="L7" s="676" t="s">
        <v>123</v>
      </c>
      <c r="M7" s="676" t="s">
        <v>124</v>
      </c>
      <c r="N7" s="676" t="s">
        <v>125</v>
      </c>
      <c r="O7" s="673" t="s">
        <v>82</v>
      </c>
    </row>
    <row r="8" spans="2:17" x14ac:dyDescent="0.2">
      <c r="B8" s="148" t="s">
        <v>37</v>
      </c>
      <c r="C8" s="639">
        <f>'Tab. 4'!C9</f>
        <v>11015187.875085792</v>
      </c>
      <c r="D8" s="91">
        <f>'Tab. 4'!D9</f>
        <v>12239097.638984215</v>
      </c>
      <c r="E8" s="91">
        <f>'Tab. 4'!E9</f>
        <v>14074962.284831846</v>
      </c>
      <c r="F8" s="91">
        <f>'Tab. 4'!F9</f>
        <v>12851052.520933423</v>
      </c>
      <c r="G8" s="91">
        <f>'Tab. 4'!G9</f>
        <v>12851052.520933423</v>
      </c>
      <c r="H8" s="91">
        <f>'Tab. 4'!H9</f>
        <v>13463007.402882634</v>
      </c>
      <c r="I8" s="91">
        <f>'Tab. 4'!I9</f>
        <v>13463007.402882634</v>
      </c>
      <c r="J8" s="91">
        <f>'Tab. 4'!J9</f>
        <v>7343458.5833905274</v>
      </c>
      <c r="K8" s="91">
        <f>'Tab. 4'!K9</f>
        <v>13463007.402882634</v>
      </c>
      <c r="L8" s="91">
        <f>'Tab. 4'!L9</f>
        <v>12851052.520933423</v>
      </c>
      <c r="M8" s="91">
        <f>'Tab. 4'!M9</f>
        <v>12851052.520933423</v>
      </c>
      <c r="N8" s="91">
        <f>'Tab. 4'!N9</f>
        <v>7343458.5833905274</v>
      </c>
      <c r="O8" s="257">
        <f>SUM(C8:N8)</f>
        <v>143809397.25806451</v>
      </c>
    </row>
    <row r="9" spans="2:17" x14ac:dyDescent="0.2">
      <c r="B9" s="280" t="s">
        <v>943</v>
      </c>
      <c r="C9" s="639">
        <f>0.2%*C8</f>
        <v>22030.375750171585</v>
      </c>
      <c r="D9" s="91">
        <f t="shared" ref="D9:N9" si="0">0.2%*D8</f>
        <v>24478.195277968429</v>
      </c>
      <c r="E9" s="91">
        <f t="shared" si="0"/>
        <v>28149.924569663694</v>
      </c>
      <c r="F9" s="91">
        <f t="shared" si="0"/>
        <v>25702.105041866846</v>
      </c>
      <c r="G9" s="91">
        <f t="shared" si="0"/>
        <v>25702.105041866846</v>
      </c>
      <c r="H9" s="91">
        <f t="shared" si="0"/>
        <v>26926.01480576527</v>
      </c>
      <c r="I9" s="91">
        <f t="shared" si="0"/>
        <v>26926.01480576527</v>
      </c>
      <c r="J9" s="91">
        <f t="shared" si="0"/>
        <v>14686.917166781055</v>
      </c>
      <c r="K9" s="91">
        <f t="shared" si="0"/>
        <v>26926.01480576527</v>
      </c>
      <c r="L9" s="91">
        <f t="shared" si="0"/>
        <v>25702.105041866846</v>
      </c>
      <c r="M9" s="91">
        <f t="shared" si="0"/>
        <v>25702.105041866846</v>
      </c>
      <c r="N9" s="91">
        <f t="shared" si="0"/>
        <v>14686.917166781055</v>
      </c>
      <c r="O9" s="257">
        <f>SUM(C9:N9)</f>
        <v>287618.79451612895</v>
      </c>
    </row>
    <row r="10" spans="2:17" x14ac:dyDescent="0.2">
      <c r="B10" s="280"/>
      <c r="C10" s="104"/>
      <c r="D10" s="104"/>
      <c r="E10" s="104"/>
      <c r="F10" s="104"/>
      <c r="G10" s="104"/>
      <c r="H10" s="104"/>
      <c r="I10" s="91"/>
      <c r="J10" s="91"/>
      <c r="K10" s="91"/>
      <c r="L10" s="91"/>
      <c r="M10" s="91"/>
      <c r="N10" s="91"/>
      <c r="O10" s="411"/>
    </row>
    <row r="11" spans="2:17" s="104" customFormat="1" x14ac:dyDescent="0.15">
      <c r="B11" s="726" t="s">
        <v>945</v>
      </c>
      <c r="C11" s="719">
        <f>+C8-C9</f>
        <v>10993157.499335621</v>
      </c>
      <c r="D11" s="719">
        <f t="shared" ref="D11:O11" si="1">+D8-D9</f>
        <v>12214619.443706246</v>
      </c>
      <c r="E11" s="719">
        <f t="shared" si="1"/>
        <v>14046812.360262182</v>
      </c>
      <c r="F11" s="719">
        <f t="shared" si="1"/>
        <v>12825350.415891556</v>
      </c>
      <c r="G11" s="719">
        <f t="shared" si="1"/>
        <v>12825350.415891556</v>
      </c>
      <c r="H11" s="719">
        <f t="shared" si="1"/>
        <v>13436081.388076868</v>
      </c>
      <c r="I11" s="719">
        <f t="shared" si="1"/>
        <v>13436081.388076868</v>
      </c>
      <c r="J11" s="719">
        <f t="shared" si="1"/>
        <v>7328771.6662237467</v>
      </c>
      <c r="K11" s="719">
        <f t="shared" si="1"/>
        <v>13436081.388076868</v>
      </c>
      <c r="L11" s="719">
        <f t="shared" si="1"/>
        <v>12825350.415891556</v>
      </c>
      <c r="M11" s="719">
        <f t="shared" si="1"/>
        <v>12825350.415891556</v>
      </c>
      <c r="N11" s="719">
        <f t="shared" si="1"/>
        <v>7328771.6662237467</v>
      </c>
      <c r="O11" s="727">
        <f t="shared" si="1"/>
        <v>143521778.46354839</v>
      </c>
    </row>
    <row r="12" spans="2:17" s="104" customFormat="1" x14ac:dyDescent="0.15">
      <c r="B12" s="160"/>
      <c r="O12" s="183"/>
    </row>
    <row r="13" spans="2:17" s="722" customFormat="1" hidden="1" outlineLevel="1" x14ac:dyDescent="0.2">
      <c r="B13" s="728" t="s">
        <v>986</v>
      </c>
      <c r="C13" s="723">
        <f>'Tab. 8'!C60</f>
        <v>6454699.5822317349</v>
      </c>
      <c r="D13" s="723">
        <f>'Tab. 8'!D60</f>
        <v>7286215.4702423373</v>
      </c>
      <c r="E13" s="723">
        <f>'Tab. 8'!E60</f>
        <v>8050730.4987207949</v>
      </c>
      <c r="F13" s="723">
        <f>'Tab. 8'!F60</f>
        <v>7442361.3877202207</v>
      </c>
      <c r="G13" s="723">
        <f>'Tab. 8'!G60</f>
        <v>7303495.0472512832</v>
      </c>
      <c r="H13" s="723">
        <f>'Tab. 8'!H60</f>
        <v>7853833.9722076589</v>
      </c>
      <c r="I13" s="723">
        <f>'Tab. 8'!I60</f>
        <v>6919460.8738672333</v>
      </c>
      <c r="J13" s="723">
        <f>'Tab. 8'!J60</f>
        <v>4321654.7706176294</v>
      </c>
      <c r="K13" s="723">
        <f>'Tab. 8'!K60</f>
        <v>7266433.1549180066</v>
      </c>
      <c r="L13" s="723">
        <f>'Tab. 8'!L60</f>
        <v>6680209.5955895483</v>
      </c>
      <c r="M13" s="723">
        <f>'Tab. 8'!M60</f>
        <v>7481487.5450570211</v>
      </c>
      <c r="N13" s="723">
        <f>'Tab. 8'!N60</f>
        <v>3418990.3838723521</v>
      </c>
      <c r="O13" s="729">
        <f t="shared" ref="O13:O14" si="2">SUM(C13:N13)</f>
        <v>80479572.282295808</v>
      </c>
    </row>
    <row r="14" spans="2:17" s="722" customFormat="1" hidden="1" outlineLevel="1" x14ac:dyDescent="0.2">
      <c r="B14" s="730" t="s">
        <v>987</v>
      </c>
      <c r="C14" s="723">
        <f>-('Tab. 8'!C61-'Tab. 8'!C58)</f>
        <v>273.40703313890845</v>
      </c>
      <c r="D14" s="723">
        <f>-('Tab. 8'!D61-'Tab. 8'!D58)</f>
        <v>-41595.950580567122</v>
      </c>
      <c r="E14" s="723">
        <f>-('Tab. 8'!E61-'Tab. 8'!E58)</f>
        <v>20529.481588881463</v>
      </c>
      <c r="F14" s="723">
        <f>-('Tab. 8'!F61-'Tab. 8'!F58)</f>
        <v>33545.542596843094</v>
      </c>
      <c r="G14" s="723">
        <f>-('Tab. 8'!G61-'Tab. 8'!G58)</f>
        <v>-95192.140212764964</v>
      </c>
      <c r="H14" s="723">
        <f>-('Tab. 8'!H61-'Tab. 8'!H58)</f>
        <v>62306.89361702092</v>
      </c>
      <c r="I14" s="723">
        <f>-('Tab. 8'!I61-'Tab. 8'!I58)</f>
        <v>40132.735957446508</v>
      </c>
      <c r="J14" s="723">
        <f>-('Tab. 8'!J61-'Tab. 8'!J58)</f>
        <v>-3759.7528950758278</v>
      </c>
      <c r="K14" s="723">
        <f>-('Tab. 8'!K61-'Tab. 8'!K58)</f>
        <v>-63821.493700668216</v>
      </c>
      <c r="L14" s="723">
        <f>-('Tab. 8'!L61-'Tab. 8'!L58)</f>
        <v>-7247.4893617015332</v>
      </c>
      <c r="M14" s="723">
        <f>-('Tab. 8'!M61-'Tab. 8'!M58)</f>
        <v>74828.735957447439</v>
      </c>
      <c r="N14" s="723">
        <f>-('Tab. 8'!N61-'Tab. 8'!N58)</f>
        <v>-57642.622149799019</v>
      </c>
      <c r="O14" s="729">
        <f t="shared" si="2"/>
        <v>-37642.652149798349</v>
      </c>
    </row>
    <row r="15" spans="2:17" s="722" customFormat="1" hidden="1" outlineLevel="1" x14ac:dyDescent="0.15">
      <c r="B15" s="731" t="s">
        <v>43</v>
      </c>
      <c r="C15" s="724">
        <f>SUM(C13:C14)</f>
        <v>6454972.9892648738</v>
      </c>
      <c r="D15" s="724">
        <f>SUM(D13:D14)</f>
        <v>7244619.5196617702</v>
      </c>
      <c r="E15" s="724">
        <f t="shared" ref="E15:O15" si="3">SUM(E13:E14)</f>
        <v>8071259.9803096764</v>
      </c>
      <c r="F15" s="724">
        <f t="shared" si="3"/>
        <v>7475906.9303170638</v>
      </c>
      <c r="G15" s="724">
        <f t="shared" si="3"/>
        <v>7208302.9070385182</v>
      </c>
      <c r="H15" s="724">
        <f t="shared" si="3"/>
        <v>7916140.8658246798</v>
      </c>
      <c r="I15" s="724">
        <f t="shared" si="3"/>
        <v>6959593.6098246798</v>
      </c>
      <c r="J15" s="724">
        <f t="shared" si="3"/>
        <v>4317895.0177225536</v>
      </c>
      <c r="K15" s="724">
        <f t="shared" si="3"/>
        <v>7202611.6612173384</v>
      </c>
      <c r="L15" s="724">
        <f t="shared" si="3"/>
        <v>6672962.1062278468</v>
      </c>
      <c r="M15" s="724">
        <f t="shared" si="3"/>
        <v>7556316.2810144685</v>
      </c>
      <c r="N15" s="724">
        <f t="shared" si="3"/>
        <v>3361347.7617225531</v>
      </c>
      <c r="O15" s="732">
        <f t="shared" si="3"/>
        <v>80441929.630146012</v>
      </c>
      <c r="Q15" s="725">
        <f>+O15-'Tab. 8'!O59</f>
        <v>0</v>
      </c>
    </row>
    <row r="16" spans="2:17" s="722" customFormat="1" hidden="1" outlineLevel="1" x14ac:dyDescent="0.2">
      <c r="B16" s="728" t="s">
        <v>734</v>
      </c>
      <c r="C16" s="723">
        <f>'Tab. 14'!$C$9*'Tab 5'!C$15+'Tab. 14'!$C$13*'Tab 5'!C$28</f>
        <v>24069.280887603694</v>
      </c>
      <c r="D16" s="723">
        <f>'Tab. 14'!$C$9*'Tab 5'!D$15+'Tab. 14'!$C$13*'Tab 5'!D$28</f>
        <v>27019.438382221684</v>
      </c>
      <c r="E16" s="723">
        <f>'Tab. 14'!$C$9*'Tab 5'!E$15+'Tab. 14'!$C$13*'Tab 5'!E$28</f>
        <v>30107.080879598521</v>
      </c>
      <c r="F16" s="723">
        <f>'Tab. 14'!$C$9*'Tab 5'!F$15+'Tab. 14'!$C$13*'Tab 5'!F$28</f>
        <v>27880.955522330034</v>
      </c>
      <c r="G16" s="723">
        <f>'Tab. 14'!$C$9*'Tab 5'!G$15+'Tab. 14'!$C$13*'Tab 5'!G$28</f>
        <v>26906.609841038528</v>
      </c>
      <c r="H16" s="723">
        <f>'Tab. 14'!$C$9*'Tab 5'!H$15+'Tab. 14'!$C$13*'Tab 5'!H$28</f>
        <v>29515.331788074895</v>
      </c>
      <c r="I16" s="723">
        <f>'Tab. 14'!$C$9*'Tab 5'!I$15+'Tab. 14'!$C$13*'Tab 5'!I$28</f>
        <v>25948.845275221334</v>
      </c>
      <c r="J16" s="723">
        <f>'Tab. 14'!$C$9*'Tab 5'!J$15+'Tab. 14'!$C$13*'Tab 5'!J$28</f>
        <v>16099.271884404488</v>
      </c>
      <c r="K16" s="723">
        <f>'Tab. 14'!$C$9*'Tab 5'!K$15+'Tab. 14'!$C$13*'Tab 5'!K$28</f>
        <v>26875.958657003317</v>
      </c>
      <c r="L16" s="723">
        <f>'Tab. 14'!$C$9*'Tab 5'!L$15+'Tab. 14'!$C$13*'Tab 5'!L$28</f>
        <v>24870.715713244732</v>
      </c>
      <c r="M16" s="723">
        <f>'Tab. 14'!$C$9*'Tab 5'!M$15+'Tab. 14'!$C$13*'Tab 5'!M$28</f>
        <v>28173.725797707855</v>
      </c>
      <c r="N16" s="723">
        <f>'Tab. 14'!$C$9*'Tab 5'!N$15+'Tab. 14'!$C$13*'Tab 5'!N$28</f>
        <v>12532.78537155093</v>
      </c>
      <c r="O16" s="729">
        <f>SUM(C16:N16)</f>
        <v>300000.00000000006</v>
      </c>
    </row>
    <row r="17" spans="2:17" s="722" customFormat="1" hidden="1" outlineLevel="1" x14ac:dyDescent="0.15">
      <c r="B17" s="731" t="s">
        <v>972</v>
      </c>
      <c r="C17" s="724">
        <f>SUM(C15:C16)</f>
        <v>6479042.2701524775</v>
      </c>
      <c r="D17" s="724">
        <f t="shared" ref="D17:O17" si="4">SUM(D15:D16)</f>
        <v>7271638.9580439916</v>
      </c>
      <c r="E17" s="724">
        <f t="shared" si="4"/>
        <v>8101367.0611892752</v>
      </c>
      <c r="F17" s="724">
        <f t="shared" si="4"/>
        <v>7503787.8858393943</v>
      </c>
      <c r="G17" s="724">
        <f t="shared" si="4"/>
        <v>7235209.5168795567</v>
      </c>
      <c r="H17" s="724">
        <f t="shared" si="4"/>
        <v>7945656.197612755</v>
      </c>
      <c r="I17" s="724">
        <f t="shared" si="4"/>
        <v>6985542.4550999012</v>
      </c>
      <c r="J17" s="724">
        <f t="shared" si="4"/>
        <v>4333994.2896069577</v>
      </c>
      <c r="K17" s="724">
        <f t="shared" si="4"/>
        <v>7229487.6198743414</v>
      </c>
      <c r="L17" s="724">
        <f t="shared" si="4"/>
        <v>6697832.8219410917</v>
      </c>
      <c r="M17" s="724">
        <f t="shared" si="4"/>
        <v>7584490.0068121767</v>
      </c>
      <c r="N17" s="724">
        <f t="shared" si="4"/>
        <v>3373880.5470941039</v>
      </c>
      <c r="O17" s="732">
        <f t="shared" si="4"/>
        <v>80741929.630146012</v>
      </c>
    </row>
    <row r="18" spans="2:17" s="722" customFormat="1" hidden="1" outlineLevel="1" x14ac:dyDescent="0.2">
      <c r="B18" s="730" t="s">
        <v>985</v>
      </c>
      <c r="C18" s="723">
        <f>-('Tab. 23'!C24-'Tab. 23'!C21)</f>
        <v>-163208.65921830386</v>
      </c>
      <c r="D18" s="723">
        <f>-('Tab. 23'!D24-'Tab. 23'!D21)</f>
        <v>-254046.05700602196</v>
      </c>
      <c r="E18" s="723">
        <f>-('Tab. 23'!E24-'Tab. 23'!E21)</f>
        <v>-31135.224995605648</v>
      </c>
      <c r="F18" s="723">
        <f>-('Tab. 23'!F24-'Tab. 23'!F21)</f>
        <v>-135315.33974952251</v>
      </c>
      <c r="G18" s="723">
        <f>-('Tab. 23'!G24-'Tab. 23'!G21)</f>
        <v>133263.02921031415</v>
      </c>
      <c r="H18" s="723">
        <f>-('Tab. 23'!H24-'Tab. 23'!H21)</f>
        <v>-226304.00647098571</v>
      </c>
      <c r="I18" s="723">
        <f>-('Tab. 23'!I24-'Tab. 23'!I21)</f>
        <v>733809.73604186624</v>
      </c>
      <c r="J18" s="723">
        <f>-('Tab. 23'!J24-'Tab. 23'!J21)</f>
        <v>-123438.54898417369</v>
      </c>
      <c r="K18" s="723">
        <f>-('Tab. 23'!K24-'Tab. 23'!K21)</f>
        <v>489864.57126742788</v>
      </c>
      <c r="L18" s="723">
        <f>-('Tab. 23'!L24-'Tab. 23'!L21)</f>
        <v>670639.72414877824</v>
      </c>
      <c r="M18" s="723">
        <f>-('Tab. 23'!M24-'Tab. 23'!M21)</f>
        <v>-216017.46072230488</v>
      </c>
      <c r="N18" s="723">
        <f>-('Tab. 23'!N24-'Tab. 23'!N21)</f>
        <v>836675.19352867827</v>
      </c>
      <c r="O18" s="729">
        <f>SUM(C18:N18)</f>
        <v>1714786.9570501465</v>
      </c>
    </row>
    <row r="19" spans="2:17" s="104" customFormat="1" collapsed="1" x14ac:dyDescent="0.15">
      <c r="B19" s="148" t="s">
        <v>938</v>
      </c>
      <c r="C19" s="720">
        <f>SUM(C17:C18)</f>
        <v>6315833.6109341737</v>
      </c>
      <c r="D19" s="720">
        <f t="shared" ref="D19:O19" si="5">SUM(D17:D18)</f>
        <v>7017592.9010379696</v>
      </c>
      <c r="E19" s="720">
        <f t="shared" si="5"/>
        <v>8070231.8361936696</v>
      </c>
      <c r="F19" s="720">
        <f t="shared" si="5"/>
        <v>7368472.5460898718</v>
      </c>
      <c r="G19" s="720">
        <f t="shared" si="5"/>
        <v>7368472.5460898709</v>
      </c>
      <c r="H19" s="720">
        <f t="shared" si="5"/>
        <v>7719352.1911417693</v>
      </c>
      <c r="I19" s="720">
        <f t="shared" si="5"/>
        <v>7719352.1911417674</v>
      </c>
      <c r="J19" s="720">
        <f t="shared" si="5"/>
        <v>4210555.740622784</v>
      </c>
      <c r="K19" s="720">
        <f t="shared" si="5"/>
        <v>7719352.1911417693</v>
      </c>
      <c r="L19" s="720">
        <f t="shared" si="5"/>
        <v>7368472.5460898699</v>
      </c>
      <c r="M19" s="720">
        <f t="shared" si="5"/>
        <v>7368472.5460898718</v>
      </c>
      <c r="N19" s="720">
        <f t="shared" si="5"/>
        <v>4210555.7406227821</v>
      </c>
      <c r="O19" s="733">
        <f t="shared" si="5"/>
        <v>82456716.587196156</v>
      </c>
      <c r="Q19" s="718">
        <f>+O19-CE_1!G13</f>
        <v>0</v>
      </c>
    </row>
    <row r="20" spans="2:17" s="104" customFormat="1" x14ac:dyDescent="0.15">
      <c r="B20" s="160"/>
      <c r="O20" s="183"/>
    </row>
    <row r="21" spans="2:17" s="104" customFormat="1" x14ac:dyDescent="0.15">
      <c r="B21" s="726" t="s">
        <v>939</v>
      </c>
      <c r="C21" s="719">
        <f>+C11-C19</f>
        <v>4677323.8884014469</v>
      </c>
      <c r="D21" s="719">
        <f t="shared" ref="D21:N21" si="6">+D11-D19</f>
        <v>5197026.5426682765</v>
      </c>
      <c r="E21" s="719">
        <f t="shared" si="6"/>
        <v>5976580.524068512</v>
      </c>
      <c r="F21" s="719">
        <f t="shared" si="6"/>
        <v>5456877.8698016843</v>
      </c>
      <c r="G21" s="719">
        <f t="shared" si="6"/>
        <v>5456877.8698016852</v>
      </c>
      <c r="H21" s="719">
        <f t="shared" si="6"/>
        <v>5716729.1969350986</v>
      </c>
      <c r="I21" s="719">
        <f t="shared" si="6"/>
        <v>5716729.1969351005</v>
      </c>
      <c r="J21" s="719">
        <f t="shared" si="6"/>
        <v>3118215.9256009627</v>
      </c>
      <c r="K21" s="719">
        <f t="shared" si="6"/>
        <v>5716729.1969350986</v>
      </c>
      <c r="L21" s="719">
        <f t="shared" si="6"/>
        <v>5456877.8698016861</v>
      </c>
      <c r="M21" s="719">
        <f t="shared" si="6"/>
        <v>5456877.8698016843</v>
      </c>
      <c r="N21" s="719">
        <f t="shared" si="6"/>
        <v>3118215.9256009646</v>
      </c>
      <c r="O21" s="727">
        <f>+O11-O19</f>
        <v>61065061.876352236</v>
      </c>
    </row>
    <row r="22" spans="2:17" s="104" customFormat="1" x14ac:dyDescent="0.15">
      <c r="B22" s="160"/>
      <c r="O22" s="183"/>
    </row>
    <row r="23" spans="2:17" s="104" customFormat="1" x14ac:dyDescent="0.2">
      <c r="B23" s="160" t="s">
        <v>989</v>
      </c>
      <c r="C23" s="639">
        <f>'Tab. 11'!C36</f>
        <v>199027.56930242115</v>
      </c>
      <c r="D23" s="639">
        <f>'Tab. 11'!D36</f>
        <v>199027.56930242115</v>
      </c>
      <c r="E23" s="639">
        <f>'Tab. 11'!E36</f>
        <v>228881.70469778439</v>
      </c>
      <c r="F23" s="639">
        <f>'Tab. 11'!F36</f>
        <v>208978.94776754224</v>
      </c>
      <c r="G23" s="639">
        <f>'Tab. 11'!G36</f>
        <v>208978.94776754224</v>
      </c>
      <c r="H23" s="639">
        <f>'Tab. 11'!H36</f>
        <v>218930.32623266333</v>
      </c>
      <c r="I23" s="639">
        <f>'Tab. 11'!I36</f>
        <v>218930.32623266333</v>
      </c>
      <c r="J23" s="639">
        <f>'Tab. 11'!J36</f>
        <v>218930.32623266333</v>
      </c>
      <c r="K23" s="639">
        <f>'Tab. 11'!K36</f>
        <v>218930.32623266333</v>
      </c>
      <c r="L23" s="639">
        <f>'Tab. 11'!L36</f>
        <v>208978.94776754224</v>
      </c>
      <c r="M23" s="639">
        <f>'Tab. 11'!M36</f>
        <v>208978.94776754224</v>
      </c>
      <c r="N23" s="639">
        <f>'Tab. 11'!N36</f>
        <v>238833.08316290539</v>
      </c>
      <c r="O23" s="257">
        <f>SUM(C23:N23)</f>
        <v>2577407.0224663541</v>
      </c>
    </row>
    <row r="24" spans="2:17" s="104" customFormat="1" x14ac:dyDescent="0.2">
      <c r="B24" s="160" t="s">
        <v>991</v>
      </c>
      <c r="C24" s="639">
        <f>'Tab. 16'!$E$34/12</f>
        <v>109937.5</v>
      </c>
      <c r="D24" s="639">
        <f>'Tab. 16'!$E$34/12</f>
        <v>109937.5</v>
      </c>
      <c r="E24" s="639">
        <f>'Tab. 16'!$E$34/12</f>
        <v>109937.5</v>
      </c>
      <c r="F24" s="639">
        <f>'Tab. 16'!$E$34/12</f>
        <v>109937.5</v>
      </c>
      <c r="G24" s="639">
        <f>'Tab. 16'!$E$34/12</f>
        <v>109937.5</v>
      </c>
      <c r="H24" s="639">
        <f>'Tab. 16'!$E$34/12</f>
        <v>109937.5</v>
      </c>
      <c r="I24" s="639">
        <f>'Tab. 16'!$E$34/12</f>
        <v>109937.5</v>
      </c>
      <c r="J24" s="639">
        <f>'Tab. 16'!$E$34/12</f>
        <v>109937.5</v>
      </c>
      <c r="K24" s="639">
        <f>'Tab. 16'!$E$34/12</f>
        <v>109937.5</v>
      </c>
      <c r="L24" s="639">
        <f>'Tab. 16'!$E$34/12</f>
        <v>109937.5</v>
      </c>
      <c r="M24" s="639">
        <f>'Tab. 16'!$E$34/12</f>
        <v>109937.5</v>
      </c>
      <c r="N24" s="639">
        <f>'Tab. 16'!$E$34/12</f>
        <v>109937.5</v>
      </c>
      <c r="O24" s="257">
        <f>SUM(C24:N24)</f>
        <v>1319250</v>
      </c>
    </row>
    <row r="25" spans="2:17" s="104" customFormat="1" x14ac:dyDescent="0.15">
      <c r="B25" s="160"/>
      <c r="O25" s="183"/>
    </row>
    <row r="26" spans="2:17" s="104" customFormat="1" x14ac:dyDescent="0.15">
      <c r="B26" s="726" t="s">
        <v>946</v>
      </c>
      <c r="C26" s="719">
        <f>+C21-C23-C24</f>
        <v>4368358.8190990258</v>
      </c>
      <c r="D26" s="719">
        <f t="shared" ref="D26:N26" si="7">+D21-D23-D24</f>
        <v>4888061.4733658554</v>
      </c>
      <c r="E26" s="719">
        <f t="shared" si="7"/>
        <v>5637761.319370728</v>
      </c>
      <c r="F26" s="719">
        <f t="shared" si="7"/>
        <v>5137961.4220341416</v>
      </c>
      <c r="G26" s="719">
        <f t="shared" si="7"/>
        <v>5137961.4220341425</v>
      </c>
      <c r="H26" s="719">
        <f t="shared" si="7"/>
        <v>5387861.3707024353</v>
      </c>
      <c r="I26" s="719">
        <f t="shared" si="7"/>
        <v>5387861.3707024371</v>
      </c>
      <c r="J26" s="719">
        <f t="shared" si="7"/>
        <v>2789348.0993682994</v>
      </c>
      <c r="K26" s="719">
        <f t="shared" si="7"/>
        <v>5387861.3707024353</v>
      </c>
      <c r="L26" s="719">
        <f t="shared" si="7"/>
        <v>5137961.4220341435</v>
      </c>
      <c r="M26" s="719">
        <f t="shared" si="7"/>
        <v>5137961.4220341416</v>
      </c>
      <c r="N26" s="719">
        <f t="shared" si="7"/>
        <v>2769445.3424380594</v>
      </c>
      <c r="O26" s="727">
        <f>+O21-O23-O24</f>
        <v>57168404.853885882</v>
      </c>
      <c r="Q26" s="718">
        <f>+O26-CE_1!G19</f>
        <v>0</v>
      </c>
    </row>
    <row r="27" spans="2:17" s="104" customFormat="1" x14ac:dyDescent="0.15">
      <c r="B27" s="163"/>
      <c r="C27" s="717"/>
      <c r="D27" s="717"/>
      <c r="E27" s="717"/>
      <c r="O27" s="183"/>
    </row>
    <row r="28" spans="2:17" s="104" customFormat="1" x14ac:dyDescent="0.2">
      <c r="B28" s="160" t="s">
        <v>992</v>
      </c>
      <c r="C28" s="718">
        <f>'Tab. 17'!$E$24/'Tab. 11'!$O$8*'Tab. 11'!C8</f>
        <v>26636.831373303263</v>
      </c>
      <c r="D28" s="718">
        <f>'Tab. 17'!$E$24/'Tab. 11'!$O$8*'Tab. 11'!D8</f>
        <v>29596.479303670294</v>
      </c>
      <c r="E28" s="718">
        <f>'Tab. 17'!$E$24/'Tab. 11'!$O$8*'Tab. 11'!E8</f>
        <v>34035.951199220835</v>
      </c>
      <c r="F28" s="718">
        <f>'Tab. 17'!$E$24/'Tab. 11'!$O$8*'Tab. 11'!F8</f>
        <v>31076.303268853808</v>
      </c>
      <c r="G28" s="718">
        <f>'Tab. 17'!$E$24/'Tab. 11'!$O$8*'Tab. 11'!G8</f>
        <v>31076.303268853808</v>
      </c>
      <c r="H28" s="718">
        <f>'Tab. 17'!$E$24/'Tab. 11'!$O$8*'Tab. 11'!H8</f>
        <v>32556.127234037325</v>
      </c>
      <c r="I28" s="718">
        <f>'Tab. 17'!$E$24/'Tab. 11'!$O$8*'Tab. 11'!I8</f>
        <v>32556.127234037325</v>
      </c>
      <c r="J28" s="718">
        <f>'Tab. 17'!$E$24/'Tab. 11'!$O$8*'Tab. 11'!J8</f>
        <v>17757.887582202176</v>
      </c>
      <c r="K28" s="718">
        <f>'Tab. 17'!$E$24/'Tab. 11'!$O$8*'Tab. 11'!K8</f>
        <v>32556.127234037325</v>
      </c>
      <c r="L28" s="718">
        <f>'Tab. 17'!$E$24/'Tab. 11'!$O$8*'Tab. 11'!L8</f>
        <v>31076.303268853808</v>
      </c>
      <c r="M28" s="718">
        <f>'Tab. 17'!$E$24/'Tab. 11'!$O$8*'Tab. 11'!M8</f>
        <v>31076.303268853808</v>
      </c>
      <c r="N28" s="718">
        <f>'Tab. 17'!$E$24/'Tab. 11'!$O$8*'Tab. 11'!N8</f>
        <v>17757.887582202176</v>
      </c>
      <c r="O28" s="257">
        <f>SUM(C28:N28)</f>
        <v>347758.6318181259</v>
      </c>
    </row>
    <row r="29" spans="2:17" s="104" customFormat="1" x14ac:dyDescent="0.2">
      <c r="B29" s="160" t="s">
        <v>993</v>
      </c>
      <c r="C29" s="718">
        <f>('Tab. 15'!$G$28+'Tab. 15'!$H$28)/12</f>
        <v>70010.964912280702</v>
      </c>
      <c r="D29" s="718">
        <f>('Tab. 15'!$G$28+'Tab. 15'!$H$28)/12</f>
        <v>70010.964912280702</v>
      </c>
      <c r="E29" s="718">
        <f>('Tab. 15'!$G$28+'Tab. 15'!$H$28)/12</f>
        <v>70010.964912280702</v>
      </c>
      <c r="F29" s="718">
        <f>('Tab. 15'!$G$28+'Tab. 15'!$H$28)/12</f>
        <v>70010.964912280702</v>
      </c>
      <c r="G29" s="718">
        <f>('Tab. 15'!$G$28+'Tab. 15'!$H$28)/12</f>
        <v>70010.964912280702</v>
      </c>
      <c r="H29" s="718">
        <f>('Tab. 15'!$G$28+'Tab. 15'!$H$28)/12</f>
        <v>70010.964912280702</v>
      </c>
      <c r="I29" s="718">
        <f>('Tab. 15'!$G$28+'Tab. 15'!$H$28)/12</f>
        <v>70010.964912280702</v>
      </c>
      <c r="J29" s="718">
        <f>('Tab. 15'!$G$28+'Tab. 15'!$H$28)/12</f>
        <v>70010.964912280702</v>
      </c>
      <c r="K29" s="718">
        <f>('Tab. 15'!$G$28+'Tab. 15'!$H$28)/12</f>
        <v>70010.964912280702</v>
      </c>
      <c r="L29" s="718">
        <f>('Tab. 15'!$G$28+'Tab. 15'!$H$28)/12</f>
        <v>70010.964912280702</v>
      </c>
      <c r="M29" s="718">
        <f>('Tab. 15'!$G$28+'Tab. 15'!$H$28)/12</f>
        <v>70010.964912280702</v>
      </c>
      <c r="N29" s="718">
        <f>('Tab. 15'!$G$28+'Tab. 15'!$H$28)/12</f>
        <v>70010.964912280702</v>
      </c>
      <c r="O29" s="257">
        <f>SUM(C29:N29)</f>
        <v>840131.57894736819</v>
      </c>
    </row>
    <row r="30" spans="2:17" s="104" customFormat="1" x14ac:dyDescent="0.15">
      <c r="B30" s="163"/>
      <c r="C30" s="717"/>
      <c r="D30" s="717"/>
      <c r="E30" s="717"/>
      <c r="O30" s="183"/>
    </row>
    <row r="31" spans="2:17" s="104" customFormat="1" x14ac:dyDescent="0.15">
      <c r="B31" s="726" t="s">
        <v>949</v>
      </c>
      <c r="C31" s="719">
        <f>+C26-C28-C29</f>
        <v>4271711.0228134422</v>
      </c>
      <c r="D31" s="719">
        <f t="shared" ref="D31:O31" si="8">+D26-D28-D29</f>
        <v>4788454.0291499048</v>
      </c>
      <c r="E31" s="719">
        <f t="shared" si="8"/>
        <v>5533714.4032592271</v>
      </c>
      <c r="F31" s="719">
        <f t="shared" si="8"/>
        <v>5036874.1538530076</v>
      </c>
      <c r="G31" s="719">
        <f t="shared" si="8"/>
        <v>5036874.1538530085</v>
      </c>
      <c r="H31" s="719">
        <f t="shared" si="8"/>
        <v>5285294.2785561178</v>
      </c>
      <c r="I31" s="719">
        <f t="shared" si="8"/>
        <v>5285294.2785561197</v>
      </c>
      <c r="J31" s="719">
        <f t="shared" si="8"/>
        <v>2701579.2468738165</v>
      </c>
      <c r="K31" s="719">
        <f t="shared" si="8"/>
        <v>5285294.2785561178</v>
      </c>
      <c r="L31" s="719">
        <f t="shared" si="8"/>
        <v>5036874.1538530095</v>
      </c>
      <c r="M31" s="719">
        <f t="shared" si="8"/>
        <v>5036874.1538530076</v>
      </c>
      <c r="N31" s="719">
        <f t="shared" si="8"/>
        <v>2681676.4899435765</v>
      </c>
      <c r="O31" s="727">
        <f t="shared" si="8"/>
        <v>55980514.643120393</v>
      </c>
      <c r="Q31" s="718">
        <f>+O31-CE_1!G23</f>
        <v>0</v>
      </c>
    </row>
    <row r="32" spans="2:17" s="104" customFormat="1" x14ac:dyDescent="0.15">
      <c r="B32" s="160"/>
      <c r="O32" s="183"/>
    </row>
    <row r="33" spans="2:17" s="104" customFormat="1" x14ac:dyDescent="0.2">
      <c r="B33" s="160" t="s">
        <v>942</v>
      </c>
      <c r="C33" s="718">
        <f>+'Tab. 22'!C18</f>
        <v>4006756.3546342608</v>
      </c>
      <c r="D33" s="718">
        <f>+'Tab. 22'!D18</f>
        <v>4159905.8662481834</v>
      </c>
      <c r="E33" s="718">
        <f>+'Tab. 22'!E18</f>
        <v>4402638.7461854108</v>
      </c>
      <c r="F33" s="718">
        <f>+'Tab. 22'!F18</f>
        <v>4240816.8262272598</v>
      </c>
      <c r="G33" s="718">
        <f>+'Tab. 22'!G18</f>
        <v>4240816.8262272598</v>
      </c>
      <c r="H33" s="718">
        <f>+'Tab. 22'!H18</f>
        <v>4321727.7862063348</v>
      </c>
      <c r="I33" s="718">
        <f>+'Tab. 22'!I18</f>
        <v>4321727.7862063348</v>
      </c>
      <c r="J33" s="718">
        <f>+'Tab. 22'!J18</f>
        <v>3556020.2281367215</v>
      </c>
      <c r="K33" s="718">
        <f>+'Tab. 22'!K18</f>
        <v>4321727.7862063348</v>
      </c>
      <c r="L33" s="718">
        <f>+'Tab. 22'!L18</f>
        <v>4240816.8262272598</v>
      </c>
      <c r="M33" s="718">
        <f>+'Tab. 22'!M18</f>
        <v>4240816.8262272598</v>
      </c>
      <c r="N33" s="718">
        <f>+'Tab. 22'!N18</f>
        <v>3564702.6364809503</v>
      </c>
      <c r="O33" s="257">
        <f t="shared" ref="O33:O34" si="9">SUM(C33:N33)</f>
        <v>49618474.495213576</v>
      </c>
    </row>
    <row r="34" spans="2:17" s="104" customFormat="1" x14ac:dyDescent="0.2">
      <c r="B34" s="160" t="s">
        <v>957</v>
      </c>
      <c r="C34" s="718">
        <f>+'Tab. 22'!C38</f>
        <v>290180.49616722704</v>
      </c>
      <c r="D34" s="718">
        <f>+'Tab. 22'!D38</f>
        <v>290861.13962506806</v>
      </c>
      <c r="E34" s="718">
        <f>+'Tab. 22'!E38</f>
        <v>299015.19786966289</v>
      </c>
      <c r="F34" s="718">
        <f>+'Tab. 22'!F38</f>
        <v>295142.63299007359</v>
      </c>
      <c r="G34" s="718">
        <f>+'Tab. 22'!G38</f>
        <v>295142.63299007359</v>
      </c>
      <c r="H34" s="718">
        <f>+'Tab. 22'!H38</f>
        <v>297078.91542986827</v>
      </c>
      <c r="I34" s="718">
        <f>+'Tab. 22'!I38</f>
        <v>297078.91542986827</v>
      </c>
      <c r="J34" s="718">
        <f>+'Tab. 22'!J38</f>
        <v>293675.69814066333</v>
      </c>
      <c r="K34" s="718">
        <f>+'Tab. 22'!K38</f>
        <v>297078.91542986827</v>
      </c>
      <c r="L34" s="718">
        <f>+'Tab. 22'!L38</f>
        <v>295142.63299007359</v>
      </c>
      <c r="M34" s="718">
        <f>+'Tab. 22'!M38</f>
        <v>295142.63299007359</v>
      </c>
      <c r="N34" s="718">
        <f>+'Tab. 22'!N38</f>
        <v>296867.61956241168</v>
      </c>
      <c r="O34" s="257">
        <f t="shared" si="9"/>
        <v>3542407.4296149318</v>
      </c>
    </row>
    <row r="35" spans="2:17" s="104" customFormat="1" x14ac:dyDescent="0.15">
      <c r="B35" s="160"/>
      <c r="O35" s="183"/>
    </row>
    <row r="36" spans="2:17" s="104" customFormat="1" ht="17" thickBot="1" x14ac:dyDescent="0.2">
      <c r="B36" s="734" t="s">
        <v>40</v>
      </c>
      <c r="C36" s="735">
        <f>+C31-C33-C34</f>
        <v>-25225.827988045639</v>
      </c>
      <c r="D36" s="735">
        <f t="shared" ref="D36:F36" si="10">+D31-D33-D34</f>
        <v>337687.02327665337</v>
      </c>
      <c r="E36" s="735">
        <f t="shared" si="10"/>
        <v>832060.45920415339</v>
      </c>
      <c r="F36" s="735">
        <f t="shared" si="10"/>
        <v>500914.69463567418</v>
      </c>
      <c r="G36" s="735">
        <f t="shared" ref="G36:O36" si="11">+G31-G33-G34</f>
        <v>500914.69463567511</v>
      </c>
      <c r="H36" s="735">
        <f t="shared" si="11"/>
        <v>666487.57691991469</v>
      </c>
      <c r="I36" s="735">
        <f t="shared" si="11"/>
        <v>666487.57691991655</v>
      </c>
      <c r="J36" s="735">
        <f t="shared" si="11"/>
        <v>-1148116.6794035684</v>
      </c>
      <c r="K36" s="735">
        <f t="shared" si="11"/>
        <v>666487.57691991469</v>
      </c>
      <c r="L36" s="735">
        <f t="shared" si="11"/>
        <v>500914.69463567605</v>
      </c>
      <c r="M36" s="735">
        <f t="shared" si="11"/>
        <v>500914.69463567418</v>
      </c>
      <c r="N36" s="735">
        <f t="shared" si="11"/>
        <v>-1179893.7660997855</v>
      </c>
      <c r="O36" s="185">
        <f t="shared" si="11"/>
        <v>2819632.7182918857</v>
      </c>
      <c r="Q36" s="718">
        <f>+O36-CE_1!G28</f>
        <v>2.2817403078079224E-8</v>
      </c>
    </row>
  </sheetData>
  <mergeCells count="1">
    <mergeCell ref="C6:O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7357-F5AA-CC46-8629-5088D4EA4119}">
  <sheetPr>
    <tabColor theme="4"/>
  </sheetPr>
  <dimension ref="B2:Q36"/>
  <sheetViews>
    <sheetView showGridLines="0" topLeftCell="A7" zoomScale="160" zoomScaleNormal="160" workbookViewId="0">
      <selection activeCell="C34" sqref="C34"/>
    </sheetView>
  </sheetViews>
  <sheetFormatPr baseColWidth="10" defaultRowHeight="16" outlineLevelRow="1" x14ac:dyDescent="0.15"/>
  <cols>
    <col min="1" max="1" width="2.5" style="84" customWidth="1"/>
    <col min="2" max="2" width="27.83203125" style="84" customWidth="1"/>
    <col min="3" max="3" width="12.1640625" style="84" customWidth="1"/>
    <col min="4" max="4" width="12.1640625" style="685" customWidth="1"/>
    <col min="5" max="5" width="13.33203125" style="84" customWidth="1"/>
    <col min="6" max="6" width="12.1640625" style="685" customWidth="1"/>
    <col min="7" max="7" width="12.1640625" style="84" customWidth="1"/>
    <col min="8" max="8" width="12.1640625" style="685" customWidth="1"/>
    <col min="9" max="14" width="12.1640625" style="84" customWidth="1"/>
    <col min="15" max="15" width="13.6640625" style="84" customWidth="1"/>
    <col min="16" max="16384" width="10.83203125" style="84"/>
  </cols>
  <sheetData>
    <row r="2" spans="2:17" x14ac:dyDescent="0.15">
      <c r="B2" s="84" t="s">
        <v>1001</v>
      </c>
    </row>
    <row r="4" spans="2:17" x14ac:dyDescent="0.15">
      <c r="B4" s="699" t="s">
        <v>963</v>
      </c>
    </row>
    <row r="5" spans="2:17" ht="17" thickBot="1" x14ac:dyDescent="0.2"/>
    <row r="6" spans="2:17" x14ac:dyDescent="0.2">
      <c r="B6" s="269"/>
      <c r="C6" s="768" t="s">
        <v>99</v>
      </c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70"/>
    </row>
    <row r="7" spans="2:17" x14ac:dyDescent="0.2">
      <c r="B7" s="270"/>
      <c r="C7" s="675" t="s">
        <v>114</v>
      </c>
      <c r="D7" s="676" t="s">
        <v>115</v>
      </c>
      <c r="E7" s="676" t="s">
        <v>116</v>
      </c>
      <c r="F7" s="676" t="s">
        <v>117</v>
      </c>
      <c r="G7" s="676" t="s">
        <v>118</v>
      </c>
      <c r="H7" s="676" t="s">
        <v>119</v>
      </c>
      <c r="I7" s="676" t="s">
        <v>120</v>
      </c>
      <c r="J7" s="676" t="s">
        <v>121</v>
      </c>
      <c r="K7" s="676" t="s">
        <v>122</v>
      </c>
      <c r="L7" s="676" t="s">
        <v>123</v>
      </c>
      <c r="M7" s="676" t="s">
        <v>124</v>
      </c>
      <c r="N7" s="676" t="s">
        <v>125</v>
      </c>
      <c r="O7" s="673" t="s">
        <v>82</v>
      </c>
    </row>
    <row r="8" spans="2:17" x14ac:dyDescent="0.2">
      <c r="B8" s="148" t="s">
        <v>37</v>
      </c>
      <c r="C8" s="639">
        <f>'Tab. 4'!C9</f>
        <v>11015187.875085792</v>
      </c>
      <c r="D8" s="91">
        <f>'Tab. 4'!D9</f>
        <v>12239097.638984215</v>
      </c>
      <c r="E8" s="91">
        <f>'Tab. 4'!E9</f>
        <v>14074962.284831846</v>
      </c>
      <c r="F8" s="91">
        <f>'Tab. 4'!F9</f>
        <v>12851052.520933423</v>
      </c>
      <c r="G8" s="91">
        <f>'Tab. 4'!G9</f>
        <v>12851052.520933423</v>
      </c>
      <c r="H8" s="91">
        <f>'Tab. 4'!H9</f>
        <v>13463007.402882634</v>
      </c>
      <c r="I8" s="91">
        <f>'Tab. 4'!I9</f>
        <v>13463007.402882634</v>
      </c>
      <c r="J8" s="91">
        <f>'Tab. 4'!J9</f>
        <v>7343458.5833905274</v>
      </c>
      <c r="K8" s="91">
        <f>'Tab. 4'!K9</f>
        <v>13463007.402882634</v>
      </c>
      <c r="L8" s="91">
        <f>'Tab. 4'!L9</f>
        <v>12851052.520933423</v>
      </c>
      <c r="M8" s="91">
        <f>'Tab. 4'!M9</f>
        <v>12851052.520933423</v>
      </c>
      <c r="N8" s="91">
        <f>'Tab. 4'!N9</f>
        <v>7343458.5833905274</v>
      </c>
      <c r="O8" s="257">
        <f>SUM(C8:N8)</f>
        <v>143809397.25806451</v>
      </c>
    </row>
    <row r="9" spans="2:17" x14ac:dyDescent="0.2">
      <c r="B9" s="280" t="s">
        <v>943</v>
      </c>
      <c r="C9" s="639">
        <f>0.2%*C8</f>
        <v>22030.375750171585</v>
      </c>
      <c r="D9" s="91">
        <f t="shared" ref="D9:N9" si="0">0.2%*D8</f>
        <v>24478.195277968429</v>
      </c>
      <c r="E9" s="91">
        <f t="shared" si="0"/>
        <v>28149.924569663694</v>
      </c>
      <c r="F9" s="91">
        <f t="shared" si="0"/>
        <v>25702.105041866846</v>
      </c>
      <c r="G9" s="91">
        <f t="shared" si="0"/>
        <v>25702.105041866846</v>
      </c>
      <c r="H9" s="91">
        <f t="shared" si="0"/>
        <v>26926.01480576527</v>
      </c>
      <c r="I9" s="91">
        <f t="shared" si="0"/>
        <v>26926.01480576527</v>
      </c>
      <c r="J9" s="91">
        <f t="shared" si="0"/>
        <v>14686.917166781055</v>
      </c>
      <c r="K9" s="91">
        <f t="shared" si="0"/>
        <v>26926.01480576527</v>
      </c>
      <c r="L9" s="91">
        <f t="shared" si="0"/>
        <v>25702.105041866846</v>
      </c>
      <c r="M9" s="91">
        <f t="shared" si="0"/>
        <v>25702.105041866846</v>
      </c>
      <c r="N9" s="91">
        <f t="shared" si="0"/>
        <v>14686.917166781055</v>
      </c>
      <c r="O9" s="257">
        <f>SUM(C9:N9)</f>
        <v>287618.79451612895</v>
      </c>
    </row>
    <row r="10" spans="2:17" x14ac:dyDescent="0.2">
      <c r="B10" s="280"/>
      <c r="C10" s="104"/>
      <c r="D10" s="104"/>
      <c r="E10" s="104"/>
      <c r="F10" s="104"/>
      <c r="G10" s="104"/>
      <c r="H10" s="104"/>
      <c r="I10" s="91"/>
      <c r="J10" s="91"/>
      <c r="K10" s="91"/>
      <c r="L10" s="91"/>
      <c r="M10" s="91"/>
      <c r="N10" s="91"/>
      <c r="O10" s="411"/>
    </row>
    <row r="11" spans="2:17" s="104" customFormat="1" x14ac:dyDescent="0.15">
      <c r="B11" s="726" t="s">
        <v>945</v>
      </c>
      <c r="C11" s="719">
        <f>+C8-C9</f>
        <v>10993157.499335621</v>
      </c>
      <c r="D11" s="719">
        <f t="shared" ref="D11:O11" si="1">+D8-D9</f>
        <v>12214619.443706246</v>
      </c>
      <c r="E11" s="719">
        <f t="shared" si="1"/>
        <v>14046812.360262182</v>
      </c>
      <c r="F11" s="719">
        <f t="shared" si="1"/>
        <v>12825350.415891556</v>
      </c>
      <c r="G11" s="719">
        <f t="shared" si="1"/>
        <v>12825350.415891556</v>
      </c>
      <c r="H11" s="719">
        <f t="shared" si="1"/>
        <v>13436081.388076868</v>
      </c>
      <c r="I11" s="719">
        <f t="shared" si="1"/>
        <v>13436081.388076868</v>
      </c>
      <c r="J11" s="719">
        <f t="shared" si="1"/>
        <v>7328771.6662237467</v>
      </c>
      <c r="K11" s="719">
        <f t="shared" si="1"/>
        <v>13436081.388076868</v>
      </c>
      <c r="L11" s="719">
        <f t="shared" si="1"/>
        <v>12825350.415891556</v>
      </c>
      <c r="M11" s="719">
        <f t="shared" si="1"/>
        <v>12825350.415891556</v>
      </c>
      <c r="N11" s="719">
        <f t="shared" si="1"/>
        <v>7328771.6662237467</v>
      </c>
      <c r="O11" s="727">
        <f t="shared" si="1"/>
        <v>143521778.46354839</v>
      </c>
    </row>
    <row r="12" spans="2:17" s="104" customFormat="1" x14ac:dyDescent="0.15">
      <c r="B12" s="160"/>
      <c r="O12" s="183"/>
    </row>
    <row r="13" spans="2:17" s="722" customFormat="1" hidden="1" outlineLevel="1" x14ac:dyDescent="0.2">
      <c r="B13" s="728" t="s">
        <v>986</v>
      </c>
      <c r="C13" s="723">
        <f>'Tab. 8'!C60</f>
        <v>6454699.5822317349</v>
      </c>
      <c r="D13" s="723">
        <f>'Tab. 8'!D60</f>
        <v>7286215.4702423373</v>
      </c>
      <c r="E13" s="723">
        <f>'Tab. 8'!E60</f>
        <v>8050730.4987207949</v>
      </c>
      <c r="F13" s="723">
        <f>'Tab. 8'!F60</f>
        <v>7442361.3877202207</v>
      </c>
      <c r="G13" s="723">
        <f>'Tab. 8'!G60</f>
        <v>7303495.0472512832</v>
      </c>
      <c r="H13" s="723">
        <f>'Tab. 8'!H60</f>
        <v>7853833.9722076589</v>
      </c>
      <c r="I13" s="723">
        <f>'Tab. 8'!I60</f>
        <v>6919460.8738672333</v>
      </c>
      <c r="J13" s="723">
        <f>'Tab. 8'!J60</f>
        <v>4321654.7706176294</v>
      </c>
      <c r="K13" s="723">
        <f>'Tab. 8'!K60</f>
        <v>7266433.1549180066</v>
      </c>
      <c r="L13" s="723">
        <f>'Tab. 8'!L60</f>
        <v>6680209.5955895483</v>
      </c>
      <c r="M13" s="723">
        <f>'Tab. 8'!M60</f>
        <v>7481487.5450570211</v>
      </c>
      <c r="N13" s="723">
        <f>'Tab. 8'!N60</f>
        <v>3418990.3838723521</v>
      </c>
      <c r="O13" s="729">
        <f t="shared" ref="O13:O14" si="2">SUM(C13:N13)</f>
        <v>80479572.282295808</v>
      </c>
    </row>
    <row r="14" spans="2:17" s="722" customFormat="1" hidden="1" outlineLevel="1" x14ac:dyDescent="0.2">
      <c r="B14" s="730" t="s">
        <v>987</v>
      </c>
      <c r="C14" s="723">
        <f>-('Tab. 8'!C61-'Tab. 8'!C58)</f>
        <v>273.40703313890845</v>
      </c>
      <c r="D14" s="723">
        <f>-('Tab. 8'!D61-'Tab. 8'!D58)</f>
        <v>-41595.950580567122</v>
      </c>
      <c r="E14" s="723">
        <f>-('Tab. 8'!E61-'Tab. 8'!E58)</f>
        <v>20529.481588881463</v>
      </c>
      <c r="F14" s="723">
        <f>-('Tab. 8'!F61-'Tab. 8'!F58)</f>
        <v>33545.542596843094</v>
      </c>
      <c r="G14" s="723">
        <f>-('Tab. 8'!G61-'Tab. 8'!G58)</f>
        <v>-95192.140212764964</v>
      </c>
      <c r="H14" s="723">
        <f>-('Tab. 8'!H61-'Tab. 8'!H58)</f>
        <v>62306.89361702092</v>
      </c>
      <c r="I14" s="723">
        <f>-('Tab. 8'!I61-'Tab. 8'!I58)</f>
        <v>40132.735957446508</v>
      </c>
      <c r="J14" s="723">
        <f>-('Tab. 8'!J61-'Tab. 8'!J58)</f>
        <v>-3759.7528950758278</v>
      </c>
      <c r="K14" s="723">
        <f>-('Tab. 8'!K61-'Tab. 8'!K58)</f>
        <v>-63821.493700668216</v>
      </c>
      <c r="L14" s="723">
        <f>-('Tab. 8'!L61-'Tab. 8'!L58)</f>
        <v>-7247.4893617015332</v>
      </c>
      <c r="M14" s="723">
        <f>-('Tab. 8'!M61-'Tab. 8'!M58)</f>
        <v>74828.735957447439</v>
      </c>
      <c r="N14" s="723">
        <f>-('Tab. 8'!N61-'Tab. 8'!N58)</f>
        <v>-57642.622149799019</v>
      </c>
      <c r="O14" s="729">
        <f t="shared" si="2"/>
        <v>-37642.652149798349</v>
      </c>
    </row>
    <row r="15" spans="2:17" s="722" customFormat="1" hidden="1" outlineLevel="1" x14ac:dyDescent="0.15">
      <c r="B15" s="731" t="s">
        <v>43</v>
      </c>
      <c r="C15" s="724">
        <f>SUM(C13:C14)</f>
        <v>6454972.9892648738</v>
      </c>
      <c r="D15" s="724">
        <f>SUM(D13:D14)</f>
        <v>7244619.5196617702</v>
      </c>
      <c r="E15" s="724">
        <f t="shared" ref="E15:O15" si="3">SUM(E13:E14)</f>
        <v>8071259.9803096764</v>
      </c>
      <c r="F15" s="724">
        <f t="shared" si="3"/>
        <v>7475906.9303170638</v>
      </c>
      <c r="G15" s="724">
        <f t="shared" si="3"/>
        <v>7208302.9070385182</v>
      </c>
      <c r="H15" s="724">
        <f t="shared" si="3"/>
        <v>7916140.8658246798</v>
      </c>
      <c r="I15" s="724">
        <f t="shared" si="3"/>
        <v>6959593.6098246798</v>
      </c>
      <c r="J15" s="724">
        <f t="shared" si="3"/>
        <v>4317895.0177225536</v>
      </c>
      <c r="K15" s="724">
        <f t="shared" si="3"/>
        <v>7202611.6612173384</v>
      </c>
      <c r="L15" s="724">
        <f t="shared" si="3"/>
        <v>6672962.1062278468</v>
      </c>
      <c r="M15" s="724">
        <f t="shared" si="3"/>
        <v>7556316.2810144685</v>
      </c>
      <c r="N15" s="724">
        <f t="shared" si="3"/>
        <v>3361347.7617225531</v>
      </c>
      <c r="O15" s="732">
        <f t="shared" si="3"/>
        <v>80441929.630146012</v>
      </c>
      <c r="Q15" s="725">
        <f>+O15-'Tab. 8'!O59</f>
        <v>0</v>
      </c>
    </row>
    <row r="16" spans="2:17" s="722" customFormat="1" hidden="1" outlineLevel="1" x14ac:dyDescent="0.2">
      <c r="B16" s="728" t="s">
        <v>979</v>
      </c>
      <c r="C16" s="723">
        <f>'Tab. 16'!$C$9*'Tab 5'!C$15+'Tab. 16'!$C$13*'Tab 5'!C$28</f>
        <v>285660.3832344783</v>
      </c>
      <c r="D16" s="723">
        <f>'Tab. 16'!$C$9*'Tab 5'!D$15+'Tab. 16'!$C$13*'Tab 5'!D$28</f>
        <v>320439.19290976413</v>
      </c>
      <c r="E16" s="723">
        <f>'Tab. 16'!$C$9*'Tab 5'!E$15+'Tab. 16'!$C$13*'Tab 5'!E$28</f>
        <v>356868.45209547813</v>
      </c>
      <c r="F16" s="723">
        <f>'Tab. 16'!$C$9*'Tab 5'!F$15+'Tab. 16'!$C$13*'Tab 5'!F$28</f>
        <v>330701.01013109658</v>
      </c>
      <c r="G16" s="723">
        <f>'Tab. 16'!$C$9*'Tab 5'!G$15+'Tab. 16'!$C$13*'Tab 5'!G$28</f>
        <v>318175.40590598062</v>
      </c>
      <c r="H16" s="723">
        <f>'Tab. 16'!$C$9*'Tab 5'!H$15+'Tab. 16'!$C$13*'Tab 5'!H$28</f>
        <v>350391.57932502101</v>
      </c>
      <c r="I16" s="723">
        <f>'Tab. 16'!$C$9*'Tab 5'!I$15+'Tab. 16'!$C$13*'Tab 5'!I$28</f>
        <v>308051.99626178574</v>
      </c>
      <c r="J16" s="723">
        <f>'Tab. 16'!$C$9*'Tab 5'!J$15+'Tab. 16'!$C$13*'Tab 5'!J$28</f>
        <v>191122.67963182964</v>
      </c>
      <c r="K16" s="723">
        <f>'Tab. 16'!$C$9*'Tab 5'!K$15+'Tab. 16'!$C$13*'Tab 5'!K$28</f>
        <v>318197.65065562911</v>
      </c>
      <c r="L16" s="723">
        <f>'Tab. 16'!$C$9*'Tab 5'!L$15+'Tab. 16'!$C$13*'Tab 5'!L$28</f>
        <v>295638.78747611988</v>
      </c>
      <c r="M16" s="723">
        <f>'Tab. 16'!$C$9*'Tab 5'!M$15+'Tab. 16'!$C$13*'Tab 5'!M$28</f>
        <v>334464.68935570185</v>
      </c>
      <c r="N16" s="723">
        <f>'Tab. 16'!$C$9*'Tab 5'!N$15+'Tab. 16'!$C$13*'Tab 5'!N$28</f>
        <v>148783.0965685944</v>
      </c>
      <c r="O16" s="729">
        <f>SUM(C16:N16)</f>
        <v>3558494.9235514794</v>
      </c>
    </row>
    <row r="17" spans="2:17" s="722" customFormat="1" hidden="1" outlineLevel="1" x14ac:dyDescent="0.15">
      <c r="B17" s="731" t="s">
        <v>972</v>
      </c>
      <c r="C17" s="724">
        <f t="shared" ref="C17:O17" si="4">SUM(C15:C16)</f>
        <v>6740633.3724993523</v>
      </c>
      <c r="D17" s="724">
        <f t="shared" si="4"/>
        <v>7565058.7125715343</v>
      </c>
      <c r="E17" s="724">
        <f t="shared" si="4"/>
        <v>8428128.4324051552</v>
      </c>
      <c r="F17" s="724">
        <f t="shared" si="4"/>
        <v>7806607.9404481603</v>
      </c>
      <c r="G17" s="724">
        <f t="shared" si="4"/>
        <v>7526478.3129444988</v>
      </c>
      <c r="H17" s="724">
        <f t="shared" si="4"/>
        <v>8266532.4451497011</v>
      </c>
      <c r="I17" s="724">
        <f t="shared" si="4"/>
        <v>7267645.6060864655</v>
      </c>
      <c r="J17" s="724">
        <f t="shared" si="4"/>
        <v>4509017.6973543828</v>
      </c>
      <c r="K17" s="724">
        <f t="shared" si="4"/>
        <v>7520809.3118729675</v>
      </c>
      <c r="L17" s="724">
        <f t="shared" si="4"/>
        <v>6968600.8937039664</v>
      </c>
      <c r="M17" s="724">
        <f t="shared" si="4"/>
        <v>7890780.9703701707</v>
      </c>
      <c r="N17" s="724">
        <f t="shared" si="4"/>
        <v>3510130.8582911473</v>
      </c>
      <c r="O17" s="732">
        <f t="shared" si="4"/>
        <v>84000424.553697497</v>
      </c>
    </row>
    <row r="18" spans="2:17" s="722" customFormat="1" hidden="1" outlineLevel="1" x14ac:dyDescent="0.2">
      <c r="B18" s="730" t="s">
        <v>985</v>
      </c>
      <c r="C18" s="723">
        <f>-('Tab. 23'!C46-'Tab. 23'!C43)</f>
        <v>-169971.80734109879</v>
      </c>
      <c r="D18" s="723">
        <f>-('Tab. 23'!D46-'Tab. 23'!D43)</f>
        <v>-264323.64017347805</v>
      </c>
      <c r="E18" s="723">
        <f>-('Tab. 23'!E46-'Tab. 23'!E43)</f>
        <v>-32283.099147386849</v>
      </c>
      <c r="F18" s="723">
        <f>-('Tab. 23'!F46-'Tab. 23'!F43)</f>
        <v>-140836.11443019658</v>
      </c>
      <c r="G18" s="723">
        <f>-('Tab. 23'!G46-'Tab. 23'!G43)</f>
        <v>139293.51307346299</v>
      </c>
      <c r="H18" s="723">
        <f>-('Tab. 23'!H46-'Tab. 23'!H43)</f>
        <v>-235723.86551183835</v>
      </c>
      <c r="I18" s="723">
        <f>-('Tab. 23'!I46-'Tab. 23'!I43)</f>
        <v>763162.97355140001</v>
      </c>
      <c r="J18" s="723">
        <f>-('Tab. 23'!J46-'Tab. 23'!J43)</f>
        <v>-128576.65391554683</v>
      </c>
      <c r="K18" s="723">
        <f>-('Tab. 23'!K46-'Tab. 23'!K43)</f>
        <v>509999.26776489802</v>
      </c>
      <c r="L18" s="723">
        <f>-('Tab. 23'!L46-'Tab. 23'!L43)</f>
        <v>697170.93231399544</v>
      </c>
      <c r="M18" s="723">
        <f>-('Tab. 23'!M46-'Tab. 23'!M43)</f>
        <v>-225009.14435220882</v>
      </c>
      <c r="N18" s="723">
        <f>-('Tab. 23'!N46-'Tab. 23'!N43)</f>
        <v>870310.18514768966</v>
      </c>
      <c r="O18" s="729">
        <f>SUM(C18:N18)</f>
        <v>1783212.5469796918</v>
      </c>
    </row>
    <row r="19" spans="2:17" s="104" customFormat="1" collapsed="1" x14ac:dyDescent="0.15">
      <c r="B19" s="148" t="s">
        <v>938</v>
      </c>
      <c r="C19" s="720">
        <f>SUM(C17:C18)</f>
        <v>6570661.5651582535</v>
      </c>
      <c r="D19" s="720">
        <f t="shared" ref="D19:O19" si="5">SUM(D17:D18)</f>
        <v>7300735.0723980563</v>
      </c>
      <c r="E19" s="720">
        <f t="shared" si="5"/>
        <v>8395845.3332577683</v>
      </c>
      <c r="F19" s="720">
        <f t="shared" si="5"/>
        <v>7665771.8260179637</v>
      </c>
      <c r="G19" s="720">
        <f t="shared" si="5"/>
        <v>7665771.8260179618</v>
      </c>
      <c r="H19" s="720">
        <f t="shared" si="5"/>
        <v>8030808.5796378627</v>
      </c>
      <c r="I19" s="720">
        <f t="shared" si="5"/>
        <v>8030808.5796378655</v>
      </c>
      <c r="J19" s="720">
        <f t="shared" si="5"/>
        <v>4380441.043438836</v>
      </c>
      <c r="K19" s="720">
        <f t="shared" si="5"/>
        <v>8030808.5796378655</v>
      </c>
      <c r="L19" s="720">
        <f t="shared" si="5"/>
        <v>7665771.8260179618</v>
      </c>
      <c r="M19" s="720">
        <f t="shared" si="5"/>
        <v>7665771.8260179618</v>
      </c>
      <c r="N19" s="720">
        <f t="shared" si="5"/>
        <v>4380441.0434388369</v>
      </c>
      <c r="O19" s="733">
        <f t="shared" si="5"/>
        <v>85783637.100677192</v>
      </c>
      <c r="Q19" s="718">
        <f>+O19-CE_2!G13</f>
        <v>0</v>
      </c>
    </row>
    <row r="20" spans="2:17" s="104" customFormat="1" x14ac:dyDescent="0.15">
      <c r="B20" s="160"/>
      <c r="O20" s="183"/>
    </row>
    <row r="21" spans="2:17" s="104" customFormat="1" x14ac:dyDescent="0.15">
      <c r="B21" s="726" t="s">
        <v>939</v>
      </c>
      <c r="C21" s="719">
        <f t="shared" ref="C21:O21" si="6">+C11-C19</f>
        <v>4422495.934177367</v>
      </c>
      <c r="D21" s="719">
        <f t="shared" si="6"/>
        <v>4913884.3713081898</v>
      </c>
      <c r="E21" s="719">
        <f t="shared" si="6"/>
        <v>5650967.0270044133</v>
      </c>
      <c r="F21" s="719">
        <f t="shared" si="6"/>
        <v>5159578.5898735924</v>
      </c>
      <c r="G21" s="719">
        <f t="shared" si="6"/>
        <v>5159578.5898735942</v>
      </c>
      <c r="H21" s="719">
        <f t="shared" si="6"/>
        <v>5405272.8084390052</v>
      </c>
      <c r="I21" s="719">
        <f t="shared" si="6"/>
        <v>5405272.8084390024</v>
      </c>
      <c r="J21" s="719">
        <f t="shared" si="6"/>
        <v>2948330.6227849107</v>
      </c>
      <c r="K21" s="719">
        <f t="shared" si="6"/>
        <v>5405272.8084390024</v>
      </c>
      <c r="L21" s="719">
        <f t="shared" si="6"/>
        <v>5159578.5898735942</v>
      </c>
      <c r="M21" s="719">
        <f t="shared" si="6"/>
        <v>5159578.5898735942</v>
      </c>
      <c r="N21" s="719">
        <f t="shared" si="6"/>
        <v>2948330.6227849098</v>
      </c>
      <c r="O21" s="727">
        <f t="shared" si="6"/>
        <v>57738141.3628712</v>
      </c>
    </row>
    <row r="22" spans="2:17" s="104" customFormat="1" x14ac:dyDescent="0.15">
      <c r="B22" s="160"/>
      <c r="O22" s="183"/>
    </row>
    <row r="23" spans="2:17" s="104" customFormat="1" x14ac:dyDescent="0.2">
      <c r="B23" s="160" t="s">
        <v>994</v>
      </c>
      <c r="C23" s="639">
        <f>'Tab. 12'!C28*'Tab. 16'!$C$22+'Tab. 12'!C58*'Tab. 16'!$D$22+'Tab. 13'!C27*'Tab. 16'!$C$35+'Tab. 13'!C49*'Tab. 16'!$D$35</f>
        <v>18900.826921835367</v>
      </c>
      <c r="D23" s="639">
        <f>'Tab. 12'!D28*'Tab. 16'!$C$22+'Tab. 12'!D58*'Tab. 16'!$D$22+'Tab. 13'!D27*'Tab. 16'!$C$35+'Tab. 13'!D49*'Tab. 16'!$D$35</f>
        <v>22518.295370514097</v>
      </c>
      <c r="E23" s="639">
        <f>'Tab. 12'!E28*'Tab. 16'!$C$22+'Tab. 12'!E58*'Tab. 16'!$D$22+'Tab. 13'!E27*'Tab. 16'!$C$35+'Tab. 13'!E49*'Tab. 16'!$D$35</f>
        <v>33974.095744419094</v>
      </c>
      <c r="F23" s="639">
        <f>'Tab. 12'!F28*'Tab. 16'!$C$22+'Tab. 12'!F58*'Tab. 16'!$D$22+'Tab. 13'!F27*'Tab. 16'!$C$35+'Tab. 13'!F49*'Tab. 16'!$D$35</f>
        <v>25629.002635367266</v>
      </c>
      <c r="G23" s="639">
        <f>'Tab. 12'!G28*'Tab. 16'!$C$22+'Tab. 12'!G58*'Tab. 16'!$D$22+'Tab. 13'!G27*'Tab. 16'!$C$35+'Tab. 13'!G49*'Tab. 16'!$D$35</f>
        <v>38154.606860483153</v>
      </c>
      <c r="H23" s="639">
        <f>'Tab. 12'!H28*'Tab. 16'!$C$22+'Tab. 12'!H58*'Tab. 16'!$D$22+'Tab. 13'!H27*'Tab. 16'!$C$35+'Tab. 13'!H49*'Tab. 16'!$D$35</f>
        <v>23194.700978159788</v>
      </c>
      <c r="I23" s="639">
        <f>'Tab. 12'!I28*'Tab. 16'!$C$22+'Tab. 12'!I58*'Tab. 16'!$D$22+'Tab. 13'!I27*'Tab. 16'!$C$35+'Tab. 13'!I49*'Tab. 16'!$D$35</f>
        <v>20619.12121261414</v>
      </c>
      <c r="J23" s="639">
        <f>'Tab. 12'!J28*'Tab. 16'!$C$22+'Tab. 12'!J58*'Tab. 16'!$D$22+'Tab. 13'!J27*'Tab. 16'!$C$35+'Tab. 13'!J49*'Tab. 16'!$D$35</f>
        <v>9900.925304183751</v>
      </c>
      <c r="K23" s="639">
        <f>'Tab. 12'!K28*'Tab. 16'!$C$22+'Tab. 12'!K58*'Tab. 16'!$D$22+'Tab. 13'!K27*'Tab. 16'!$C$35+'Tab. 13'!K49*'Tab. 16'!$D$35</f>
        <v>55388.629647551381</v>
      </c>
      <c r="L23" s="639">
        <f>'Tab. 12'!L28*'Tab. 16'!$C$22+'Tab. 12'!L58*'Tab. 16'!$D$22+'Tab. 13'!L27*'Tab. 16'!$C$35+'Tab. 13'!L49*'Tab. 16'!$D$35</f>
        <v>60691.225290343908</v>
      </c>
      <c r="M23" s="639">
        <f>'Tab. 12'!M28*'Tab. 16'!$C$22+'Tab. 12'!M58*'Tab. 16'!$D$22+'Tab. 13'!M27*'Tab. 16'!$C$35+'Tab. 13'!M49*'Tab. 16'!$D$35</f>
        <v>21865.323410761928</v>
      </c>
      <c r="N23" s="639">
        <f>'Tab. 12'!N28*'Tab. 16'!$C$22+'Tab. 12'!N58*'Tab. 16'!$D$22+'Tab. 13'!N27*'Tab. 16'!$C$35+'Tab. 13'!N49*'Tab. 16'!$D$35</f>
        <v>7325.3455386383821</v>
      </c>
      <c r="O23" s="257">
        <f>SUM(C23:N23)</f>
        <v>338162.09891487227</v>
      </c>
      <c r="Q23" s="718">
        <f>+O23-CE_2!G17</f>
        <v>0</v>
      </c>
    </row>
    <row r="24" spans="2:17" s="104" customFormat="1" x14ac:dyDescent="0.15">
      <c r="B24" s="160"/>
      <c r="O24" s="183"/>
    </row>
    <row r="25" spans="2:17" s="104" customFormat="1" x14ac:dyDescent="0.15">
      <c r="B25" s="726" t="s">
        <v>946</v>
      </c>
      <c r="C25" s="719">
        <f>+C21-C23</f>
        <v>4403595.1072555315</v>
      </c>
      <c r="D25" s="719">
        <f t="shared" ref="D25:O25" si="7">+D21-D23</f>
        <v>4891366.0759376753</v>
      </c>
      <c r="E25" s="719">
        <f t="shared" si="7"/>
        <v>5616992.9312599944</v>
      </c>
      <c r="F25" s="719">
        <f t="shared" si="7"/>
        <v>5133949.5872382252</v>
      </c>
      <c r="G25" s="719">
        <f t="shared" si="7"/>
        <v>5121423.9830131112</v>
      </c>
      <c r="H25" s="719">
        <f t="shared" si="7"/>
        <v>5382078.1074608453</v>
      </c>
      <c r="I25" s="719">
        <f t="shared" si="7"/>
        <v>5384653.6872263886</v>
      </c>
      <c r="J25" s="719">
        <f t="shared" si="7"/>
        <v>2938429.697480727</v>
      </c>
      <c r="K25" s="719">
        <f t="shared" si="7"/>
        <v>5349884.1787914513</v>
      </c>
      <c r="L25" s="719">
        <f t="shared" si="7"/>
        <v>5098887.3645832501</v>
      </c>
      <c r="M25" s="719">
        <f t="shared" si="7"/>
        <v>5137713.2664628327</v>
      </c>
      <c r="N25" s="719">
        <f t="shared" si="7"/>
        <v>2941005.2772462713</v>
      </c>
      <c r="O25" s="727">
        <f t="shared" si="7"/>
        <v>57399979.263956331</v>
      </c>
      <c r="Q25" s="718">
        <f>+O25-CE_2!G19</f>
        <v>0</v>
      </c>
    </row>
    <row r="26" spans="2:17" s="104" customFormat="1" x14ac:dyDescent="0.15">
      <c r="B26" s="163"/>
      <c r="C26" s="717"/>
      <c r="D26" s="717"/>
      <c r="E26" s="717"/>
      <c r="O26" s="183"/>
    </row>
    <row r="27" spans="2:17" s="104" customFormat="1" x14ac:dyDescent="0.2">
      <c r="B27" s="160" t="s">
        <v>734</v>
      </c>
      <c r="C27" s="718">
        <f>CE_1_mens!C16</f>
        <v>24069.280887603694</v>
      </c>
      <c r="D27" s="718">
        <f>CE_1_mens!D16</f>
        <v>27019.438382221684</v>
      </c>
      <c r="E27" s="718">
        <f>CE_1_mens!E16</f>
        <v>30107.080879598521</v>
      </c>
      <c r="F27" s="718">
        <f>CE_1_mens!F16</f>
        <v>27880.955522330034</v>
      </c>
      <c r="G27" s="718">
        <f>CE_1_mens!G16</f>
        <v>26906.609841038528</v>
      </c>
      <c r="H27" s="718">
        <f>CE_1_mens!H16</f>
        <v>29515.331788074895</v>
      </c>
      <c r="I27" s="718">
        <f>CE_1_mens!I16</f>
        <v>25948.845275221334</v>
      </c>
      <c r="J27" s="718">
        <f>CE_1_mens!J16</f>
        <v>16099.271884404488</v>
      </c>
      <c r="K27" s="718">
        <f>CE_1_mens!K16</f>
        <v>26875.958657003317</v>
      </c>
      <c r="L27" s="718">
        <f>CE_1_mens!L16</f>
        <v>24870.715713244732</v>
      </c>
      <c r="M27" s="718">
        <f>CE_1_mens!M16</f>
        <v>28173.725797707855</v>
      </c>
      <c r="N27" s="718">
        <f>CE_1_mens!N16</f>
        <v>12532.78537155093</v>
      </c>
      <c r="O27" s="257">
        <f>SUM(C27:N27)</f>
        <v>300000.00000000006</v>
      </c>
    </row>
    <row r="28" spans="2:17" s="104" customFormat="1" x14ac:dyDescent="0.2">
      <c r="B28" s="160" t="s">
        <v>992</v>
      </c>
      <c r="C28" s="718">
        <f>'Tab. 17'!$E$24/'Tab. 11'!$O$8*'Tab. 11'!C8</f>
        <v>26636.831373303263</v>
      </c>
      <c r="D28" s="718">
        <f>'Tab. 17'!$E$24/'Tab. 11'!$O$8*'Tab. 11'!D8</f>
        <v>29596.479303670294</v>
      </c>
      <c r="E28" s="718">
        <f>'Tab. 17'!$E$24/'Tab. 11'!$O$8*'Tab. 11'!E8</f>
        <v>34035.951199220835</v>
      </c>
      <c r="F28" s="718">
        <f>'Tab. 17'!$E$24/'Tab. 11'!$O$8*'Tab. 11'!F8</f>
        <v>31076.303268853808</v>
      </c>
      <c r="G28" s="718">
        <f>'Tab. 17'!$E$24/'Tab. 11'!$O$8*'Tab. 11'!G8</f>
        <v>31076.303268853808</v>
      </c>
      <c r="H28" s="718">
        <f>'Tab. 17'!$E$24/'Tab. 11'!$O$8*'Tab. 11'!H8</f>
        <v>32556.127234037325</v>
      </c>
      <c r="I28" s="718">
        <f>'Tab. 17'!$E$24/'Tab. 11'!$O$8*'Tab. 11'!I8</f>
        <v>32556.127234037325</v>
      </c>
      <c r="J28" s="718">
        <f>'Tab. 17'!$E$24/'Tab. 11'!$O$8*'Tab. 11'!J8</f>
        <v>17757.887582202176</v>
      </c>
      <c r="K28" s="718">
        <f>'Tab. 17'!$E$24/'Tab. 11'!$O$8*'Tab. 11'!K8</f>
        <v>32556.127234037325</v>
      </c>
      <c r="L28" s="718">
        <f>'Tab. 17'!$E$24/'Tab. 11'!$O$8*'Tab. 11'!L8</f>
        <v>31076.303268853808</v>
      </c>
      <c r="M28" s="718">
        <f>'Tab. 17'!$E$24/'Tab. 11'!$O$8*'Tab. 11'!M8</f>
        <v>31076.303268853808</v>
      </c>
      <c r="N28" s="718">
        <f>'Tab. 17'!$E$24/'Tab. 11'!$O$8*'Tab. 11'!N8</f>
        <v>17757.887582202176</v>
      </c>
      <c r="O28" s="257">
        <f>SUM(C28:N28)</f>
        <v>347758.6318181259</v>
      </c>
    </row>
    <row r="29" spans="2:17" s="104" customFormat="1" x14ac:dyDescent="0.2">
      <c r="B29" s="160" t="s">
        <v>993</v>
      </c>
      <c r="C29" s="718">
        <f>('Tab. 15'!$G$28+'Tab. 15'!$H$28)/12</f>
        <v>70010.964912280702</v>
      </c>
      <c r="D29" s="718">
        <f>('Tab. 15'!$G$28+'Tab. 15'!$H$28)/12</f>
        <v>70010.964912280702</v>
      </c>
      <c r="E29" s="718">
        <f>('Tab. 15'!$G$28+'Tab. 15'!$H$28)/12</f>
        <v>70010.964912280702</v>
      </c>
      <c r="F29" s="718">
        <f>('Tab. 15'!$G$28+'Tab. 15'!$H$28)/12</f>
        <v>70010.964912280702</v>
      </c>
      <c r="G29" s="718">
        <f>('Tab. 15'!$G$28+'Tab. 15'!$H$28)/12</f>
        <v>70010.964912280702</v>
      </c>
      <c r="H29" s="718">
        <f>('Tab. 15'!$G$28+'Tab. 15'!$H$28)/12</f>
        <v>70010.964912280702</v>
      </c>
      <c r="I29" s="718">
        <f>('Tab. 15'!$G$28+'Tab. 15'!$H$28)/12</f>
        <v>70010.964912280702</v>
      </c>
      <c r="J29" s="718">
        <f>('Tab. 15'!$G$28+'Tab. 15'!$H$28)/12</f>
        <v>70010.964912280702</v>
      </c>
      <c r="K29" s="718">
        <f>('Tab. 15'!$G$28+'Tab. 15'!$H$28)/12</f>
        <v>70010.964912280702</v>
      </c>
      <c r="L29" s="718">
        <f>('Tab. 15'!$G$28+'Tab. 15'!$H$28)/12</f>
        <v>70010.964912280702</v>
      </c>
      <c r="M29" s="718">
        <f>('Tab. 15'!$G$28+'Tab. 15'!$H$28)/12</f>
        <v>70010.964912280702</v>
      </c>
      <c r="N29" s="718">
        <f>('Tab. 15'!$G$28+'Tab. 15'!$H$28)/12</f>
        <v>70010.964912280702</v>
      </c>
      <c r="O29" s="257">
        <f>SUM(C29:N29)</f>
        <v>840131.57894736819</v>
      </c>
    </row>
    <row r="30" spans="2:17" s="104" customFormat="1" x14ac:dyDescent="0.15">
      <c r="B30" s="163"/>
      <c r="C30" s="717"/>
      <c r="D30" s="717"/>
      <c r="E30" s="717"/>
      <c r="O30" s="183"/>
    </row>
    <row r="31" spans="2:17" s="104" customFormat="1" x14ac:dyDescent="0.15">
      <c r="B31" s="726" t="s">
        <v>949</v>
      </c>
      <c r="C31" s="719">
        <f>+C25-C27-C28-C29</f>
        <v>4282878.0300823441</v>
      </c>
      <c r="D31" s="719">
        <f t="shared" ref="D31:O31" si="8">+D25-D27-D28-D29</f>
        <v>4764739.1933395034</v>
      </c>
      <c r="E31" s="719">
        <f t="shared" si="8"/>
        <v>5482838.9342688946</v>
      </c>
      <c r="F31" s="719">
        <f t="shared" si="8"/>
        <v>5004981.3635347607</v>
      </c>
      <c r="G31" s="719">
        <f t="shared" si="8"/>
        <v>4993430.1049909387</v>
      </c>
      <c r="H31" s="719">
        <f t="shared" si="8"/>
        <v>5249995.6835264526</v>
      </c>
      <c r="I31" s="719">
        <f t="shared" si="8"/>
        <v>5256137.7498048497</v>
      </c>
      <c r="J31" s="719">
        <f t="shared" si="8"/>
        <v>2834561.5731018395</v>
      </c>
      <c r="K31" s="719">
        <f t="shared" si="8"/>
        <v>5220441.1279881308</v>
      </c>
      <c r="L31" s="719">
        <f t="shared" si="8"/>
        <v>4972929.3806888713</v>
      </c>
      <c r="M31" s="719">
        <f t="shared" si="8"/>
        <v>5008452.2724839905</v>
      </c>
      <c r="N31" s="719">
        <f t="shared" si="8"/>
        <v>2840703.6393802376</v>
      </c>
      <c r="O31" s="727">
        <f t="shared" si="8"/>
        <v>55912089.053190842</v>
      </c>
      <c r="Q31" s="718">
        <f>+O31-CE_2!G23</f>
        <v>0</v>
      </c>
    </row>
    <row r="32" spans="2:17" s="104" customFormat="1" x14ac:dyDescent="0.15">
      <c r="B32" s="160"/>
      <c r="O32" s="183"/>
    </row>
    <row r="33" spans="2:17" s="104" customFormat="1" x14ac:dyDescent="0.2">
      <c r="B33" s="160" t="s">
        <v>942</v>
      </c>
      <c r="C33" s="718">
        <f>+'Tab. 22'!C18</f>
        <v>4006756.3546342608</v>
      </c>
      <c r="D33" s="718">
        <f>+'Tab. 22'!D18</f>
        <v>4159905.8662481834</v>
      </c>
      <c r="E33" s="718">
        <f>+'Tab. 22'!E18</f>
        <v>4402638.7461854108</v>
      </c>
      <c r="F33" s="718">
        <f>+'Tab. 22'!F18</f>
        <v>4240816.8262272598</v>
      </c>
      <c r="G33" s="718">
        <f>+'Tab. 22'!G18</f>
        <v>4240816.8262272598</v>
      </c>
      <c r="H33" s="718">
        <f>+'Tab. 22'!H18</f>
        <v>4321727.7862063348</v>
      </c>
      <c r="I33" s="718">
        <f>+'Tab. 22'!I18</f>
        <v>4321727.7862063348</v>
      </c>
      <c r="J33" s="718">
        <f>+'Tab. 22'!J18</f>
        <v>3556020.2281367215</v>
      </c>
      <c r="K33" s="718">
        <f>+'Tab. 22'!K18</f>
        <v>4321727.7862063348</v>
      </c>
      <c r="L33" s="718">
        <f>+'Tab. 22'!L18</f>
        <v>4240816.8262272598</v>
      </c>
      <c r="M33" s="718">
        <f>+'Tab. 22'!M18</f>
        <v>4240816.8262272598</v>
      </c>
      <c r="N33" s="718">
        <f>+'Tab. 22'!N18</f>
        <v>3564702.6364809503</v>
      </c>
      <c r="O33" s="257">
        <f t="shared" ref="O33:O34" si="9">SUM(C33:N33)</f>
        <v>49618474.495213576</v>
      </c>
    </row>
    <row r="34" spans="2:17" s="104" customFormat="1" x14ac:dyDescent="0.2">
      <c r="B34" s="160" t="s">
        <v>957</v>
      </c>
      <c r="C34" s="718">
        <f>+'Tab. 22'!C38</f>
        <v>290180.49616722704</v>
      </c>
      <c r="D34" s="718">
        <f>+'Tab. 22'!D38</f>
        <v>290861.13962506806</v>
      </c>
      <c r="E34" s="718">
        <f>+'Tab. 22'!E38</f>
        <v>299015.19786966289</v>
      </c>
      <c r="F34" s="718">
        <f>+'Tab. 22'!F38</f>
        <v>295142.63299007359</v>
      </c>
      <c r="G34" s="718">
        <f>+'Tab. 22'!G38</f>
        <v>295142.63299007359</v>
      </c>
      <c r="H34" s="718">
        <f>+'Tab. 22'!H38</f>
        <v>297078.91542986827</v>
      </c>
      <c r="I34" s="718">
        <f>+'Tab. 22'!I38</f>
        <v>297078.91542986827</v>
      </c>
      <c r="J34" s="718">
        <f>+'Tab. 22'!J38</f>
        <v>293675.69814066333</v>
      </c>
      <c r="K34" s="718">
        <f>+'Tab. 22'!K38</f>
        <v>297078.91542986827</v>
      </c>
      <c r="L34" s="718">
        <f>+'Tab. 22'!L38</f>
        <v>295142.63299007359</v>
      </c>
      <c r="M34" s="718">
        <f>+'Tab. 22'!M38</f>
        <v>295142.63299007359</v>
      </c>
      <c r="N34" s="718">
        <f>+'Tab. 22'!N38</f>
        <v>296867.61956241168</v>
      </c>
      <c r="O34" s="257">
        <f t="shared" si="9"/>
        <v>3542407.4296149318</v>
      </c>
    </row>
    <row r="35" spans="2:17" s="104" customFormat="1" x14ac:dyDescent="0.15">
      <c r="B35" s="160"/>
      <c r="O35" s="183"/>
    </row>
    <row r="36" spans="2:17" s="104" customFormat="1" ht="17" thickBot="1" x14ac:dyDescent="0.2">
      <c r="B36" s="734" t="s">
        <v>40</v>
      </c>
      <c r="C36" s="735">
        <f>+C31-C33-C34</f>
        <v>-14058.820719143725</v>
      </c>
      <c r="D36" s="735">
        <f t="shared" ref="D36:O36" si="10">+D31-D33-D34</f>
        <v>313972.1874662519</v>
      </c>
      <c r="E36" s="735">
        <f t="shared" si="10"/>
        <v>781184.99021382094</v>
      </c>
      <c r="F36" s="735">
        <f t="shared" si="10"/>
        <v>469021.90431742725</v>
      </c>
      <c r="G36" s="735">
        <f t="shared" si="10"/>
        <v>457470.64577360527</v>
      </c>
      <c r="H36" s="735">
        <f t="shared" si="10"/>
        <v>631188.98189024953</v>
      </c>
      <c r="I36" s="735">
        <f t="shared" si="10"/>
        <v>637331.04816864664</v>
      </c>
      <c r="J36" s="735">
        <f t="shared" si="10"/>
        <v>-1015134.3531755453</v>
      </c>
      <c r="K36" s="735">
        <f t="shared" si="10"/>
        <v>601634.42635192769</v>
      </c>
      <c r="L36" s="735">
        <f t="shared" si="10"/>
        <v>436969.92147153785</v>
      </c>
      <c r="M36" s="735">
        <f t="shared" si="10"/>
        <v>472492.81326665712</v>
      </c>
      <c r="N36" s="735">
        <f t="shared" si="10"/>
        <v>-1020866.6166631244</v>
      </c>
      <c r="O36" s="185">
        <f t="shared" si="10"/>
        <v>2751207.1283623348</v>
      </c>
      <c r="Q36" s="718">
        <f>+O36-CE_2!G28</f>
        <v>7.9162418842315674E-9</v>
      </c>
    </row>
  </sheetData>
  <mergeCells count="1">
    <mergeCell ref="C6:O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4675-6D44-564D-8401-DA797B2CBB04}">
  <sheetPr>
    <tabColor theme="4"/>
  </sheetPr>
  <dimension ref="B2:Q33"/>
  <sheetViews>
    <sheetView showGridLines="0" tabSelected="1" topLeftCell="A4" zoomScale="160" zoomScaleNormal="160" workbookViewId="0">
      <selection activeCell="A25" sqref="A25:XFD26"/>
    </sheetView>
  </sheetViews>
  <sheetFormatPr baseColWidth="10" defaultRowHeight="16" outlineLevelRow="1" x14ac:dyDescent="0.15"/>
  <cols>
    <col min="1" max="1" width="2.5" style="84" customWidth="1"/>
    <col min="2" max="2" width="27.83203125" style="84" customWidth="1"/>
    <col min="3" max="3" width="12.1640625" style="84" customWidth="1"/>
    <col min="4" max="4" width="12.1640625" style="685" customWidth="1"/>
    <col min="5" max="5" width="13.33203125" style="84" customWidth="1"/>
    <col min="6" max="6" width="12.1640625" style="685" customWidth="1"/>
    <col min="7" max="7" width="12.1640625" style="84" customWidth="1"/>
    <col min="8" max="8" width="12.1640625" style="685" customWidth="1"/>
    <col min="9" max="14" width="12.1640625" style="84" customWidth="1"/>
    <col min="15" max="15" width="13.6640625" style="84" customWidth="1"/>
    <col min="16" max="16384" width="10.83203125" style="84"/>
  </cols>
  <sheetData>
    <row r="2" spans="2:17" x14ac:dyDescent="0.15">
      <c r="B2" s="84" t="s">
        <v>995</v>
      </c>
    </row>
    <row r="4" spans="2:17" x14ac:dyDescent="0.15">
      <c r="B4" s="699" t="s">
        <v>963</v>
      </c>
    </row>
    <row r="5" spans="2:17" ht="17" thickBot="1" x14ac:dyDescent="0.2"/>
    <row r="6" spans="2:17" x14ac:dyDescent="0.2">
      <c r="B6" s="269"/>
      <c r="C6" s="768" t="s">
        <v>99</v>
      </c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70"/>
    </row>
    <row r="7" spans="2:17" x14ac:dyDescent="0.2">
      <c r="B7" s="270"/>
      <c r="C7" s="675" t="s">
        <v>114</v>
      </c>
      <c r="D7" s="676" t="s">
        <v>115</v>
      </c>
      <c r="E7" s="676" t="s">
        <v>116</v>
      </c>
      <c r="F7" s="676" t="s">
        <v>117</v>
      </c>
      <c r="G7" s="676" t="s">
        <v>118</v>
      </c>
      <c r="H7" s="676" t="s">
        <v>119</v>
      </c>
      <c r="I7" s="676" t="s">
        <v>120</v>
      </c>
      <c r="J7" s="676" t="s">
        <v>121</v>
      </c>
      <c r="K7" s="676" t="s">
        <v>122</v>
      </c>
      <c r="L7" s="676" t="s">
        <v>123</v>
      </c>
      <c r="M7" s="676" t="s">
        <v>124</v>
      </c>
      <c r="N7" s="676" t="s">
        <v>125</v>
      </c>
      <c r="O7" s="673" t="s">
        <v>82</v>
      </c>
    </row>
    <row r="8" spans="2:17" x14ac:dyDescent="0.2">
      <c r="B8" s="148" t="s">
        <v>37</v>
      </c>
      <c r="C8" s="639">
        <f>'Tab. 4'!C9</f>
        <v>11015187.875085792</v>
      </c>
      <c r="D8" s="91">
        <f>'Tab. 4'!D9</f>
        <v>12239097.638984215</v>
      </c>
      <c r="E8" s="91">
        <f>'Tab. 4'!E9</f>
        <v>14074962.284831846</v>
      </c>
      <c r="F8" s="91">
        <f>'Tab. 4'!F9</f>
        <v>12851052.520933423</v>
      </c>
      <c r="G8" s="91">
        <f>'Tab. 4'!G9</f>
        <v>12851052.520933423</v>
      </c>
      <c r="H8" s="91">
        <f>'Tab. 4'!H9</f>
        <v>13463007.402882634</v>
      </c>
      <c r="I8" s="91">
        <f>'Tab. 4'!I9</f>
        <v>13463007.402882634</v>
      </c>
      <c r="J8" s="91">
        <f>'Tab. 4'!J9</f>
        <v>7343458.5833905274</v>
      </c>
      <c r="K8" s="91">
        <f>'Tab. 4'!K9</f>
        <v>13463007.402882634</v>
      </c>
      <c r="L8" s="91">
        <f>'Tab. 4'!L9</f>
        <v>12851052.520933423</v>
      </c>
      <c r="M8" s="91">
        <f>'Tab. 4'!M9</f>
        <v>12851052.520933423</v>
      </c>
      <c r="N8" s="91">
        <f>'Tab. 4'!N9</f>
        <v>7343458.5833905274</v>
      </c>
      <c r="O8" s="257">
        <f>SUM(C8:N8)</f>
        <v>143809397.25806451</v>
      </c>
    </row>
    <row r="9" spans="2:17" x14ac:dyDescent="0.2">
      <c r="B9" s="280" t="s">
        <v>943</v>
      </c>
      <c r="C9" s="639">
        <f>0.2%*C8</f>
        <v>22030.375750171585</v>
      </c>
      <c r="D9" s="91">
        <f t="shared" ref="D9:N9" si="0">0.2%*D8</f>
        <v>24478.195277968429</v>
      </c>
      <c r="E9" s="91">
        <f t="shared" si="0"/>
        <v>28149.924569663694</v>
      </c>
      <c r="F9" s="91">
        <f t="shared" si="0"/>
        <v>25702.105041866846</v>
      </c>
      <c r="G9" s="91">
        <f t="shared" si="0"/>
        <v>25702.105041866846</v>
      </c>
      <c r="H9" s="91">
        <f t="shared" si="0"/>
        <v>26926.01480576527</v>
      </c>
      <c r="I9" s="91">
        <f t="shared" si="0"/>
        <v>26926.01480576527</v>
      </c>
      <c r="J9" s="91">
        <f t="shared" si="0"/>
        <v>14686.917166781055</v>
      </c>
      <c r="K9" s="91">
        <f t="shared" si="0"/>
        <v>26926.01480576527</v>
      </c>
      <c r="L9" s="91">
        <f t="shared" si="0"/>
        <v>25702.105041866846</v>
      </c>
      <c r="M9" s="91">
        <f t="shared" si="0"/>
        <v>25702.105041866846</v>
      </c>
      <c r="N9" s="91">
        <f t="shared" si="0"/>
        <v>14686.917166781055</v>
      </c>
      <c r="O9" s="257">
        <f>SUM(C9:N9)</f>
        <v>287618.79451612895</v>
      </c>
    </row>
    <row r="10" spans="2:17" x14ac:dyDescent="0.2">
      <c r="B10" s="280"/>
      <c r="C10" s="104"/>
      <c r="D10" s="104"/>
      <c r="E10" s="104"/>
      <c r="F10" s="104"/>
      <c r="G10" s="104"/>
      <c r="H10" s="104"/>
      <c r="I10" s="91"/>
      <c r="J10" s="91"/>
      <c r="K10" s="91"/>
      <c r="L10" s="91"/>
      <c r="M10" s="91"/>
      <c r="N10" s="91"/>
      <c r="O10" s="411"/>
    </row>
    <row r="11" spans="2:17" s="104" customFormat="1" x14ac:dyDescent="0.15">
      <c r="B11" s="726" t="s">
        <v>945</v>
      </c>
      <c r="C11" s="719">
        <f>+C8-C9</f>
        <v>10993157.499335621</v>
      </c>
      <c r="D11" s="719">
        <f t="shared" ref="D11:O11" si="1">+D8-D9</f>
        <v>12214619.443706246</v>
      </c>
      <c r="E11" s="719">
        <f t="shared" si="1"/>
        <v>14046812.360262182</v>
      </c>
      <c r="F11" s="719">
        <f t="shared" si="1"/>
        <v>12825350.415891556</v>
      </c>
      <c r="G11" s="719">
        <f t="shared" si="1"/>
        <v>12825350.415891556</v>
      </c>
      <c r="H11" s="719">
        <f t="shared" si="1"/>
        <v>13436081.388076868</v>
      </c>
      <c r="I11" s="719">
        <f t="shared" si="1"/>
        <v>13436081.388076868</v>
      </c>
      <c r="J11" s="719">
        <f t="shared" si="1"/>
        <v>7328771.6662237467</v>
      </c>
      <c r="K11" s="719">
        <f t="shared" si="1"/>
        <v>13436081.388076868</v>
      </c>
      <c r="L11" s="719">
        <f t="shared" si="1"/>
        <v>12825350.415891556</v>
      </c>
      <c r="M11" s="719">
        <f t="shared" si="1"/>
        <v>12825350.415891556</v>
      </c>
      <c r="N11" s="719">
        <f t="shared" si="1"/>
        <v>7328771.6662237467</v>
      </c>
      <c r="O11" s="727">
        <f t="shared" si="1"/>
        <v>143521778.46354839</v>
      </c>
    </row>
    <row r="12" spans="2:17" s="104" customFormat="1" x14ac:dyDescent="0.15">
      <c r="B12" s="160"/>
      <c r="O12" s="183"/>
    </row>
    <row r="13" spans="2:17" s="722" customFormat="1" hidden="1" outlineLevel="1" x14ac:dyDescent="0.2">
      <c r="B13" s="728" t="s">
        <v>986</v>
      </c>
      <c r="C13" s="723">
        <f>'Tab. 8'!C60</f>
        <v>6454699.5822317349</v>
      </c>
      <c r="D13" s="723">
        <f>'Tab. 8'!D60</f>
        <v>7286215.4702423373</v>
      </c>
      <c r="E13" s="723">
        <f>'Tab. 8'!E60</f>
        <v>8050730.4987207949</v>
      </c>
      <c r="F13" s="723">
        <f>'Tab. 8'!F60</f>
        <v>7442361.3877202207</v>
      </c>
      <c r="G13" s="723">
        <f>'Tab. 8'!G60</f>
        <v>7303495.0472512832</v>
      </c>
      <c r="H13" s="723">
        <f>'Tab. 8'!H60</f>
        <v>7853833.9722076589</v>
      </c>
      <c r="I13" s="723">
        <f>'Tab. 8'!I60</f>
        <v>6919460.8738672333</v>
      </c>
      <c r="J13" s="723">
        <f>'Tab. 8'!J60</f>
        <v>4321654.7706176294</v>
      </c>
      <c r="K13" s="723">
        <f>'Tab. 8'!K60</f>
        <v>7266433.1549180066</v>
      </c>
      <c r="L13" s="723">
        <f>'Tab. 8'!L60</f>
        <v>6680209.5955895483</v>
      </c>
      <c r="M13" s="723">
        <f>'Tab. 8'!M60</f>
        <v>7481487.5450570211</v>
      </c>
      <c r="N13" s="723">
        <f>'Tab. 8'!N60</f>
        <v>3418990.3838723521</v>
      </c>
      <c r="O13" s="729">
        <f t="shared" ref="O13:O16" si="2">SUM(C13:N13)</f>
        <v>80479572.282295808</v>
      </c>
    </row>
    <row r="14" spans="2:17" s="722" customFormat="1" hidden="1" outlineLevel="1" x14ac:dyDescent="0.2">
      <c r="B14" s="730" t="s">
        <v>987</v>
      </c>
      <c r="C14" s="723">
        <f>-('Tab. 8'!C61-'Tab. 8'!C58)</f>
        <v>273.40703313890845</v>
      </c>
      <c r="D14" s="723">
        <f>-('Tab. 8'!D61-'Tab. 8'!D58)</f>
        <v>-41595.950580567122</v>
      </c>
      <c r="E14" s="723">
        <f>-('Tab. 8'!E61-'Tab. 8'!E58)</f>
        <v>20529.481588881463</v>
      </c>
      <c r="F14" s="723">
        <f>-('Tab. 8'!F61-'Tab. 8'!F58)</f>
        <v>33545.542596843094</v>
      </c>
      <c r="G14" s="723">
        <f>-('Tab. 8'!G61-'Tab. 8'!G58)</f>
        <v>-95192.140212764964</v>
      </c>
      <c r="H14" s="723">
        <f>-('Tab. 8'!H61-'Tab. 8'!H58)</f>
        <v>62306.89361702092</v>
      </c>
      <c r="I14" s="723">
        <f>-('Tab. 8'!I61-'Tab. 8'!I58)</f>
        <v>40132.735957446508</v>
      </c>
      <c r="J14" s="723">
        <f>-('Tab. 8'!J61-'Tab. 8'!J58)</f>
        <v>-3759.7528950758278</v>
      </c>
      <c r="K14" s="723">
        <f>-('Tab. 8'!K61-'Tab. 8'!K58)</f>
        <v>-63821.493700668216</v>
      </c>
      <c r="L14" s="723">
        <f>-('Tab. 8'!L61-'Tab. 8'!L58)</f>
        <v>-7247.4893617015332</v>
      </c>
      <c r="M14" s="723">
        <f>-('Tab. 8'!M61-'Tab. 8'!M58)</f>
        <v>74828.735957447439</v>
      </c>
      <c r="N14" s="723">
        <f>-('Tab. 8'!N61-'Tab. 8'!N58)</f>
        <v>-57642.622149799019</v>
      </c>
      <c r="O14" s="729">
        <f t="shared" si="2"/>
        <v>-37642.652149798349</v>
      </c>
    </row>
    <row r="15" spans="2:17" s="722" customFormat="1" hidden="1" outlineLevel="1" x14ac:dyDescent="0.15">
      <c r="B15" s="731" t="s">
        <v>43</v>
      </c>
      <c r="C15" s="724">
        <f>SUM(C13:C14)</f>
        <v>6454972.9892648738</v>
      </c>
      <c r="D15" s="724">
        <f>SUM(D13:D14)</f>
        <v>7244619.5196617702</v>
      </c>
      <c r="E15" s="724">
        <f t="shared" ref="E15:O15" si="3">SUM(E13:E14)</f>
        <v>8071259.9803096764</v>
      </c>
      <c r="F15" s="724">
        <f t="shared" si="3"/>
        <v>7475906.9303170638</v>
      </c>
      <c r="G15" s="724">
        <f t="shared" si="3"/>
        <v>7208302.9070385182</v>
      </c>
      <c r="H15" s="724">
        <f t="shared" si="3"/>
        <v>7916140.8658246798</v>
      </c>
      <c r="I15" s="724">
        <f t="shared" si="3"/>
        <v>6959593.6098246798</v>
      </c>
      <c r="J15" s="724">
        <f t="shared" si="3"/>
        <v>4317895.0177225536</v>
      </c>
      <c r="K15" s="724">
        <f t="shared" si="3"/>
        <v>7202611.6612173384</v>
      </c>
      <c r="L15" s="724">
        <f t="shared" si="3"/>
        <v>6672962.1062278468</v>
      </c>
      <c r="M15" s="724">
        <f t="shared" si="3"/>
        <v>7556316.2810144685</v>
      </c>
      <c r="N15" s="724">
        <f t="shared" si="3"/>
        <v>3361347.7617225531</v>
      </c>
      <c r="O15" s="732">
        <f t="shared" si="3"/>
        <v>80441929.630146012</v>
      </c>
      <c r="Q15" s="725">
        <f>+O15-'Tab. 8'!O59</f>
        <v>0</v>
      </c>
    </row>
    <row r="16" spans="2:17" s="722" customFormat="1" hidden="1" outlineLevel="1" x14ac:dyDescent="0.2">
      <c r="B16" s="728" t="s">
        <v>734</v>
      </c>
      <c r="C16" s="723">
        <f>CE_1_mens!C16</f>
        <v>24069.280887603694</v>
      </c>
      <c r="D16" s="723">
        <f>CE_1_mens!D16</f>
        <v>27019.438382221684</v>
      </c>
      <c r="E16" s="723">
        <f>CE_1_mens!E16</f>
        <v>30107.080879598521</v>
      </c>
      <c r="F16" s="723">
        <f>CE_1_mens!F16</f>
        <v>27880.955522330034</v>
      </c>
      <c r="G16" s="723">
        <f>CE_1_mens!G16</f>
        <v>26906.609841038528</v>
      </c>
      <c r="H16" s="723">
        <f>CE_1_mens!H16</f>
        <v>29515.331788074895</v>
      </c>
      <c r="I16" s="723">
        <f>CE_1_mens!I16</f>
        <v>25948.845275221334</v>
      </c>
      <c r="J16" s="723">
        <f>CE_1_mens!J16</f>
        <v>16099.271884404488</v>
      </c>
      <c r="K16" s="723">
        <f>CE_1_mens!K16</f>
        <v>26875.958657003317</v>
      </c>
      <c r="L16" s="723">
        <f>CE_1_mens!L16</f>
        <v>24870.715713244732</v>
      </c>
      <c r="M16" s="723">
        <f>CE_1_mens!M16</f>
        <v>28173.725797707855</v>
      </c>
      <c r="N16" s="723">
        <f>CE_1_mens!N16</f>
        <v>12532.78537155093</v>
      </c>
      <c r="O16" s="729">
        <f t="shared" si="2"/>
        <v>300000.00000000006</v>
      </c>
      <c r="Q16" s="725"/>
    </row>
    <row r="17" spans="2:17" s="722" customFormat="1" hidden="1" outlineLevel="1" x14ac:dyDescent="0.2">
      <c r="B17" s="728" t="s">
        <v>979</v>
      </c>
      <c r="C17" s="723">
        <f>'Tab. 16'!$C$9*'Tab 5'!C$15+'Tab. 16'!$C$13*'Tab 5'!C$28</f>
        <v>285660.3832344783</v>
      </c>
      <c r="D17" s="723">
        <f>'Tab. 16'!$C$9*'Tab 5'!D$15+'Tab. 16'!$C$13*'Tab 5'!D$28</f>
        <v>320439.19290976413</v>
      </c>
      <c r="E17" s="723">
        <f>'Tab. 16'!$C$9*'Tab 5'!E$15+'Tab. 16'!$C$13*'Tab 5'!E$28</f>
        <v>356868.45209547813</v>
      </c>
      <c r="F17" s="723">
        <f>'Tab. 16'!$C$9*'Tab 5'!F$15+'Tab. 16'!$C$13*'Tab 5'!F$28</f>
        <v>330701.01013109658</v>
      </c>
      <c r="G17" s="723">
        <f>'Tab. 16'!$C$9*'Tab 5'!G$15+'Tab. 16'!$C$13*'Tab 5'!G$28</f>
        <v>318175.40590598062</v>
      </c>
      <c r="H17" s="723">
        <f>'Tab. 16'!$C$9*'Tab 5'!H$15+'Tab. 16'!$C$13*'Tab 5'!H$28</f>
        <v>350391.57932502101</v>
      </c>
      <c r="I17" s="723">
        <f>'Tab. 16'!$C$9*'Tab 5'!I$15+'Tab. 16'!$C$13*'Tab 5'!I$28</f>
        <v>308051.99626178574</v>
      </c>
      <c r="J17" s="723">
        <f>'Tab. 16'!$C$9*'Tab 5'!J$15+'Tab. 16'!$C$13*'Tab 5'!J$28</f>
        <v>191122.67963182964</v>
      </c>
      <c r="K17" s="723">
        <f>'Tab. 16'!$C$9*'Tab 5'!K$15+'Tab. 16'!$C$13*'Tab 5'!K$28</f>
        <v>318197.65065562911</v>
      </c>
      <c r="L17" s="723">
        <f>'Tab. 16'!$C$9*'Tab 5'!L$15+'Tab. 16'!$C$13*'Tab 5'!L$28</f>
        <v>295638.78747611988</v>
      </c>
      <c r="M17" s="723">
        <f>'Tab. 16'!$C$9*'Tab 5'!M$15+'Tab. 16'!$C$13*'Tab 5'!M$28</f>
        <v>334464.68935570185</v>
      </c>
      <c r="N17" s="723">
        <f>'Tab. 16'!$C$9*'Tab 5'!N$15+'Tab. 16'!$C$13*'Tab 5'!N$28</f>
        <v>148783.0965685944</v>
      </c>
      <c r="O17" s="729">
        <f>SUM(C17:N17)</f>
        <v>3558494.9235514794</v>
      </c>
    </row>
    <row r="18" spans="2:17" s="722" customFormat="1" hidden="1" outlineLevel="1" x14ac:dyDescent="0.2">
      <c r="B18" s="728" t="s">
        <v>996</v>
      </c>
      <c r="C18" s="723">
        <f>'Tab. 17'!$C$10*'Tab 5'!C$15+'Tab. 17'!$C$16*'Tab 5'!C$28</f>
        <v>81266.823807971843</v>
      </c>
      <c r="D18" s="723">
        <f>'Tab. 17'!$C$10*'Tab 5'!D$15+'Tab. 17'!$C$16*'Tab 5'!D$28</f>
        <v>91013.0476739203</v>
      </c>
      <c r="E18" s="723">
        <f>'Tab. 17'!$C$10*'Tab 5'!E$15+'Tab. 17'!$C$16*'Tab 5'!E$28</f>
        <v>101240.63023370061</v>
      </c>
      <c r="F18" s="723">
        <f>'Tab. 17'!$C$10*'Tab 5'!F$15+'Tab. 17'!$C$16*'Tab 5'!F$28</f>
        <v>93955.824137295596</v>
      </c>
      <c r="G18" s="723">
        <f>'Tab. 17'!$C$10*'Tab 5'!G$15+'Tab. 17'!$C$16*'Tab 5'!G$28</f>
        <v>89785.539918632814</v>
      </c>
      <c r="H18" s="723">
        <f>'Tab. 17'!$C$10*'Tab 5'!H$15+'Tab. 17'!$C$16*'Tab 5'!H$28</f>
        <v>99742.663813355175</v>
      </c>
      <c r="I18" s="723">
        <f>'Tab. 17'!$C$10*'Tab 5'!I$15+'Tab. 17'!$C$16*'Tab 5'!I$28</f>
        <v>87690.254313078301</v>
      </c>
      <c r="J18" s="723">
        <f>'Tab. 17'!$C$10*'Tab 5'!J$15+'Tab. 17'!$C$16*'Tab 5'!J$28</f>
        <v>54405.089352739189</v>
      </c>
      <c r="K18" s="723">
        <f>'Tab. 17'!$C$10*'Tab 5'!K$15+'Tab. 17'!$C$16*'Tab 5'!K$28</f>
        <v>90035.446231420137</v>
      </c>
      <c r="L18" s="723">
        <f>'Tab. 17'!$C$10*'Tab 5'!L$15+'Tab. 17'!$C$16*'Tab 5'!L$28</f>
        <v>84400.086495034222</v>
      </c>
      <c r="M18" s="723">
        <f>'Tab. 17'!$C$10*'Tab 5'!M$15+'Tab. 17'!$C$16*'Tab 5'!M$28</f>
        <v>95208.906367293588</v>
      </c>
      <c r="N18" s="723">
        <f>'Tab. 17'!$C$10*'Tab 5'!N$15+'Tab. 17'!$C$16*'Tab 5'!N$28</f>
        <v>42352.679852462315</v>
      </c>
      <c r="O18" s="729">
        <f>SUM(C18:N18)</f>
        <v>1011096.9921969043</v>
      </c>
    </row>
    <row r="19" spans="2:17" s="722" customFormat="1" hidden="1" outlineLevel="1" x14ac:dyDescent="0.15">
      <c r="B19" s="731" t="s">
        <v>972</v>
      </c>
      <c r="C19" s="724">
        <f>SUM(C15:C18)</f>
        <v>6845969.4771949276</v>
      </c>
      <c r="D19" s="724">
        <f t="shared" ref="D19:O19" si="4">SUM(D15:D18)</f>
        <v>7683091.1986276759</v>
      </c>
      <c r="E19" s="724">
        <f t="shared" si="4"/>
        <v>8559476.1435184553</v>
      </c>
      <c r="F19" s="724">
        <f t="shared" si="4"/>
        <v>7928444.7201077864</v>
      </c>
      <c r="G19" s="724">
        <f t="shared" si="4"/>
        <v>7643170.4627041705</v>
      </c>
      <c r="H19" s="724">
        <f t="shared" si="4"/>
        <v>8395790.4407511316</v>
      </c>
      <c r="I19" s="724">
        <f t="shared" si="4"/>
        <v>7381284.7056747656</v>
      </c>
      <c r="J19" s="724">
        <f t="shared" si="4"/>
        <v>4579522.058591526</v>
      </c>
      <c r="K19" s="724">
        <f t="shared" si="4"/>
        <v>7637720.7167613907</v>
      </c>
      <c r="L19" s="724">
        <f t="shared" si="4"/>
        <v>7077871.6959122457</v>
      </c>
      <c r="M19" s="724">
        <f t="shared" si="4"/>
        <v>8014163.6025351724</v>
      </c>
      <c r="N19" s="724">
        <f t="shared" si="4"/>
        <v>3565016.3235151605</v>
      </c>
      <c r="O19" s="732">
        <f t="shared" si="4"/>
        <v>85311521.545894399</v>
      </c>
    </row>
    <row r="20" spans="2:17" s="722" customFormat="1" hidden="1" outlineLevel="1" x14ac:dyDescent="0.2">
      <c r="B20" s="730" t="s">
        <v>985</v>
      </c>
      <c r="C20" s="723">
        <f>-('Tab. 23'!C68-'Tab. 23'!C65)</f>
        <v>-172816.19749275222</v>
      </c>
      <c r="D20" s="723">
        <f>-('Tab. 23'!D68-'Tab. 23'!D65)</f>
        <v>-268476.44340303913</v>
      </c>
      <c r="E20" s="723">
        <f>-('Tab. 23'!E68-'Tab. 23'!E65)</f>
        <v>-32669.175010118634</v>
      </c>
      <c r="F20" s="723">
        <f>-('Tab. 23'!F68-'Tab. 23'!F65)</f>
        <v>-143099.22712191567</v>
      </c>
      <c r="G20" s="723">
        <f>-('Tab. 23'!G68-'Tab. 23'!G65)</f>
        <v>142175.03028170019</v>
      </c>
      <c r="H20" s="723">
        <f>-('Tab. 23'!H68-'Tab. 23'!H65)</f>
        <v>-239714.21000402793</v>
      </c>
      <c r="I20" s="723">
        <f>-('Tab. 23'!I68-'Tab. 23'!I65)</f>
        <v>774791.5250723362</v>
      </c>
      <c r="J20" s="723">
        <f>-('Tab. 23'!J68-'Tab. 23'!J65)</f>
        <v>-130753.20545674302</v>
      </c>
      <c r="K20" s="723">
        <f>-('Tab. 23'!K68-'Tab. 23'!K65)</f>
        <v>518355.51398571022</v>
      </c>
      <c r="L20" s="723">
        <f>-('Tab. 23'!L68-'Tab. 23'!L65)</f>
        <v>707473.79707362503</v>
      </c>
      <c r="M20" s="723">
        <f>-('Tab. 23'!M68-'Tab. 23'!M65)</f>
        <v>-228818.10954930261</v>
      </c>
      <c r="N20" s="723">
        <f>-('Tab. 23'!N68-'Tab. 23'!N65)</f>
        <v>883752.52961962298</v>
      </c>
      <c r="O20" s="729">
        <f>SUM(C20:N20)</f>
        <v>1810201.8279950954</v>
      </c>
    </row>
    <row r="21" spans="2:17" s="104" customFormat="1" collapsed="1" x14ac:dyDescent="0.15">
      <c r="B21" s="148" t="s">
        <v>938</v>
      </c>
      <c r="C21" s="720">
        <f>SUM(C19:C20)</f>
        <v>6673153.2797021754</v>
      </c>
      <c r="D21" s="720">
        <f t="shared" ref="D21:O21" si="5">SUM(D19:D20)</f>
        <v>7414614.7552246368</v>
      </c>
      <c r="E21" s="720">
        <f t="shared" si="5"/>
        <v>8526806.9685083367</v>
      </c>
      <c r="F21" s="720">
        <f t="shared" si="5"/>
        <v>7785345.4929858707</v>
      </c>
      <c r="G21" s="720">
        <f t="shared" si="5"/>
        <v>7785345.4929858707</v>
      </c>
      <c r="H21" s="720">
        <f t="shared" si="5"/>
        <v>8156076.2307471037</v>
      </c>
      <c r="I21" s="720">
        <f t="shared" si="5"/>
        <v>8156076.2307471018</v>
      </c>
      <c r="J21" s="720">
        <f t="shared" si="5"/>
        <v>4448768.853134783</v>
      </c>
      <c r="K21" s="720">
        <f t="shared" si="5"/>
        <v>8156076.2307471009</v>
      </c>
      <c r="L21" s="720">
        <f t="shared" si="5"/>
        <v>7785345.4929858707</v>
      </c>
      <c r="M21" s="720">
        <f t="shared" si="5"/>
        <v>7785345.4929858698</v>
      </c>
      <c r="N21" s="720">
        <f t="shared" si="5"/>
        <v>4448768.853134783</v>
      </c>
      <c r="O21" s="733">
        <f t="shared" si="5"/>
        <v>87121723.373889491</v>
      </c>
      <c r="Q21" s="718">
        <f>O21-CE_3!G13</f>
        <v>0</v>
      </c>
    </row>
    <row r="22" spans="2:17" s="104" customFormat="1" x14ac:dyDescent="0.15">
      <c r="B22" s="160"/>
      <c r="O22" s="183"/>
    </row>
    <row r="23" spans="2:17" s="104" customFormat="1" x14ac:dyDescent="0.15">
      <c r="B23" s="726" t="s">
        <v>939</v>
      </c>
      <c r="C23" s="719">
        <f t="shared" ref="C23:O23" si="6">+C11-C21</f>
        <v>4320004.2196334451</v>
      </c>
      <c r="D23" s="719">
        <f t="shared" si="6"/>
        <v>4800004.6884816093</v>
      </c>
      <c r="E23" s="719">
        <f t="shared" si="6"/>
        <v>5520005.3917538449</v>
      </c>
      <c r="F23" s="719">
        <f t="shared" si="6"/>
        <v>5040004.9229056854</v>
      </c>
      <c r="G23" s="719">
        <f t="shared" si="6"/>
        <v>5040004.9229056854</v>
      </c>
      <c r="H23" s="719">
        <f t="shared" si="6"/>
        <v>5280005.1573297642</v>
      </c>
      <c r="I23" s="719">
        <f t="shared" si="6"/>
        <v>5280005.1573297661</v>
      </c>
      <c r="J23" s="719">
        <f t="shared" si="6"/>
        <v>2880002.8130889637</v>
      </c>
      <c r="K23" s="719">
        <f t="shared" si="6"/>
        <v>5280005.157329767</v>
      </c>
      <c r="L23" s="719">
        <f t="shared" si="6"/>
        <v>5040004.9229056854</v>
      </c>
      <c r="M23" s="719">
        <f t="shared" si="6"/>
        <v>5040004.9229056863</v>
      </c>
      <c r="N23" s="719">
        <f t="shared" si="6"/>
        <v>2880002.8130889637</v>
      </c>
      <c r="O23" s="727">
        <f t="shared" si="6"/>
        <v>56400055.089658901</v>
      </c>
    </row>
    <row r="24" spans="2:17" s="104" customFormat="1" x14ac:dyDescent="0.15">
      <c r="B24" s="160"/>
      <c r="O24" s="183"/>
    </row>
    <row r="25" spans="2:17" s="104" customFormat="1" x14ac:dyDescent="0.2">
      <c r="B25" s="160" t="s">
        <v>994</v>
      </c>
      <c r="C25" s="639">
        <f>'Tab. 12'!C$28*'Tab. 16'!$C$22+'Tab. 12'!C$58*'Tab. 16'!$D$22+'Tab. 13'!C$27*'Tab. 16'!$C$35+'Tab. 13'!C$49*'Tab. 16'!$D$35</f>
        <v>18900.826921835367</v>
      </c>
      <c r="D25" s="639">
        <f>'Tab. 12'!D$28*'Tab. 16'!$C$22+'Tab. 12'!D$58*'Tab. 16'!$D$22+'Tab. 13'!D$27*'Tab. 16'!$C$35+'Tab. 13'!D$49*'Tab. 16'!$D$35</f>
        <v>22518.295370514097</v>
      </c>
      <c r="E25" s="639">
        <f>'Tab. 12'!E$28*'Tab. 16'!$C$22+'Tab. 12'!E$58*'Tab. 16'!$D$22+'Tab. 13'!E$27*'Tab. 16'!$C$35+'Tab. 13'!E$49*'Tab. 16'!$D$35</f>
        <v>33974.095744419094</v>
      </c>
      <c r="F25" s="639">
        <f>'Tab. 12'!F$28*'Tab. 16'!$C$22+'Tab. 12'!F$58*'Tab. 16'!$D$22+'Tab. 13'!F$27*'Tab. 16'!$C$35+'Tab. 13'!F$49*'Tab. 16'!$D$35</f>
        <v>25629.002635367266</v>
      </c>
      <c r="G25" s="639">
        <f>'Tab. 12'!G$28*'Tab. 16'!$C$22+'Tab. 12'!G$58*'Tab. 16'!$D$22+'Tab. 13'!G$27*'Tab. 16'!$C$35+'Tab. 13'!G$49*'Tab. 16'!$D$35</f>
        <v>38154.606860483153</v>
      </c>
      <c r="H25" s="639">
        <f>'Tab. 12'!H$28*'Tab. 16'!$C$22+'Tab. 12'!H$58*'Tab. 16'!$D$22+'Tab. 13'!H$27*'Tab. 16'!$C$35+'Tab. 13'!H$49*'Tab. 16'!$D$35</f>
        <v>23194.700978159788</v>
      </c>
      <c r="I25" s="639">
        <f>'Tab. 12'!I$28*'Tab. 16'!$C$22+'Tab. 12'!I$58*'Tab. 16'!$D$22+'Tab. 13'!I$27*'Tab. 16'!$C$35+'Tab. 13'!I$49*'Tab. 16'!$D$35</f>
        <v>20619.12121261414</v>
      </c>
      <c r="J25" s="639">
        <f>'Tab. 12'!J$28*'Tab. 16'!$C$22+'Tab. 12'!J$58*'Tab. 16'!$D$22+'Tab. 13'!J$27*'Tab. 16'!$C$35+'Tab. 13'!J$49*'Tab. 16'!$D$35</f>
        <v>9900.925304183751</v>
      </c>
      <c r="K25" s="639">
        <f>'Tab. 12'!K$28*'Tab. 16'!$C$22+'Tab. 12'!K$58*'Tab. 16'!$D$22+'Tab. 13'!K$27*'Tab. 16'!$C$35+'Tab. 13'!K$49*'Tab. 16'!$D$35</f>
        <v>55388.629647551381</v>
      </c>
      <c r="L25" s="639">
        <f>'Tab. 12'!L$28*'Tab. 16'!$C$22+'Tab. 12'!L$58*'Tab. 16'!$D$22+'Tab. 13'!L$27*'Tab. 16'!$C$35+'Tab. 13'!L$49*'Tab. 16'!$D$35</f>
        <v>60691.225290343908</v>
      </c>
      <c r="M25" s="639">
        <f>'Tab. 12'!M$28*'Tab. 16'!$C$22+'Tab. 12'!M$58*'Tab. 16'!$D$22+'Tab. 13'!M$27*'Tab. 16'!$C$35+'Tab. 13'!M$49*'Tab. 16'!$D$35</f>
        <v>21865.323410761928</v>
      </c>
      <c r="N25" s="639">
        <f>'Tab. 12'!N$28*'Tab. 16'!$C$22+'Tab. 12'!N$58*'Tab. 16'!$D$22+'Tab. 13'!N$27*'Tab. 16'!$C$35+'Tab. 13'!N$49*'Tab. 16'!$D$35</f>
        <v>7325.3455386383821</v>
      </c>
      <c r="O25" s="257">
        <f>SUM(C25:N25)</f>
        <v>338162.09891487227</v>
      </c>
      <c r="Q25" s="718">
        <f>+O25-CE_2!G17</f>
        <v>0</v>
      </c>
    </row>
    <row r="26" spans="2:17" s="104" customFormat="1" x14ac:dyDescent="0.2">
      <c r="B26" s="160" t="s">
        <v>997</v>
      </c>
      <c r="C26" s="639">
        <f>'Tab. 12'!C$28*'Tab. 17'!$C$25+'Tab. 12'!C$58*'Tab. 17'!$D$25+'Tab. 13'!C$27*'Tab. 17'!$C$39+'Tab. 13'!C$49*'Tab. 17'!$D$39</f>
        <v>11460.561719154142</v>
      </c>
      <c r="D26" s="639">
        <f>'Tab. 12'!D$28*'Tab. 17'!$C$25+'Tab. 12'!D$58*'Tab. 17'!$D$25+'Tab. 13'!D$27*'Tab. 17'!$C$39+'Tab. 13'!D$49*'Tab. 17'!$D$39</f>
        <v>12967.308654087921</v>
      </c>
      <c r="E26" s="639">
        <f>'Tab. 12'!E$28*'Tab. 17'!$C$25+'Tab. 12'!E$58*'Tab. 17'!$D$25+'Tab. 13'!E$27*'Tab. 17'!$C$39+'Tab. 13'!E$49*'Tab. 17'!$D$39</f>
        <v>18314.866434940199</v>
      </c>
      <c r="F26" s="639">
        <f>'Tab. 12'!F$28*'Tab. 17'!$C$25+'Tab. 12'!F$58*'Tab. 17'!$D$25+'Tab. 13'!F$27*'Tab. 17'!$C$39+'Tab. 13'!F$49*'Tab. 17'!$D$39</f>
        <v>14868.428074739291</v>
      </c>
      <c r="G26" s="639">
        <f>'Tab. 12'!G$28*'Tab. 17'!$C$25+'Tab. 12'!G$58*'Tab. 17'!$D$25+'Tab. 13'!G$27*'Tab. 17'!$C$39+'Tab. 13'!G$49*'Tab. 17'!$D$39</f>
        <v>19038.712293402052</v>
      </c>
      <c r="H26" s="639">
        <f>'Tab. 12'!H$28*'Tab. 17'!$C$25+'Tab. 12'!H$58*'Tab. 17'!$D$25+'Tab. 13'!H$27*'Tab. 17'!$C$39+'Tab. 13'!H$49*'Tab. 17'!$D$39</f>
        <v>14447.210626982744</v>
      </c>
      <c r="I26" s="639">
        <f>'Tab. 12'!I$28*'Tab. 17'!$C$25+'Tab. 12'!I$58*'Tab. 17'!$D$25+'Tab. 13'!I$27*'Tab. 17'!$C$39+'Tab. 13'!I$49*'Tab. 17'!$D$39</f>
        <v>12846.1380062345</v>
      </c>
      <c r="J26" s="639">
        <f>'Tab. 12'!J$28*'Tab. 17'!$C$25+'Tab. 12'!J$58*'Tab. 17'!$D$25+'Tab. 13'!J$27*'Tab. 17'!$C$39+'Tab. 13'!J$49*'Tab. 17'!$D$39</f>
        <v>6128.5628045690082</v>
      </c>
      <c r="K26" s="639">
        <f>'Tab. 12'!K$28*'Tab. 17'!$C$25+'Tab. 12'!K$58*'Tab. 17'!$D$25+'Tab. 13'!K$27*'Tab. 17'!$C$39+'Tab. 13'!K$49*'Tab. 17'!$D$39</f>
        <v>24154.428208917707</v>
      </c>
      <c r="L26" s="639">
        <f>'Tab. 12'!L$28*'Tab. 17'!$C$25+'Tab. 12'!L$58*'Tab. 17'!$D$25+'Tab. 13'!L$27*'Tab. 17'!$C$39+'Tab. 13'!L$49*'Tab. 17'!$D$39</f>
        <v>24424.165717000658</v>
      </c>
      <c r="M26" s="639">
        <f>'Tab. 12'!M$28*'Tab. 17'!$C$25+'Tab. 12'!M$58*'Tab. 17'!$D$25+'Tab. 13'!M$27*'Tab. 17'!$C$39+'Tab. 13'!M$49*'Tab. 17'!$D$39</f>
        <v>13615.345844741298</v>
      </c>
      <c r="N26" s="639">
        <f>'Tab. 12'!N$28*'Tab. 17'!$C$25+'Tab. 12'!N$58*'Tab. 17'!$D$25+'Tab. 13'!N$27*'Tab. 17'!$C$39+'Tab. 13'!N$49*'Tab. 17'!$D$39</f>
        <v>4527.4901838208407</v>
      </c>
      <c r="O26" s="257">
        <f>SUM(C26:N26)</f>
        <v>176793.21856859038</v>
      </c>
      <c r="Q26" s="718"/>
    </row>
    <row r="27" spans="2:17" s="104" customFormat="1" x14ac:dyDescent="0.15">
      <c r="B27" s="163"/>
      <c r="C27" s="717"/>
      <c r="D27" s="717"/>
      <c r="E27" s="717"/>
      <c r="O27" s="183"/>
    </row>
    <row r="28" spans="2:17" s="104" customFormat="1" x14ac:dyDescent="0.15">
      <c r="B28" s="726" t="s">
        <v>949</v>
      </c>
      <c r="C28" s="719">
        <f>+C23-C25-C26</f>
        <v>4289642.8309924556</v>
      </c>
      <c r="D28" s="719">
        <f t="shared" ref="D28:O28" si="7">+D23-D25-D26</f>
        <v>4764519.0844570072</v>
      </c>
      <c r="E28" s="719">
        <f t="shared" si="7"/>
        <v>5467716.4295744859</v>
      </c>
      <c r="F28" s="719">
        <f t="shared" si="7"/>
        <v>4999507.4921955792</v>
      </c>
      <c r="G28" s="719">
        <f t="shared" si="7"/>
        <v>4982811.6037518</v>
      </c>
      <c r="H28" s="719">
        <f t="shared" si="7"/>
        <v>5242363.2457246212</v>
      </c>
      <c r="I28" s="719">
        <f t="shared" si="7"/>
        <v>5246539.8981109178</v>
      </c>
      <c r="J28" s="719">
        <f t="shared" si="7"/>
        <v>2863973.324980211</v>
      </c>
      <c r="K28" s="719">
        <f t="shared" si="7"/>
        <v>5200462.0994732985</v>
      </c>
      <c r="L28" s="719">
        <f t="shared" si="7"/>
        <v>4954889.5318983402</v>
      </c>
      <c r="M28" s="719">
        <f t="shared" si="7"/>
        <v>5004524.2536501838</v>
      </c>
      <c r="N28" s="719">
        <f t="shared" si="7"/>
        <v>2868149.9773665043</v>
      </c>
      <c r="O28" s="727">
        <f t="shared" si="7"/>
        <v>55885099.772175439</v>
      </c>
      <c r="Q28" s="718">
        <f>+O28-CE_3!G23</f>
        <v>0</v>
      </c>
    </row>
    <row r="29" spans="2:17" s="104" customFormat="1" x14ac:dyDescent="0.15">
      <c r="B29" s="160"/>
      <c r="O29" s="183"/>
    </row>
    <row r="30" spans="2:17" s="104" customFormat="1" x14ac:dyDescent="0.2">
      <c r="B30" s="160" t="s">
        <v>942</v>
      </c>
      <c r="C30" s="718">
        <f>+'Tab. 22'!C18</f>
        <v>4006756.3546342608</v>
      </c>
      <c r="D30" s="718">
        <f>+'Tab. 22'!D18</f>
        <v>4159905.8662481834</v>
      </c>
      <c r="E30" s="718">
        <f>+'Tab. 22'!E18</f>
        <v>4402638.7461854108</v>
      </c>
      <c r="F30" s="718">
        <f>+'Tab. 22'!F18</f>
        <v>4240816.8262272598</v>
      </c>
      <c r="G30" s="718">
        <f>+'Tab. 22'!G18</f>
        <v>4240816.8262272598</v>
      </c>
      <c r="H30" s="718">
        <f>+'Tab. 22'!H18</f>
        <v>4321727.7862063348</v>
      </c>
      <c r="I30" s="718">
        <f>+'Tab. 22'!I18</f>
        <v>4321727.7862063348</v>
      </c>
      <c r="J30" s="718">
        <f>+'Tab. 22'!J18</f>
        <v>3556020.2281367215</v>
      </c>
      <c r="K30" s="718">
        <f>+'Tab. 22'!K18</f>
        <v>4321727.7862063348</v>
      </c>
      <c r="L30" s="718">
        <f>+'Tab. 22'!L18</f>
        <v>4240816.8262272598</v>
      </c>
      <c r="M30" s="718">
        <f>+'Tab. 22'!M18</f>
        <v>4240816.8262272598</v>
      </c>
      <c r="N30" s="718">
        <f>+'Tab. 22'!N18</f>
        <v>3564702.6364809503</v>
      </c>
      <c r="O30" s="257">
        <f t="shared" ref="O30:O31" si="8">SUM(C30:N30)</f>
        <v>49618474.495213576</v>
      </c>
    </row>
    <row r="31" spans="2:17" s="104" customFormat="1" x14ac:dyDescent="0.2">
      <c r="B31" s="160" t="s">
        <v>957</v>
      </c>
      <c r="C31" s="718">
        <f>+'Tab. 22'!C38</f>
        <v>290180.49616722704</v>
      </c>
      <c r="D31" s="718">
        <f>+'Tab. 22'!D38</f>
        <v>290861.13962506806</v>
      </c>
      <c r="E31" s="718">
        <f>+'Tab. 22'!E38</f>
        <v>299015.19786966289</v>
      </c>
      <c r="F31" s="718">
        <f>+'Tab. 22'!F38</f>
        <v>295142.63299007359</v>
      </c>
      <c r="G31" s="718">
        <f>+'Tab. 22'!G38</f>
        <v>295142.63299007359</v>
      </c>
      <c r="H31" s="718">
        <f>+'Tab. 22'!H38</f>
        <v>297078.91542986827</v>
      </c>
      <c r="I31" s="718">
        <f>+'Tab. 22'!I38</f>
        <v>297078.91542986827</v>
      </c>
      <c r="J31" s="718">
        <f>+'Tab. 22'!J38</f>
        <v>293675.69814066333</v>
      </c>
      <c r="K31" s="718">
        <f>+'Tab. 22'!K38</f>
        <v>297078.91542986827</v>
      </c>
      <c r="L31" s="718">
        <f>+'Tab. 22'!L38</f>
        <v>295142.63299007359</v>
      </c>
      <c r="M31" s="718">
        <f>+'Tab. 22'!M38</f>
        <v>295142.63299007359</v>
      </c>
      <c r="N31" s="718">
        <f>+'Tab. 22'!N38</f>
        <v>296867.61956241168</v>
      </c>
      <c r="O31" s="257">
        <f t="shared" si="8"/>
        <v>3542407.4296149318</v>
      </c>
    </row>
    <row r="32" spans="2:17" s="104" customFormat="1" x14ac:dyDescent="0.15">
      <c r="B32" s="160"/>
      <c r="O32" s="183"/>
    </row>
    <row r="33" spans="2:17" s="104" customFormat="1" ht="17" thickBot="1" x14ac:dyDescent="0.2">
      <c r="B33" s="734" t="s">
        <v>40</v>
      </c>
      <c r="C33" s="735">
        <f>+C28-C30-C31</f>
        <v>-7294.0198090322083</v>
      </c>
      <c r="D33" s="735">
        <f t="shared" ref="D33:O33" si="9">+D28-D30-D31</f>
        <v>313752.07858375576</v>
      </c>
      <c r="E33" s="735">
        <f t="shared" si="9"/>
        <v>766062.48551941221</v>
      </c>
      <c r="F33" s="735">
        <f t="shared" si="9"/>
        <v>463548.03297824581</v>
      </c>
      <c r="G33" s="735">
        <f t="shared" si="9"/>
        <v>446852.14453446661</v>
      </c>
      <c r="H33" s="735">
        <f t="shared" si="9"/>
        <v>623556.54408841813</v>
      </c>
      <c r="I33" s="735">
        <f t="shared" si="9"/>
        <v>627733.19647471467</v>
      </c>
      <c r="J33" s="735">
        <f t="shared" si="9"/>
        <v>-985722.60129717388</v>
      </c>
      <c r="K33" s="735">
        <f t="shared" si="9"/>
        <v>581655.39783709543</v>
      </c>
      <c r="L33" s="735">
        <f t="shared" si="9"/>
        <v>418930.0726810068</v>
      </c>
      <c r="M33" s="735">
        <f t="shared" si="9"/>
        <v>468564.79443285038</v>
      </c>
      <c r="N33" s="735">
        <f t="shared" si="9"/>
        <v>-993420.27867685771</v>
      </c>
      <c r="O33" s="185">
        <f t="shared" si="9"/>
        <v>2724217.8473469312</v>
      </c>
      <c r="Q33" s="718">
        <f>+O33-CE_3!G28</f>
        <v>1.5366822481155396E-8</v>
      </c>
    </row>
  </sheetData>
  <mergeCells count="1">
    <mergeCell ref="C6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S18"/>
  <sheetViews>
    <sheetView zoomScale="120" zoomScaleNormal="120" workbookViewId="0">
      <selection activeCell="T17" sqref="T17"/>
    </sheetView>
  </sheetViews>
  <sheetFormatPr baseColWidth="10" defaultColWidth="9.1640625" defaultRowHeight="16" x14ac:dyDescent="0.2"/>
  <cols>
    <col min="1" max="1" width="18.5" style="4" customWidth="1"/>
    <col min="2" max="13" width="8.6640625" style="4" customWidth="1"/>
    <col min="14" max="14" width="10" style="4" customWidth="1"/>
    <col min="15" max="15" width="3.33203125" style="4" customWidth="1"/>
    <col min="16" max="16" width="13.6640625" style="4" bestFit="1" customWidth="1"/>
    <col min="17" max="16384" width="9.1640625" style="4"/>
  </cols>
  <sheetData>
    <row r="2" spans="1:19" x14ac:dyDescent="0.2">
      <c r="A2" s="84" t="s">
        <v>100</v>
      </c>
    </row>
    <row r="3" spans="1:19" ht="17" thickBot="1" x14ac:dyDescent="0.25"/>
    <row r="4" spans="1:19" x14ac:dyDescent="0.2"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22</v>
      </c>
    </row>
    <row r="5" spans="1:19" x14ac:dyDescent="0.2">
      <c r="B5" s="233">
        <v>18</v>
      </c>
      <c r="C5" s="233">
        <v>20</v>
      </c>
      <c r="D5" s="233">
        <v>23</v>
      </c>
      <c r="E5" s="233">
        <v>21</v>
      </c>
      <c r="F5" s="233">
        <v>21</v>
      </c>
      <c r="G5" s="233">
        <v>22</v>
      </c>
      <c r="H5" s="233">
        <v>22</v>
      </c>
      <c r="I5" s="233">
        <v>12</v>
      </c>
      <c r="J5" s="233">
        <v>22</v>
      </c>
      <c r="K5" s="233">
        <v>21</v>
      </c>
      <c r="L5" s="233">
        <v>21</v>
      </c>
      <c r="M5" s="233">
        <v>12</v>
      </c>
      <c r="N5" s="4">
        <f>SUM(B5:M5)</f>
        <v>235</v>
      </c>
      <c r="P5" s="233">
        <v>18</v>
      </c>
      <c r="Q5" s="233">
        <v>20</v>
      </c>
      <c r="R5" s="233">
        <v>23</v>
      </c>
      <c r="S5" s="233">
        <v>21</v>
      </c>
    </row>
    <row r="6" spans="1:19" ht="17" thickBot="1" x14ac:dyDescent="0.25"/>
    <row r="7" spans="1:19" x14ac:dyDescent="0.2">
      <c r="A7" s="5" t="s">
        <v>92</v>
      </c>
      <c r="B7" s="6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6" t="s">
        <v>20</v>
      </c>
      <c r="L7" s="6" t="s">
        <v>21</v>
      </c>
      <c r="M7" s="6" t="s">
        <v>22</v>
      </c>
      <c r="N7" s="6" t="s">
        <v>10</v>
      </c>
      <c r="P7" s="6" t="s">
        <v>11</v>
      </c>
      <c r="Q7" s="6" t="s">
        <v>12</v>
      </c>
      <c r="R7" s="6" t="s">
        <v>13</v>
      </c>
      <c r="S7" s="6" t="s">
        <v>14</v>
      </c>
    </row>
    <row r="8" spans="1:19" x14ac:dyDescent="0.2">
      <c r="A8" s="7" t="s">
        <v>69</v>
      </c>
      <c r="B8" s="234">
        <f>IFERROR('Tab 2'!$C$14/$N$5*B$5,0)</f>
        <v>18863.320540150991</v>
      </c>
      <c r="C8" s="234">
        <f>IFERROR('Tab 2'!$C$14/$N$5*C$5,0)</f>
        <v>20959.245044612213</v>
      </c>
      <c r="D8" s="234">
        <f>IFERROR('Tab 2'!$C$14/$N$5*D$5,0)</f>
        <v>24103.131801304044</v>
      </c>
      <c r="E8" s="234">
        <f>IFERROR('Tab 2'!$C$14/$N$5*E$5,0)</f>
        <v>22007.207296842822</v>
      </c>
      <c r="F8" s="234">
        <f>IFERROR('Tab 2'!$C$14/$N$5*F$5,0)</f>
        <v>22007.207296842822</v>
      </c>
      <c r="G8" s="234">
        <f>IFERROR('Tab 2'!$C$14/$N$5*G$5,0)</f>
        <v>23055.169549073435</v>
      </c>
      <c r="H8" s="234">
        <f>IFERROR('Tab 2'!$C$14/$N$5*H$5,0)</f>
        <v>23055.169549073435</v>
      </c>
      <c r="I8" s="234">
        <f>IFERROR('Tab 2'!$C$14/$N$5*I$5,0)</f>
        <v>12575.547026767326</v>
      </c>
      <c r="J8" s="234">
        <f>IFERROR('Tab 2'!$C$14/$N$5*J$5,0)</f>
        <v>23055.169549073435</v>
      </c>
      <c r="K8" s="234">
        <f>IFERROR('Tab 2'!$C$14/$N$5*K$5,0)</f>
        <v>22007.207296842822</v>
      </c>
      <c r="L8" s="234">
        <f>IFERROR('Tab 2'!$C$14/$N$5*L$5,0)</f>
        <v>22007.207296842822</v>
      </c>
      <c r="M8" s="234">
        <f>IFERROR('Tab 2'!$C$14/$N$5*M$5,0)</f>
        <v>12575.547026767326</v>
      </c>
      <c r="N8" s="8">
        <f>SUM(B8:M8)</f>
        <v>246271.12927419355</v>
      </c>
      <c r="P8" s="234">
        <f>IFERROR('Tab 2'!$C$32/$N$5*P$5,0)</f>
        <v>19240.586950954017</v>
      </c>
      <c r="Q8" s="234">
        <f>IFERROR('Tab 2'!$C$32/$N$5*Q$5,0)</f>
        <v>21378.429945504464</v>
      </c>
      <c r="R8" s="234">
        <f>IFERROR('Tab 2'!$C$32/$N$5*R$5,0)</f>
        <v>24585.194437330134</v>
      </c>
      <c r="S8" s="234">
        <f>IFERROR('Tab 2'!$C$32/$N$5*S$5,0)</f>
        <v>22447.351442779687</v>
      </c>
    </row>
    <row r="9" spans="1:19" x14ac:dyDescent="0.2">
      <c r="A9" s="7" t="s">
        <v>101</v>
      </c>
      <c r="B9" s="234">
        <f>IFERROR('Tab 2'!$F$14/$N$5*B$5,0)</f>
        <v>33131.005957446803</v>
      </c>
      <c r="C9" s="234">
        <f>IFERROR('Tab 2'!$F$14/$N$5*C$5,0)</f>
        <v>36812.228841607561</v>
      </c>
      <c r="D9" s="234">
        <f>IFERROR('Tab 2'!$F$14/$N$5*D$5,0)</f>
        <v>42334.063167848697</v>
      </c>
      <c r="E9" s="234">
        <f>IFERROR('Tab 2'!$F$14/$N$5*E$5,0)</f>
        <v>38652.84028368794</v>
      </c>
      <c r="F9" s="234">
        <f>IFERROR('Tab 2'!$F$14/$N$5*F$5,0)</f>
        <v>38652.84028368794</v>
      </c>
      <c r="G9" s="234">
        <f>IFERROR('Tab 2'!$F$14/$N$5*G$5,0)</f>
        <v>40493.451725768318</v>
      </c>
      <c r="H9" s="234">
        <f>IFERROR('Tab 2'!$F$14/$N$5*H$5,0)</f>
        <v>40493.451725768318</v>
      </c>
      <c r="I9" s="234">
        <f>IFERROR('Tab 2'!$F$14/$N$5*I$5,0)</f>
        <v>22087.337304964538</v>
      </c>
      <c r="J9" s="234">
        <f>IFERROR('Tab 2'!$F$14/$N$5*J$5,0)</f>
        <v>40493.451725768318</v>
      </c>
      <c r="K9" s="234">
        <f>IFERROR('Tab 2'!$F$14/$N$5*K$5,0)</f>
        <v>38652.84028368794</v>
      </c>
      <c r="L9" s="234">
        <f>IFERROR('Tab 2'!$F$14/$N$5*L$5,0)</f>
        <v>38652.84028368794</v>
      </c>
      <c r="M9" s="234">
        <f>IFERROR('Tab 2'!$F$14/$N$5*M$5,0)</f>
        <v>22087.337304964538</v>
      </c>
      <c r="N9" s="8">
        <f>SUM(B9:M9)</f>
        <v>432543.68888888886</v>
      </c>
      <c r="P9" s="234">
        <f>IFERROR('Tab 2'!$F$32/$N$5*P$5,0)</f>
        <v>31805.765719148934</v>
      </c>
      <c r="Q9" s="234">
        <f>IFERROR('Tab 2'!$F$32/$N$5*Q$5,0)</f>
        <v>35339.739687943264</v>
      </c>
      <c r="R9" s="234">
        <f>IFERROR('Tab 2'!$F$32/$N$5*R$5,0)</f>
        <v>40640.700641134747</v>
      </c>
      <c r="S9" s="234">
        <f>IFERROR('Tab 2'!$F$32/$N$5*S$5,0)</f>
        <v>37106.726672340425</v>
      </c>
    </row>
    <row r="10" spans="1:19" x14ac:dyDescent="0.2">
      <c r="A10" s="7" t="s">
        <v>71</v>
      </c>
      <c r="B10" s="234">
        <f>IFERROR('Tab 2'!$I$14/$N$5*B$5,0)</f>
        <v>293.61702127659601</v>
      </c>
      <c r="C10" s="234">
        <f>IFERROR('Tab 2'!$I$14/$N$5*C$5,0)</f>
        <v>326.2411347517733</v>
      </c>
      <c r="D10" s="234">
        <f>IFERROR('Tab 2'!$I$14/$N$5*D$5,0)</f>
        <v>375.1773049645393</v>
      </c>
      <c r="E10" s="234">
        <f>IFERROR('Tab 2'!$I$14/$N$5*E$5,0)</f>
        <v>342.55319148936201</v>
      </c>
      <c r="F10" s="234">
        <f>IFERROR('Tab 2'!$I$14/$N$5*F$5,0)</f>
        <v>342.55319148936201</v>
      </c>
      <c r="G10" s="234">
        <f>IFERROR('Tab 2'!$I$14/$N$5*G$5,0)</f>
        <v>358.86524822695065</v>
      </c>
      <c r="H10" s="234">
        <f>IFERROR('Tab 2'!$I$14/$N$5*H$5,0)</f>
        <v>358.86524822695065</v>
      </c>
      <c r="I10" s="234">
        <f>IFERROR('Tab 2'!$I$14/$N$5*I$5,0)</f>
        <v>195.744680851064</v>
      </c>
      <c r="J10" s="234">
        <f>IFERROR('Tab 2'!$I$14/$N$5*J$5,0)</f>
        <v>358.86524822695065</v>
      </c>
      <c r="K10" s="234">
        <f>IFERROR('Tab 2'!$I$14/$N$5*K$5,0)</f>
        <v>342.55319148936201</v>
      </c>
      <c r="L10" s="234">
        <f>IFERROR('Tab 2'!$I$14/$N$5*L$5,0)</f>
        <v>342.55319148936201</v>
      </c>
      <c r="M10" s="234">
        <f>IFERROR('Tab 2'!$I$14/$N$5*M$5,0)</f>
        <v>195.744680851064</v>
      </c>
      <c r="N10" s="8">
        <f>SUM(B10:M10)</f>
        <v>3833.3333333333367</v>
      </c>
      <c r="P10" s="234">
        <f>IFERROR('Tab 2'!$I$32/$N$5*P$5,0)</f>
        <v>317.10638297872367</v>
      </c>
      <c r="Q10" s="234">
        <f>IFERROR('Tab 2'!$I$32/$N$5*Q$5,0)</f>
        <v>352.34042553191523</v>
      </c>
      <c r="R10" s="234">
        <f>IFERROR('Tab 2'!$I$32/$N$5*R$5,0)</f>
        <v>405.19148936170251</v>
      </c>
      <c r="S10" s="234">
        <f>IFERROR('Tab 2'!$I$32/$N$5*S$5,0)</f>
        <v>369.95744680851095</v>
      </c>
    </row>
    <row r="11" spans="1:19" ht="17" thickBot="1" x14ac:dyDescent="0.25">
      <c r="A11" s="9" t="s">
        <v>3</v>
      </c>
      <c r="B11" s="10">
        <f>SUM(B8:B10)</f>
        <v>52287.943518874388</v>
      </c>
      <c r="C11" s="10">
        <f t="shared" ref="C11:P11" si="0">SUM(C8:C10)</f>
        <v>58097.71502097154</v>
      </c>
      <c r="D11" s="10">
        <f t="shared" si="0"/>
        <v>66812.372274117282</v>
      </c>
      <c r="E11" s="10">
        <f t="shared" si="0"/>
        <v>61002.600772020131</v>
      </c>
      <c r="F11" s="10">
        <f t="shared" si="0"/>
        <v>61002.600772020131</v>
      </c>
      <c r="G11" s="10">
        <f t="shared" si="0"/>
        <v>63907.486523068706</v>
      </c>
      <c r="H11" s="10">
        <f t="shared" si="0"/>
        <v>63907.486523068706</v>
      </c>
      <c r="I11" s="10">
        <f t="shared" si="0"/>
        <v>34858.629012582933</v>
      </c>
      <c r="J11" s="10">
        <f t="shared" si="0"/>
        <v>63907.486523068706</v>
      </c>
      <c r="K11" s="10">
        <f t="shared" si="0"/>
        <v>61002.600772020131</v>
      </c>
      <c r="L11" s="10">
        <f t="shared" si="0"/>
        <v>61002.600772020131</v>
      </c>
      <c r="M11" s="10">
        <f t="shared" si="0"/>
        <v>34858.629012582933</v>
      </c>
      <c r="N11" s="10">
        <f t="shared" si="0"/>
        <v>682648.15149641584</v>
      </c>
      <c r="P11" s="10">
        <f t="shared" si="0"/>
        <v>51363.459053081671</v>
      </c>
      <c r="Q11" s="10">
        <f t="shared" ref="Q11:R11" si="1">SUM(Q8:Q10)</f>
        <v>57070.510058979649</v>
      </c>
      <c r="R11" s="10">
        <f t="shared" si="1"/>
        <v>65631.086567826584</v>
      </c>
      <c r="S11" s="10">
        <f t="shared" ref="S11" si="2">SUM(S8:S10)</f>
        <v>59924.03556192862</v>
      </c>
    </row>
    <row r="12" spans="1:19" x14ac:dyDescent="0.2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9" ht="17" thickBot="1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9" x14ac:dyDescent="0.2">
      <c r="A14" s="5" t="s">
        <v>93</v>
      </c>
      <c r="B14" s="6" t="s">
        <v>11</v>
      </c>
      <c r="C14" s="6" t="s">
        <v>12</v>
      </c>
      <c r="D14" s="6" t="s">
        <v>13</v>
      </c>
      <c r="E14" s="6" t="s">
        <v>14</v>
      </c>
      <c r="F14" s="6" t="s">
        <v>15</v>
      </c>
      <c r="G14" s="6" t="s">
        <v>16</v>
      </c>
      <c r="H14" s="6" t="s">
        <v>17</v>
      </c>
      <c r="I14" s="6" t="s">
        <v>18</v>
      </c>
      <c r="J14" s="6" t="s">
        <v>19</v>
      </c>
      <c r="K14" s="6" t="s">
        <v>20</v>
      </c>
      <c r="L14" s="6" t="s">
        <v>21</v>
      </c>
      <c r="M14" s="6" t="s">
        <v>22</v>
      </c>
      <c r="N14" s="6" t="s">
        <v>10</v>
      </c>
      <c r="P14" s="6" t="s">
        <v>11</v>
      </c>
      <c r="Q14" s="6" t="s">
        <v>12</v>
      </c>
      <c r="R14" s="6" t="s">
        <v>13</v>
      </c>
      <c r="S14" s="6" t="s">
        <v>14</v>
      </c>
    </row>
    <row r="15" spans="1:19" x14ac:dyDescent="0.2">
      <c r="A15" s="7" t="s">
        <v>69</v>
      </c>
      <c r="B15" s="234">
        <f>'Tab 2'!$C$15/$N$5*B$5</f>
        <v>1198.375657844887</v>
      </c>
      <c r="C15" s="234">
        <f>'Tab 2'!$C$15/$N$5*C$5</f>
        <v>1331.528508716541</v>
      </c>
      <c r="D15" s="234">
        <f>'Tab 2'!$C$15/$N$5*D$5</f>
        <v>1531.257785024022</v>
      </c>
      <c r="E15" s="234">
        <f>'Tab 2'!$C$15/$N$5*E$5</f>
        <v>1398.1049341523681</v>
      </c>
      <c r="F15" s="234">
        <f>'Tab 2'!$C$15/$N$5*F$5</f>
        <v>1398.1049341523681</v>
      </c>
      <c r="G15" s="234">
        <f>'Tab 2'!$C$15/$N$5*G$5</f>
        <v>1464.6813595881949</v>
      </c>
      <c r="H15" s="234">
        <f>'Tab 2'!$C$15/$N$5*H$5</f>
        <v>1464.6813595881949</v>
      </c>
      <c r="I15" s="234">
        <f>'Tab 2'!$C$15/$N$5*I$5</f>
        <v>798.91710522992457</v>
      </c>
      <c r="J15" s="234">
        <f>'Tab 2'!$C$15/$N$5*J$5</f>
        <v>1464.6813595881949</v>
      </c>
      <c r="K15" s="234">
        <f>'Tab 2'!$C$15/$N$5*K$5</f>
        <v>1398.1049341523681</v>
      </c>
      <c r="L15" s="234">
        <f>'Tab 2'!$C$15/$N$5*L$5</f>
        <v>1398.1049341523681</v>
      </c>
      <c r="M15" s="234">
        <f>'Tab 2'!$C$15/$N$5*M$5</f>
        <v>798.91710522992457</v>
      </c>
      <c r="N15" s="8">
        <f>SUM(B15:M15)</f>
        <v>15645.459977419356</v>
      </c>
      <c r="P15" s="234">
        <f>'Tab 2'!$C$33/$N$5*P$5</f>
        <v>1222.3431710017846</v>
      </c>
      <c r="Q15" s="234">
        <f>'Tab 2'!$C$33/$N$5*Q$5</f>
        <v>1358.1590788908718</v>
      </c>
      <c r="R15" s="234">
        <f>'Tab 2'!$C$33/$N$5*R$5</f>
        <v>1561.8829407245025</v>
      </c>
      <c r="S15" s="234">
        <f>'Tab 2'!$C$33/$N$5*S$5</f>
        <v>1426.0670328354154</v>
      </c>
    </row>
    <row r="16" spans="1:19" x14ac:dyDescent="0.2">
      <c r="A16" s="7" t="s">
        <v>101</v>
      </c>
      <c r="B16" s="234">
        <f>'Tab 2'!$F$15/$N$5*B$5</f>
        <v>0</v>
      </c>
      <c r="C16" s="234">
        <f>'Tab 2'!$F$15/$N$5*C$5</f>
        <v>0</v>
      </c>
      <c r="D16" s="234">
        <f>'Tab 2'!$F$15/$N$5*D$5</f>
        <v>0</v>
      </c>
      <c r="E16" s="234">
        <f>'Tab 2'!$F$15/$N$5*E$5</f>
        <v>0</v>
      </c>
      <c r="F16" s="234">
        <f>'Tab 2'!$F$15/$N$5*F$5</f>
        <v>0</v>
      </c>
      <c r="G16" s="234">
        <f>'Tab 2'!$F$15/$N$5*G$5</f>
        <v>0</v>
      </c>
      <c r="H16" s="234">
        <f>'Tab 2'!$F$15/$N$5*H$5</f>
        <v>0</v>
      </c>
      <c r="I16" s="234">
        <f>'Tab 2'!$F$15/$N$5*I$5</f>
        <v>0</v>
      </c>
      <c r="J16" s="234">
        <f>'Tab 2'!$F$15/$N$5*J$5</f>
        <v>0</v>
      </c>
      <c r="K16" s="234">
        <f>'Tab 2'!$F$15/$N$5*K$5</f>
        <v>0</v>
      </c>
      <c r="L16" s="234">
        <f>'Tab 2'!$F$15/$N$5*L$5</f>
        <v>0</v>
      </c>
      <c r="M16" s="234">
        <f>'Tab 2'!$F$15/$N$5*M$5</f>
        <v>0</v>
      </c>
      <c r="N16" s="8">
        <f>SUM(B16:M16)</f>
        <v>0</v>
      </c>
      <c r="P16" s="234">
        <f>'Tab 2'!$F$33/$N$5*P$5</f>
        <v>0</v>
      </c>
      <c r="Q16" s="234">
        <f>'Tab 2'!$F$33/$N$5*Q$5</f>
        <v>0</v>
      </c>
      <c r="R16" s="234">
        <f>'Tab 2'!$F$33/$N$5*R$5</f>
        <v>0</v>
      </c>
      <c r="S16" s="234">
        <f>'Tab 2'!$F$33/$N$5*S$5</f>
        <v>0</v>
      </c>
    </row>
    <row r="17" spans="1:19" x14ac:dyDescent="0.2">
      <c r="A17" s="7" t="s">
        <v>71</v>
      </c>
      <c r="B17" s="234">
        <f>'Tab 2'!$I$15/$N$5*B$5</f>
        <v>2008.3404255319151</v>
      </c>
      <c r="C17" s="234">
        <f>'Tab 2'!$I$15/$N$5*C$5</f>
        <v>2231.489361702128</v>
      </c>
      <c r="D17" s="234">
        <f>'Tab 2'!$I$15/$N$5*D$5</f>
        <v>2566.2127659574471</v>
      </c>
      <c r="E17" s="234">
        <f>'Tab 2'!$I$15/$N$5*E$5</f>
        <v>2343.0638297872342</v>
      </c>
      <c r="F17" s="234">
        <f>'Tab 2'!$I$15/$N$5*F$5</f>
        <v>2343.0638297872342</v>
      </c>
      <c r="G17" s="234">
        <f>'Tab 2'!$I$15/$N$5*G$5</f>
        <v>2454.6382978723404</v>
      </c>
      <c r="H17" s="234">
        <f>'Tab 2'!$I$15/$N$5*H$5</f>
        <v>2454.6382978723404</v>
      </c>
      <c r="I17" s="234">
        <f>'Tab 2'!$I$15/$N$5*I$5</f>
        <v>1338.8936170212767</v>
      </c>
      <c r="J17" s="234">
        <f>'Tab 2'!$I$15/$N$5*J$5</f>
        <v>2454.6382978723404</v>
      </c>
      <c r="K17" s="234">
        <f>'Tab 2'!$I$15/$N$5*K$5</f>
        <v>2343.0638297872342</v>
      </c>
      <c r="L17" s="234">
        <f>'Tab 2'!$I$15/$N$5*L$5</f>
        <v>2343.0638297872342</v>
      </c>
      <c r="M17" s="234">
        <f>'Tab 2'!$I$15/$N$5*M$5</f>
        <v>1338.8936170212767</v>
      </c>
      <c r="N17" s="8">
        <f>SUM(B17:M17)</f>
        <v>26220.000000000004</v>
      </c>
      <c r="P17" s="234">
        <f>'Tab 2'!$I$33/$N$5*P$5</f>
        <v>2169.0076595744681</v>
      </c>
      <c r="Q17" s="234">
        <f>'Tab 2'!$I$33/$N$5*Q$5</f>
        <v>2410.0085106382976</v>
      </c>
      <c r="R17" s="234">
        <f>'Tab 2'!$I$33/$N$5*R$5</f>
        <v>2771.5097872340425</v>
      </c>
      <c r="S17" s="234">
        <f>'Tab 2'!$I$33/$N$5*S$5</f>
        <v>2530.5089361702126</v>
      </c>
    </row>
    <row r="18" spans="1:19" ht="17" thickBot="1" x14ac:dyDescent="0.25">
      <c r="A18" s="9" t="s">
        <v>3</v>
      </c>
      <c r="B18" s="10">
        <f t="shared" ref="B18:R18" si="3">SUM(B15:B17)</f>
        <v>3206.7160833768021</v>
      </c>
      <c r="C18" s="10">
        <f t="shared" si="3"/>
        <v>3563.0178704186692</v>
      </c>
      <c r="D18" s="10">
        <f t="shared" si="3"/>
        <v>4097.4705509814694</v>
      </c>
      <c r="E18" s="10">
        <f t="shared" si="3"/>
        <v>3741.1687639396023</v>
      </c>
      <c r="F18" s="10">
        <f t="shared" si="3"/>
        <v>3741.1687639396023</v>
      </c>
      <c r="G18" s="10">
        <f t="shared" si="3"/>
        <v>3919.3196574605354</v>
      </c>
      <c r="H18" s="10">
        <f t="shared" si="3"/>
        <v>3919.3196574605354</v>
      </c>
      <c r="I18" s="10">
        <f t="shared" si="3"/>
        <v>2137.8107222512012</v>
      </c>
      <c r="J18" s="10">
        <f t="shared" si="3"/>
        <v>3919.3196574605354</v>
      </c>
      <c r="K18" s="10">
        <f t="shared" si="3"/>
        <v>3741.1687639396023</v>
      </c>
      <c r="L18" s="10">
        <f t="shared" si="3"/>
        <v>3741.1687639396023</v>
      </c>
      <c r="M18" s="10">
        <f t="shared" si="3"/>
        <v>2137.8107222512012</v>
      </c>
      <c r="N18" s="10">
        <f t="shared" si="3"/>
        <v>41865.459977419363</v>
      </c>
      <c r="P18" s="10">
        <f t="shared" si="3"/>
        <v>3391.3508305762525</v>
      </c>
      <c r="Q18" s="10">
        <f t="shared" si="3"/>
        <v>3768.1675895291692</v>
      </c>
      <c r="R18" s="10">
        <f t="shared" si="3"/>
        <v>4333.392727958545</v>
      </c>
      <c r="S18" s="10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>
    <tabColor indexed="13"/>
  </sheetPr>
  <dimension ref="A2:M14"/>
  <sheetViews>
    <sheetView zoomScale="120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63" t="s">
        <v>41</v>
      </c>
    </row>
    <row r="3" spans="1:13" ht="14" thickBot="1" x14ac:dyDescent="0.2"/>
    <row r="4" spans="1:13" ht="16" x14ac:dyDescent="0.2">
      <c r="A4" s="235" t="s">
        <v>92</v>
      </c>
      <c r="B4" s="236" t="s">
        <v>11</v>
      </c>
      <c r="C4" s="236" t="s">
        <v>12</v>
      </c>
      <c r="D4" s="236" t="s">
        <v>13</v>
      </c>
      <c r="E4" s="236" t="s">
        <v>14</v>
      </c>
      <c r="F4" s="236" t="s">
        <v>15</v>
      </c>
      <c r="G4" s="236" t="s">
        <v>16</v>
      </c>
      <c r="H4" s="236" t="s">
        <v>17</v>
      </c>
      <c r="I4" s="236" t="s">
        <v>18</v>
      </c>
      <c r="J4" s="236" t="s">
        <v>19</v>
      </c>
      <c r="K4" s="236" t="s">
        <v>20</v>
      </c>
      <c r="L4" s="236" t="s">
        <v>21</v>
      </c>
      <c r="M4" s="237" t="s">
        <v>22</v>
      </c>
    </row>
    <row r="5" spans="1:13" ht="16" x14ac:dyDescent="0.2">
      <c r="A5" s="238" t="s">
        <v>69</v>
      </c>
      <c r="B5" s="64">
        <f>+'Tab 2'!$D$14</f>
        <v>180</v>
      </c>
      <c r="C5" s="64">
        <f>+'Tab 2'!$D$14</f>
        <v>180</v>
      </c>
      <c r="D5" s="64">
        <f>+'Tab 2'!$D$14</f>
        <v>180</v>
      </c>
      <c r="E5" s="64">
        <f>+'Tab 2'!$D$14</f>
        <v>180</v>
      </c>
      <c r="F5" s="64">
        <f>+'Tab 2'!$D$14</f>
        <v>180</v>
      </c>
      <c r="G5" s="64">
        <f>+'Tab 2'!$D$14</f>
        <v>180</v>
      </c>
      <c r="H5" s="64">
        <f>+'Tab 2'!$D$14</f>
        <v>180</v>
      </c>
      <c r="I5" s="64">
        <f>+'Tab 2'!$D$14</f>
        <v>180</v>
      </c>
      <c r="J5" s="64">
        <f>+'Tab 2'!$D$14</f>
        <v>180</v>
      </c>
      <c r="K5" s="64">
        <f>+'Tab 2'!$D$14</f>
        <v>180</v>
      </c>
      <c r="L5" s="64">
        <f>+'Tab 2'!$D$14</f>
        <v>180</v>
      </c>
      <c r="M5" s="240">
        <f>+'Tab 2'!$D$14</f>
        <v>180</v>
      </c>
    </row>
    <row r="6" spans="1:13" ht="16" x14ac:dyDescent="0.2">
      <c r="A6" s="238" t="s">
        <v>101</v>
      </c>
      <c r="B6" s="64">
        <f>'Tab 2'!$G$14</f>
        <v>180</v>
      </c>
      <c r="C6" s="64">
        <f>'Tab 2'!$G$14</f>
        <v>180</v>
      </c>
      <c r="D6" s="64">
        <f>'Tab 2'!$G$14</f>
        <v>180</v>
      </c>
      <c r="E6" s="64">
        <f>'Tab 2'!$G$14</f>
        <v>180</v>
      </c>
      <c r="F6" s="64">
        <f>'Tab 2'!$G$14</f>
        <v>180</v>
      </c>
      <c r="G6" s="64">
        <f>'Tab 2'!$G$14</f>
        <v>180</v>
      </c>
      <c r="H6" s="64">
        <f>'Tab 2'!$G$14</f>
        <v>180</v>
      </c>
      <c r="I6" s="64">
        <f>'Tab 2'!$G$14</f>
        <v>180</v>
      </c>
      <c r="J6" s="64">
        <f>'Tab 2'!$G$14</f>
        <v>180</v>
      </c>
      <c r="K6" s="64">
        <f>'Tab 2'!$G$14</f>
        <v>180</v>
      </c>
      <c r="L6" s="64">
        <f>'Tab 2'!$G$14</f>
        <v>180</v>
      </c>
      <c r="M6" s="240">
        <f>'Tab 2'!$G$14</f>
        <v>180</v>
      </c>
    </row>
    <row r="7" spans="1:13" ht="17" thickBot="1" x14ac:dyDescent="0.25">
      <c r="A7" s="239" t="s">
        <v>71</v>
      </c>
      <c r="B7" s="65">
        <f>'Tab 2'!$J$14</f>
        <v>180</v>
      </c>
      <c r="C7" s="65">
        <f>'Tab 2'!$J$14</f>
        <v>180</v>
      </c>
      <c r="D7" s="65">
        <f>'Tab 2'!$J$14</f>
        <v>180</v>
      </c>
      <c r="E7" s="65">
        <f>'Tab 2'!$J$14</f>
        <v>180</v>
      </c>
      <c r="F7" s="65">
        <f>'Tab 2'!$J$14</f>
        <v>180</v>
      </c>
      <c r="G7" s="65">
        <f>'Tab 2'!$J$14</f>
        <v>180</v>
      </c>
      <c r="H7" s="65">
        <f>'Tab 2'!$J$14</f>
        <v>180</v>
      </c>
      <c r="I7" s="65">
        <f>'Tab 2'!$J$14</f>
        <v>180</v>
      </c>
      <c r="J7" s="65">
        <f>'Tab 2'!$J$14</f>
        <v>180</v>
      </c>
      <c r="K7" s="65">
        <f>'Tab 2'!$J$14</f>
        <v>180</v>
      </c>
      <c r="L7" s="65">
        <f>'Tab 2'!$J$14</f>
        <v>180</v>
      </c>
      <c r="M7" s="241">
        <f>'Tab 2'!$J$14</f>
        <v>180</v>
      </c>
    </row>
    <row r="8" spans="1:13" ht="16" x14ac:dyDescent="0.2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6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7" thickBo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6" x14ac:dyDescent="0.2">
      <c r="A11" s="235" t="s">
        <v>93</v>
      </c>
      <c r="B11" s="236" t="s">
        <v>11</v>
      </c>
      <c r="C11" s="236" t="s">
        <v>12</v>
      </c>
      <c r="D11" s="236" t="s">
        <v>13</v>
      </c>
      <c r="E11" s="236" t="s">
        <v>14</v>
      </c>
      <c r="F11" s="236" t="s">
        <v>15</v>
      </c>
      <c r="G11" s="236" t="s">
        <v>16</v>
      </c>
      <c r="H11" s="236" t="s">
        <v>17</v>
      </c>
      <c r="I11" s="236" t="s">
        <v>18</v>
      </c>
      <c r="J11" s="236" t="s">
        <v>19</v>
      </c>
      <c r="K11" s="236" t="s">
        <v>20</v>
      </c>
      <c r="L11" s="236" t="s">
        <v>21</v>
      </c>
      <c r="M11" s="237" t="s">
        <v>22</v>
      </c>
    </row>
    <row r="12" spans="1:13" ht="16" x14ac:dyDescent="0.2">
      <c r="A12" s="238" t="s">
        <v>69</v>
      </c>
      <c r="B12" s="64">
        <f>'Tab 2'!$D$15</f>
        <v>500</v>
      </c>
      <c r="C12" s="64">
        <f>'Tab 2'!$D$15</f>
        <v>500</v>
      </c>
      <c r="D12" s="64">
        <f>'Tab 2'!$D$15</f>
        <v>500</v>
      </c>
      <c r="E12" s="64">
        <f>'Tab 2'!$D$15</f>
        <v>500</v>
      </c>
      <c r="F12" s="64">
        <f>'Tab 2'!$D$15</f>
        <v>500</v>
      </c>
      <c r="G12" s="64">
        <f>'Tab 2'!$D$15</f>
        <v>500</v>
      </c>
      <c r="H12" s="64">
        <f>'Tab 2'!$D$15</f>
        <v>500</v>
      </c>
      <c r="I12" s="64">
        <f>'Tab 2'!$D$15</f>
        <v>500</v>
      </c>
      <c r="J12" s="64">
        <f>'Tab 2'!$D$15</f>
        <v>500</v>
      </c>
      <c r="K12" s="64">
        <f>'Tab 2'!$D$15</f>
        <v>500</v>
      </c>
      <c r="L12" s="64">
        <f>'Tab 2'!$D$15</f>
        <v>500</v>
      </c>
      <c r="M12" s="240">
        <f>'Tab 2'!$D$15</f>
        <v>500</v>
      </c>
    </row>
    <row r="13" spans="1:13" ht="16" x14ac:dyDescent="0.2">
      <c r="A13" s="238" t="s">
        <v>101</v>
      </c>
      <c r="B13" s="64">
        <f>'Tab 2'!$G$15</f>
        <v>500</v>
      </c>
      <c r="C13" s="64">
        <f>'Tab 2'!$G$15</f>
        <v>500</v>
      </c>
      <c r="D13" s="64">
        <f>'Tab 2'!$G$15</f>
        <v>500</v>
      </c>
      <c r="E13" s="64">
        <f>'Tab 2'!$G$15</f>
        <v>500</v>
      </c>
      <c r="F13" s="64">
        <f>'Tab 2'!$G$15</f>
        <v>500</v>
      </c>
      <c r="G13" s="64">
        <f>'Tab 2'!$G$15</f>
        <v>500</v>
      </c>
      <c r="H13" s="64">
        <f>'Tab 2'!$G$15</f>
        <v>500</v>
      </c>
      <c r="I13" s="64">
        <f>'Tab 2'!$G$15</f>
        <v>500</v>
      </c>
      <c r="J13" s="64">
        <f>'Tab 2'!$G$15</f>
        <v>500</v>
      </c>
      <c r="K13" s="64">
        <f>'Tab 2'!$G$15</f>
        <v>500</v>
      </c>
      <c r="L13" s="64">
        <f>'Tab 2'!$G$15</f>
        <v>500</v>
      </c>
      <c r="M13" s="240">
        <f>'Tab 2'!$G$15</f>
        <v>500</v>
      </c>
    </row>
    <row r="14" spans="1:13" ht="17" thickBot="1" x14ac:dyDescent="0.25">
      <c r="A14" s="239" t="s">
        <v>71</v>
      </c>
      <c r="B14" s="65">
        <f>'Tab 2'!$J$15</f>
        <v>500</v>
      </c>
      <c r="C14" s="65">
        <f>'Tab 2'!$J$15</f>
        <v>500</v>
      </c>
      <c r="D14" s="65">
        <f>'Tab 2'!$J$15</f>
        <v>500</v>
      </c>
      <c r="E14" s="65">
        <f>'Tab 2'!$J$15</f>
        <v>500</v>
      </c>
      <c r="F14" s="65">
        <f>'Tab 2'!$J$15</f>
        <v>500</v>
      </c>
      <c r="G14" s="65">
        <f>'Tab 2'!$J$15</f>
        <v>500</v>
      </c>
      <c r="H14" s="65">
        <f>'Tab 2'!$J$15</f>
        <v>500</v>
      </c>
      <c r="I14" s="65">
        <f>'Tab 2'!$J$15</f>
        <v>500</v>
      </c>
      <c r="J14" s="65">
        <f>'Tab 2'!$J$15</f>
        <v>500</v>
      </c>
      <c r="K14" s="65">
        <f>'Tab 2'!$J$15</f>
        <v>500</v>
      </c>
      <c r="L14" s="65">
        <f>'Tab 2'!$J$15</f>
        <v>500</v>
      </c>
      <c r="M14" s="241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2:P79"/>
  <sheetViews>
    <sheetView topLeftCell="A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4" customWidth="1"/>
    <col min="2" max="2" width="11.1640625" style="4" bestFit="1" customWidth="1"/>
    <col min="3" max="13" width="12.83203125" style="4" customWidth="1"/>
    <col min="14" max="14" width="12.6640625" style="4" customWidth="1"/>
    <col min="15" max="15" width="9.1640625" style="4"/>
    <col min="16" max="16" width="12.33203125" style="4" customWidth="1"/>
    <col min="17" max="16384" width="9.1640625" style="4"/>
  </cols>
  <sheetData>
    <row r="2" spans="1:16" ht="17" thickBot="1" x14ac:dyDescent="0.25"/>
    <row r="3" spans="1:16" x14ac:dyDescent="0.2">
      <c r="A3" s="6" t="s">
        <v>110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22</v>
      </c>
      <c r="N3" s="56" t="s">
        <v>10</v>
      </c>
    </row>
    <row r="4" spans="1:16" x14ac:dyDescent="0.2">
      <c r="A4" s="4" t="s">
        <v>35</v>
      </c>
      <c r="B4" s="57">
        <f>B29+B77+B52</f>
        <v>52287.943518874396</v>
      </c>
      <c r="C4" s="57">
        <f t="shared" ref="C4:M4" si="0">C29+C77+C52</f>
        <v>58097.715020971547</v>
      </c>
      <c r="D4" s="57">
        <f t="shared" si="0"/>
        <v>66812.372274117282</v>
      </c>
      <c r="E4" s="57">
        <f t="shared" si="0"/>
        <v>61002.600772020123</v>
      </c>
      <c r="F4" s="57">
        <f t="shared" si="0"/>
        <v>61002.600772020123</v>
      </c>
      <c r="G4" s="57">
        <f t="shared" si="0"/>
        <v>63907.486523068699</v>
      </c>
      <c r="H4" s="57">
        <f t="shared" si="0"/>
        <v>63907.486523068699</v>
      </c>
      <c r="I4" s="57">
        <f t="shared" si="0"/>
        <v>34858.629012582925</v>
      </c>
      <c r="J4" s="57">
        <f t="shared" si="0"/>
        <v>63907.486523068699</v>
      </c>
      <c r="K4" s="57">
        <f t="shared" si="0"/>
        <v>61002.600772020123</v>
      </c>
      <c r="L4" s="57">
        <f t="shared" si="0"/>
        <v>61002.600772020123</v>
      </c>
      <c r="M4" s="57">
        <f t="shared" si="0"/>
        <v>34858.629012582925</v>
      </c>
      <c r="N4" s="58">
        <f>SUM(B4:M4)</f>
        <v>682648.15149641572</v>
      </c>
    </row>
    <row r="5" spans="1:16" x14ac:dyDescent="0.2">
      <c r="A5" s="4" t="s">
        <v>36</v>
      </c>
      <c r="B5" s="76">
        <f>B6/B4</f>
        <v>179.99999999999997</v>
      </c>
      <c r="C5" s="76">
        <f t="shared" ref="C5:M5" si="1">C6/C4</f>
        <v>180</v>
      </c>
      <c r="D5" s="76">
        <f t="shared" si="1"/>
        <v>179.99999999999997</v>
      </c>
      <c r="E5" s="76">
        <f t="shared" si="1"/>
        <v>180</v>
      </c>
      <c r="F5" s="76">
        <f t="shared" si="1"/>
        <v>180</v>
      </c>
      <c r="G5" s="76">
        <f t="shared" si="1"/>
        <v>180</v>
      </c>
      <c r="H5" s="76">
        <f t="shared" si="1"/>
        <v>180</v>
      </c>
      <c r="I5" s="76">
        <f t="shared" si="1"/>
        <v>180</v>
      </c>
      <c r="J5" s="76">
        <f t="shared" si="1"/>
        <v>180</v>
      </c>
      <c r="K5" s="76">
        <f t="shared" si="1"/>
        <v>180</v>
      </c>
      <c r="L5" s="76">
        <f t="shared" si="1"/>
        <v>180</v>
      </c>
      <c r="M5" s="76">
        <f t="shared" si="1"/>
        <v>180</v>
      </c>
      <c r="N5" s="77">
        <f>N6/N4</f>
        <v>180</v>
      </c>
      <c r="P5" s="4" t="s">
        <v>105</v>
      </c>
    </row>
    <row r="6" spans="1:16" x14ac:dyDescent="0.2">
      <c r="A6" s="13" t="s">
        <v>37</v>
      </c>
      <c r="B6" s="59">
        <f>B31+B79+B54</f>
        <v>9411829.8333973903</v>
      </c>
      <c r="C6" s="59">
        <f t="shared" ref="C6:M6" si="2">C31+C79+C54</f>
        <v>10457588.703774879</v>
      </c>
      <c r="D6" s="59">
        <f t="shared" si="2"/>
        <v>12026227.00934111</v>
      </c>
      <c r="E6" s="59">
        <f t="shared" si="2"/>
        <v>10980468.138963623</v>
      </c>
      <c r="F6" s="59">
        <f t="shared" si="2"/>
        <v>10980468.138963623</v>
      </c>
      <c r="G6" s="59">
        <f t="shared" si="2"/>
        <v>11503347.574152365</v>
      </c>
      <c r="H6" s="59">
        <f t="shared" si="2"/>
        <v>11503347.574152365</v>
      </c>
      <c r="I6" s="59">
        <f t="shared" si="2"/>
        <v>6274553.2222649269</v>
      </c>
      <c r="J6" s="59">
        <f t="shared" si="2"/>
        <v>11503347.574152365</v>
      </c>
      <c r="K6" s="59">
        <f t="shared" si="2"/>
        <v>10980468.138963623</v>
      </c>
      <c r="L6" s="59">
        <f t="shared" si="2"/>
        <v>10980468.138963623</v>
      </c>
      <c r="M6" s="59">
        <f t="shared" si="2"/>
        <v>6274553.2222649269</v>
      </c>
      <c r="N6" s="60">
        <f>SUM(B6:M6)</f>
        <v>122876667.26935484</v>
      </c>
      <c r="P6" s="94">
        <f>+N6-'Tab 3'!AA36</f>
        <v>0</v>
      </c>
    </row>
    <row r="27" spans="1:14" ht="17" thickBot="1" x14ac:dyDescent="0.25"/>
    <row r="28" spans="1:14" x14ac:dyDescent="0.2">
      <c r="A28" s="6" t="s">
        <v>111</v>
      </c>
      <c r="B28" s="6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6" t="s">
        <v>20</v>
      </c>
      <c r="L28" s="6" t="s">
        <v>21</v>
      </c>
      <c r="M28" s="6" t="s">
        <v>22</v>
      </c>
      <c r="N28" s="56" t="s">
        <v>10</v>
      </c>
    </row>
    <row r="29" spans="1:14" x14ac:dyDescent="0.2">
      <c r="A29" s="4" t="s">
        <v>35</v>
      </c>
      <c r="B29" s="57">
        <f>QUANTITÀ!B8</f>
        <v>18863.320540150991</v>
      </c>
      <c r="C29" s="57">
        <f>QUANTITÀ!C8</f>
        <v>20959.245044612213</v>
      </c>
      <c r="D29" s="57">
        <f>QUANTITÀ!D8</f>
        <v>24103.131801304044</v>
      </c>
      <c r="E29" s="57">
        <f>QUANTITÀ!E8</f>
        <v>22007.207296842822</v>
      </c>
      <c r="F29" s="57">
        <f>QUANTITÀ!F8</f>
        <v>22007.207296842822</v>
      </c>
      <c r="G29" s="57">
        <f>QUANTITÀ!G8</f>
        <v>23055.169549073435</v>
      </c>
      <c r="H29" s="57">
        <f>QUANTITÀ!H8</f>
        <v>23055.169549073435</v>
      </c>
      <c r="I29" s="57">
        <f>QUANTITÀ!I8</f>
        <v>12575.547026767326</v>
      </c>
      <c r="J29" s="57">
        <f>QUANTITÀ!J8</f>
        <v>23055.169549073435</v>
      </c>
      <c r="K29" s="57">
        <f>QUANTITÀ!K8</f>
        <v>22007.207296842822</v>
      </c>
      <c r="L29" s="57">
        <f>QUANTITÀ!L8</f>
        <v>22007.207296842822</v>
      </c>
      <c r="M29" s="57">
        <f>QUANTITÀ!M8</f>
        <v>12575.547026767326</v>
      </c>
      <c r="N29" s="58">
        <f>SUM(B29:M29)</f>
        <v>246271.12927419355</v>
      </c>
    </row>
    <row r="30" spans="1:14" x14ac:dyDescent="0.2">
      <c r="A30" s="4" t="s">
        <v>36</v>
      </c>
      <c r="B30" s="76">
        <f>PREZZI!B5</f>
        <v>180</v>
      </c>
      <c r="C30" s="76">
        <f>PREZZI!C5</f>
        <v>180</v>
      </c>
      <c r="D30" s="76">
        <f>PREZZI!D5</f>
        <v>180</v>
      </c>
      <c r="E30" s="76">
        <f>PREZZI!E5</f>
        <v>180</v>
      </c>
      <c r="F30" s="76">
        <f>PREZZI!F5</f>
        <v>180</v>
      </c>
      <c r="G30" s="76">
        <f>PREZZI!G5</f>
        <v>180</v>
      </c>
      <c r="H30" s="76">
        <f>PREZZI!H5</f>
        <v>180</v>
      </c>
      <c r="I30" s="76">
        <f>PREZZI!I5</f>
        <v>180</v>
      </c>
      <c r="J30" s="76">
        <f>PREZZI!J5</f>
        <v>180</v>
      </c>
      <c r="K30" s="76">
        <f>PREZZI!K5</f>
        <v>180</v>
      </c>
      <c r="L30" s="76">
        <f>PREZZI!L5</f>
        <v>180</v>
      </c>
      <c r="M30" s="76">
        <f>PREZZI!M5</f>
        <v>180</v>
      </c>
      <c r="N30" s="77">
        <f>(N31)/N29</f>
        <v>180.00000000000003</v>
      </c>
    </row>
    <row r="31" spans="1:14" x14ac:dyDescent="0.2">
      <c r="A31" s="13" t="s">
        <v>37</v>
      </c>
      <c r="B31" s="59">
        <f>B29*B30</f>
        <v>3395397.6972271786</v>
      </c>
      <c r="C31" s="59">
        <f t="shared" ref="C31:M31" si="3">C29*C30</f>
        <v>3772664.1080301981</v>
      </c>
      <c r="D31" s="59">
        <f t="shared" si="3"/>
        <v>4338563.7242347281</v>
      </c>
      <c r="E31" s="59">
        <f t="shared" si="3"/>
        <v>3961297.3134317081</v>
      </c>
      <c r="F31" s="59">
        <f t="shared" si="3"/>
        <v>3961297.3134317081</v>
      </c>
      <c r="G31" s="59">
        <f t="shared" si="3"/>
        <v>4149930.5188332181</v>
      </c>
      <c r="H31" s="59">
        <f t="shared" si="3"/>
        <v>4149930.5188332181</v>
      </c>
      <c r="I31" s="59">
        <f t="shared" si="3"/>
        <v>2263598.4648181186</v>
      </c>
      <c r="J31" s="59">
        <f t="shared" si="3"/>
        <v>4149930.5188332181</v>
      </c>
      <c r="K31" s="59">
        <f t="shared" si="3"/>
        <v>3961297.3134317081</v>
      </c>
      <c r="L31" s="59">
        <f t="shared" si="3"/>
        <v>3961297.3134317081</v>
      </c>
      <c r="M31" s="59">
        <f t="shared" si="3"/>
        <v>2263598.4648181186</v>
      </c>
      <c r="N31" s="60">
        <f>SUM(B31:M31)</f>
        <v>44328803.269354843</v>
      </c>
    </row>
    <row r="50" spans="1:14" ht="17" thickBot="1" x14ac:dyDescent="0.25"/>
    <row r="51" spans="1:14" x14ac:dyDescent="0.2">
      <c r="A51" s="6" t="s">
        <v>112</v>
      </c>
      <c r="B51" s="6" t="s">
        <v>11</v>
      </c>
      <c r="C51" s="6" t="s">
        <v>12</v>
      </c>
      <c r="D51" s="6" t="s">
        <v>13</v>
      </c>
      <c r="E51" s="6" t="s">
        <v>14</v>
      </c>
      <c r="F51" s="6" t="s">
        <v>15</v>
      </c>
      <c r="G51" s="6" t="s">
        <v>16</v>
      </c>
      <c r="H51" s="6" t="s">
        <v>17</v>
      </c>
      <c r="I51" s="6" t="s">
        <v>18</v>
      </c>
      <c r="J51" s="6" t="s">
        <v>19</v>
      </c>
      <c r="K51" s="6" t="s">
        <v>20</v>
      </c>
      <c r="L51" s="6" t="s">
        <v>21</v>
      </c>
      <c r="M51" s="6" t="s">
        <v>22</v>
      </c>
      <c r="N51" s="56" t="s">
        <v>10</v>
      </c>
    </row>
    <row r="52" spans="1:14" x14ac:dyDescent="0.2">
      <c r="A52" s="4" t="s">
        <v>35</v>
      </c>
      <c r="B52" s="57">
        <f>+QUANTITÀ!B9</f>
        <v>33131.005957446803</v>
      </c>
      <c r="C52" s="57">
        <f>+QUANTITÀ!C9</f>
        <v>36812.228841607561</v>
      </c>
      <c r="D52" s="57">
        <f>+QUANTITÀ!D9</f>
        <v>42334.063167848697</v>
      </c>
      <c r="E52" s="57">
        <f>+QUANTITÀ!E9</f>
        <v>38652.84028368794</v>
      </c>
      <c r="F52" s="57">
        <f>+QUANTITÀ!F9</f>
        <v>38652.84028368794</v>
      </c>
      <c r="G52" s="57">
        <f>+QUANTITÀ!G9</f>
        <v>40493.451725768318</v>
      </c>
      <c r="H52" s="57">
        <f>+QUANTITÀ!H9</f>
        <v>40493.451725768318</v>
      </c>
      <c r="I52" s="57">
        <f>+QUANTITÀ!I9</f>
        <v>22087.337304964538</v>
      </c>
      <c r="J52" s="57">
        <f>+QUANTITÀ!J9</f>
        <v>40493.451725768318</v>
      </c>
      <c r="K52" s="57">
        <f>+QUANTITÀ!K9</f>
        <v>38652.84028368794</v>
      </c>
      <c r="L52" s="57">
        <f>+QUANTITÀ!L9</f>
        <v>38652.84028368794</v>
      </c>
      <c r="M52" s="57">
        <f>+QUANTITÀ!M9</f>
        <v>22087.337304964538</v>
      </c>
      <c r="N52" s="58">
        <f>SUM(B52:M52)</f>
        <v>432543.68888888886</v>
      </c>
    </row>
    <row r="53" spans="1:14" x14ac:dyDescent="0.2">
      <c r="A53" s="4" t="s">
        <v>36</v>
      </c>
      <c r="B53" s="76">
        <f>+PREZZI!B6</f>
        <v>180</v>
      </c>
      <c r="C53" s="76">
        <f>+PREZZI!C6</f>
        <v>180</v>
      </c>
      <c r="D53" s="76">
        <f>+PREZZI!D6</f>
        <v>180</v>
      </c>
      <c r="E53" s="76">
        <f>+PREZZI!E6</f>
        <v>180</v>
      </c>
      <c r="F53" s="76">
        <f>+PREZZI!F6</f>
        <v>180</v>
      </c>
      <c r="G53" s="76">
        <f>+PREZZI!G6</f>
        <v>180</v>
      </c>
      <c r="H53" s="76">
        <f>+PREZZI!H6</f>
        <v>180</v>
      </c>
      <c r="I53" s="76">
        <f>+PREZZI!I6</f>
        <v>180</v>
      </c>
      <c r="J53" s="76">
        <f>+PREZZI!J6</f>
        <v>180</v>
      </c>
      <c r="K53" s="76">
        <f>+PREZZI!K6</f>
        <v>180</v>
      </c>
      <c r="L53" s="76">
        <f>+PREZZI!L6</f>
        <v>180</v>
      </c>
      <c r="M53" s="76">
        <f>+PREZZI!M6</f>
        <v>180</v>
      </c>
      <c r="N53" s="77">
        <f>(N54)/N52</f>
        <v>180</v>
      </c>
    </row>
    <row r="54" spans="1:14" x14ac:dyDescent="0.2">
      <c r="A54" s="13" t="s">
        <v>37</v>
      </c>
      <c r="B54" s="59">
        <f>B52*B53</f>
        <v>5963581.0723404242</v>
      </c>
      <c r="C54" s="59">
        <f t="shared" ref="C54:M54" si="4">C52*C53</f>
        <v>6626201.1914893612</v>
      </c>
      <c r="D54" s="59">
        <f t="shared" si="4"/>
        <v>7620131.3702127654</v>
      </c>
      <c r="E54" s="59">
        <f t="shared" si="4"/>
        <v>6957511.2510638293</v>
      </c>
      <c r="F54" s="59">
        <f t="shared" si="4"/>
        <v>6957511.2510638293</v>
      </c>
      <c r="G54" s="59">
        <f t="shared" si="4"/>
        <v>7288821.3106382973</v>
      </c>
      <c r="H54" s="59">
        <f t="shared" si="4"/>
        <v>7288821.3106382973</v>
      </c>
      <c r="I54" s="59">
        <f t="shared" si="4"/>
        <v>3975720.7148936167</v>
      </c>
      <c r="J54" s="59">
        <f t="shared" si="4"/>
        <v>7288821.3106382973</v>
      </c>
      <c r="K54" s="59">
        <f t="shared" si="4"/>
        <v>6957511.2510638293</v>
      </c>
      <c r="L54" s="59">
        <f t="shared" si="4"/>
        <v>6957511.2510638293</v>
      </c>
      <c r="M54" s="59">
        <f t="shared" si="4"/>
        <v>3975720.7148936167</v>
      </c>
      <c r="N54" s="60">
        <f>SUM(B54:M54)</f>
        <v>77857864</v>
      </c>
    </row>
    <row r="75" spans="1:14" ht="17" thickBot="1" x14ac:dyDescent="0.25"/>
    <row r="76" spans="1:14" x14ac:dyDescent="0.2">
      <c r="A76" s="6" t="s">
        <v>113</v>
      </c>
      <c r="B76" s="6" t="s">
        <v>11</v>
      </c>
      <c r="C76" s="6" t="s">
        <v>12</v>
      </c>
      <c r="D76" s="6" t="s">
        <v>13</v>
      </c>
      <c r="E76" s="6" t="s">
        <v>14</v>
      </c>
      <c r="F76" s="6" t="s">
        <v>15</v>
      </c>
      <c r="G76" s="6" t="s">
        <v>16</v>
      </c>
      <c r="H76" s="6" t="s">
        <v>17</v>
      </c>
      <c r="I76" s="6" t="s">
        <v>18</v>
      </c>
      <c r="J76" s="6" t="s">
        <v>19</v>
      </c>
      <c r="K76" s="6" t="s">
        <v>20</v>
      </c>
      <c r="L76" s="6" t="s">
        <v>21</v>
      </c>
      <c r="M76" s="6" t="s">
        <v>22</v>
      </c>
      <c r="N76" s="56" t="s">
        <v>10</v>
      </c>
    </row>
    <row r="77" spans="1:14" x14ac:dyDescent="0.2">
      <c r="A77" s="4" t="s">
        <v>35</v>
      </c>
      <c r="B77" s="57">
        <f>QUANTITÀ!B10</f>
        <v>293.61702127659601</v>
      </c>
      <c r="C77" s="57">
        <f>QUANTITÀ!C10</f>
        <v>326.2411347517733</v>
      </c>
      <c r="D77" s="57">
        <f>QUANTITÀ!D10</f>
        <v>375.1773049645393</v>
      </c>
      <c r="E77" s="57">
        <f>QUANTITÀ!E10</f>
        <v>342.55319148936201</v>
      </c>
      <c r="F77" s="57">
        <f>QUANTITÀ!F10</f>
        <v>342.55319148936201</v>
      </c>
      <c r="G77" s="57">
        <f>QUANTITÀ!G10</f>
        <v>358.86524822695065</v>
      </c>
      <c r="H77" s="57">
        <f>QUANTITÀ!H10</f>
        <v>358.86524822695065</v>
      </c>
      <c r="I77" s="57">
        <f>QUANTITÀ!I10</f>
        <v>195.744680851064</v>
      </c>
      <c r="J77" s="57">
        <f>QUANTITÀ!J10</f>
        <v>358.86524822695065</v>
      </c>
      <c r="K77" s="57">
        <f>QUANTITÀ!K10</f>
        <v>342.55319148936201</v>
      </c>
      <c r="L77" s="57">
        <f>QUANTITÀ!L10</f>
        <v>342.55319148936201</v>
      </c>
      <c r="M77" s="57">
        <f>QUANTITÀ!M10</f>
        <v>195.744680851064</v>
      </c>
      <c r="N77" s="58">
        <f>SUM(B77:M77)</f>
        <v>3833.3333333333367</v>
      </c>
    </row>
    <row r="78" spans="1:14" x14ac:dyDescent="0.2">
      <c r="A78" s="4" t="s">
        <v>36</v>
      </c>
      <c r="B78" s="76">
        <f>PREZZI!B7</f>
        <v>180</v>
      </c>
      <c r="C78" s="76">
        <f>PREZZI!C7</f>
        <v>180</v>
      </c>
      <c r="D78" s="76">
        <f>PREZZI!D7</f>
        <v>180</v>
      </c>
      <c r="E78" s="76">
        <f>PREZZI!E7</f>
        <v>180</v>
      </c>
      <c r="F78" s="76">
        <f>PREZZI!F7</f>
        <v>180</v>
      </c>
      <c r="G78" s="76">
        <f>PREZZI!G7</f>
        <v>180</v>
      </c>
      <c r="H78" s="76">
        <f>PREZZI!H7</f>
        <v>180</v>
      </c>
      <c r="I78" s="76">
        <f>PREZZI!I7</f>
        <v>180</v>
      </c>
      <c r="J78" s="76">
        <f>PREZZI!J7</f>
        <v>180</v>
      </c>
      <c r="K78" s="76">
        <f>PREZZI!K7</f>
        <v>180</v>
      </c>
      <c r="L78" s="76">
        <f>PREZZI!L7</f>
        <v>180</v>
      </c>
      <c r="M78" s="76">
        <f>PREZZI!M7</f>
        <v>180</v>
      </c>
      <c r="N78" s="77">
        <f>(N79*1000)/N77</f>
        <v>180000.00000000003</v>
      </c>
    </row>
    <row r="79" spans="1:14" x14ac:dyDescent="0.2">
      <c r="A79" s="13" t="s">
        <v>37</v>
      </c>
      <c r="B79" s="59">
        <f>B77*B78</f>
        <v>52851.063829787279</v>
      </c>
      <c r="C79" s="59">
        <f t="shared" ref="C79:M79" si="5">C77*C78</f>
        <v>58723.404255319198</v>
      </c>
      <c r="D79" s="59">
        <f t="shared" si="5"/>
        <v>67531.914893617068</v>
      </c>
      <c r="E79" s="59">
        <f t="shared" si="5"/>
        <v>61659.574468085164</v>
      </c>
      <c r="F79" s="59">
        <f t="shared" si="5"/>
        <v>61659.574468085164</v>
      </c>
      <c r="G79" s="59">
        <f t="shared" si="5"/>
        <v>64595.744680851116</v>
      </c>
      <c r="H79" s="59">
        <f t="shared" si="5"/>
        <v>64595.744680851116</v>
      </c>
      <c r="I79" s="59">
        <f t="shared" si="5"/>
        <v>35234.042553191524</v>
      </c>
      <c r="J79" s="59">
        <f t="shared" si="5"/>
        <v>64595.744680851116</v>
      </c>
      <c r="K79" s="59">
        <f t="shared" si="5"/>
        <v>61659.574468085164</v>
      </c>
      <c r="L79" s="59">
        <f t="shared" si="5"/>
        <v>61659.574468085164</v>
      </c>
      <c r="M79" s="59">
        <f t="shared" si="5"/>
        <v>35234.042553191524</v>
      </c>
      <c r="N79" s="60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2:P84"/>
  <sheetViews>
    <sheetView topLeftCell="A20"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79" bestFit="1" customWidth="1"/>
    <col min="2" max="5" width="11.5" style="4" bestFit="1" customWidth="1"/>
    <col min="6" max="13" width="10.5" style="4" bestFit="1" customWidth="1"/>
    <col min="14" max="14" width="13.5" style="4" bestFit="1" customWidth="1"/>
    <col min="15" max="16384" width="9.1640625" style="4"/>
  </cols>
  <sheetData>
    <row r="2" spans="1:16" ht="17" thickBot="1" x14ac:dyDescent="0.25"/>
    <row r="3" spans="1:16" x14ac:dyDescent="0.2">
      <c r="A3" s="235" t="s">
        <v>106</v>
      </c>
      <c r="B3" s="236" t="s">
        <v>11</v>
      </c>
      <c r="C3" s="236" t="s">
        <v>12</v>
      </c>
      <c r="D3" s="236" t="s">
        <v>13</v>
      </c>
      <c r="E3" s="236" t="s">
        <v>14</v>
      </c>
      <c r="F3" s="236" t="s">
        <v>15</v>
      </c>
      <c r="G3" s="236" t="s">
        <v>16</v>
      </c>
      <c r="H3" s="236" t="s">
        <v>17</v>
      </c>
      <c r="I3" s="236" t="s">
        <v>18</v>
      </c>
      <c r="J3" s="236" t="s">
        <v>19</v>
      </c>
      <c r="K3" s="236" t="s">
        <v>20</v>
      </c>
      <c r="L3" s="236" t="s">
        <v>21</v>
      </c>
      <c r="M3" s="236" t="s">
        <v>22</v>
      </c>
      <c r="N3" s="242" t="s">
        <v>10</v>
      </c>
    </row>
    <row r="4" spans="1:16" x14ac:dyDescent="0.2">
      <c r="A4" s="243" t="s">
        <v>35</v>
      </c>
      <c r="B4" s="90">
        <f t="shared" ref="B4:M4" si="0">B29+B54+B79</f>
        <v>3206.7160833768021</v>
      </c>
      <c r="C4" s="90">
        <f t="shared" si="0"/>
        <v>3563.0178704186692</v>
      </c>
      <c r="D4" s="90">
        <f t="shared" si="0"/>
        <v>4097.4705509814694</v>
      </c>
      <c r="E4" s="90">
        <f t="shared" si="0"/>
        <v>3741.1687639396023</v>
      </c>
      <c r="F4" s="90">
        <f t="shared" si="0"/>
        <v>3741.1687639396023</v>
      </c>
      <c r="G4" s="90">
        <f t="shared" si="0"/>
        <v>3919.3196574605354</v>
      </c>
      <c r="H4" s="90">
        <f t="shared" si="0"/>
        <v>3919.3196574605354</v>
      </c>
      <c r="I4" s="90">
        <f t="shared" si="0"/>
        <v>2137.8107222512012</v>
      </c>
      <c r="J4" s="90">
        <f t="shared" si="0"/>
        <v>3919.3196574605354</v>
      </c>
      <c r="K4" s="90">
        <f t="shared" si="0"/>
        <v>3741.1687639396023</v>
      </c>
      <c r="L4" s="90">
        <f t="shared" si="0"/>
        <v>3741.1687639396023</v>
      </c>
      <c r="M4" s="90">
        <f t="shared" si="0"/>
        <v>2137.8107222512012</v>
      </c>
      <c r="N4" s="244">
        <f>SUM(B4:M4)</f>
        <v>41865.459977419363</v>
      </c>
    </row>
    <row r="5" spans="1:16" x14ac:dyDescent="0.2">
      <c r="A5" s="243" t="s">
        <v>36</v>
      </c>
      <c r="B5" s="66">
        <f>B6/B4</f>
        <v>500</v>
      </c>
      <c r="C5" s="66">
        <f t="shared" ref="C5:M5" si="1">C6/C4</f>
        <v>499.99999999999994</v>
      </c>
      <c r="D5" s="66">
        <f t="shared" si="1"/>
        <v>500</v>
      </c>
      <c r="E5" s="66">
        <f t="shared" si="1"/>
        <v>500</v>
      </c>
      <c r="F5" s="66">
        <f t="shared" si="1"/>
        <v>500</v>
      </c>
      <c r="G5" s="66">
        <f t="shared" si="1"/>
        <v>499.99999999999994</v>
      </c>
      <c r="H5" s="66">
        <f t="shared" si="1"/>
        <v>499.99999999999994</v>
      </c>
      <c r="I5" s="66">
        <f t="shared" si="1"/>
        <v>499.99999999999994</v>
      </c>
      <c r="J5" s="66">
        <f t="shared" si="1"/>
        <v>499.99999999999994</v>
      </c>
      <c r="K5" s="66">
        <f t="shared" si="1"/>
        <v>500</v>
      </c>
      <c r="L5" s="66">
        <f t="shared" si="1"/>
        <v>500</v>
      </c>
      <c r="M5" s="66">
        <f t="shared" si="1"/>
        <v>499.99999999999994</v>
      </c>
      <c r="N5" s="245">
        <f>N6/N4</f>
        <v>499.99999999999989</v>
      </c>
      <c r="P5" s="4" t="s">
        <v>105</v>
      </c>
    </row>
    <row r="6" spans="1:16" ht="17" thickBot="1" x14ac:dyDescent="0.25">
      <c r="A6" s="43" t="s">
        <v>37</v>
      </c>
      <c r="B6" s="246">
        <f t="shared" ref="B6:M6" si="2">B31+B56+B81</f>
        <v>1603358.041688401</v>
      </c>
      <c r="C6" s="246">
        <f t="shared" si="2"/>
        <v>1781508.9352093344</v>
      </c>
      <c r="D6" s="246">
        <f t="shared" si="2"/>
        <v>2048735.2754907347</v>
      </c>
      <c r="E6" s="246">
        <f t="shared" si="2"/>
        <v>1870584.3819698012</v>
      </c>
      <c r="F6" s="246">
        <f t="shared" si="2"/>
        <v>1870584.3819698012</v>
      </c>
      <c r="G6" s="246">
        <f t="shared" si="2"/>
        <v>1959659.8287302675</v>
      </c>
      <c r="H6" s="246">
        <f t="shared" si="2"/>
        <v>1959659.8287302675</v>
      </c>
      <c r="I6" s="246">
        <f t="shared" si="2"/>
        <v>1068905.3611256005</v>
      </c>
      <c r="J6" s="246">
        <f t="shared" si="2"/>
        <v>1959659.8287302675</v>
      </c>
      <c r="K6" s="246">
        <f t="shared" si="2"/>
        <v>1870584.3819698012</v>
      </c>
      <c r="L6" s="246">
        <f t="shared" si="2"/>
        <v>1870584.3819698012</v>
      </c>
      <c r="M6" s="246">
        <f t="shared" si="2"/>
        <v>1068905.3611256005</v>
      </c>
      <c r="N6" s="247">
        <f>SUM(B6:M6)</f>
        <v>20932729.988709677</v>
      </c>
      <c r="P6" s="94">
        <f>+N6-'Tab 3'!AA42</f>
        <v>0</v>
      </c>
    </row>
    <row r="25" spans="1:14" ht="17" thickBot="1" x14ac:dyDescent="0.25">
      <c r="A25" s="80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spans="1:14" ht="17" thickTop="1" x14ac:dyDescent="0.2"/>
    <row r="27" spans="1:14" ht="17" thickBot="1" x14ac:dyDescent="0.25"/>
    <row r="28" spans="1:14" x14ac:dyDescent="0.2">
      <c r="A28" s="235" t="s">
        <v>107</v>
      </c>
      <c r="B28" s="236" t="s">
        <v>11</v>
      </c>
      <c r="C28" s="236" t="s">
        <v>12</v>
      </c>
      <c r="D28" s="236" t="s">
        <v>13</v>
      </c>
      <c r="E28" s="236" t="s">
        <v>14</v>
      </c>
      <c r="F28" s="236" t="s">
        <v>15</v>
      </c>
      <c r="G28" s="236" t="s">
        <v>16</v>
      </c>
      <c r="H28" s="236" t="s">
        <v>17</v>
      </c>
      <c r="I28" s="236" t="s">
        <v>18</v>
      </c>
      <c r="J28" s="236" t="s">
        <v>19</v>
      </c>
      <c r="K28" s="236" t="s">
        <v>20</v>
      </c>
      <c r="L28" s="236" t="s">
        <v>21</v>
      </c>
      <c r="M28" s="236" t="s">
        <v>22</v>
      </c>
      <c r="N28" s="242" t="s">
        <v>10</v>
      </c>
    </row>
    <row r="29" spans="1:14" x14ac:dyDescent="0.2">
      <c r="A29" s="243" t="s">
        <v>35</v>
      </c>
      <c r="B29" s="90">
        <f>QUANTITÀ!B15</f>
        <v>1198.375657844887</v>
      </c>
      <c r="C29" s="90">
        <f>QUANTITÀ!C15</f>
        <v>1331.528508716541</v>
      </c>
      <c r="D29" s="90">
        <f>QUANTITÀ!D15</f>
        <v>1531.257785024022</v>
      </c>
      <c r="E29" s="90">
        <f>QUANTITÀ!E15</f>
        <v>1398.1049341523681</v>
      </c>
      <c r="F29" s="90">
        <f>QUANTITÀ!F15</f>
        <v>1398.1049341523681</v>
      </c>
      <c r="G29" s="90">
        <f>QUANTITÀ!G15</f>
        <v>1464.6813595881949</v>
      </c>
      <c r="H29" s="90">
        <f>QUANTITÀ!H15</f>
        <v>1464.6813595881949</v>
      </c>
      <c r="I29" s="90">
        <f>QUANTITÀ!I15</f>
        <v>798.91710522992457</v>
      </c>
      <c r="J29" s="90">
        <f>QUANTITÀ!J15</f>
        <v>1464.6813595881949</v>
      </c>
      <c r="K29" s="90">
        <f>QUANTITÀ!K15</f>
        <v>1398.1049341523681</v>
      </c>
      <c r="L29" s="90">
        <f>QUANTITÀ!L15</f>
        <v>1398.1049341523681</v>
      </c>
      <c r="M29" s="90">
        <f>QUANTITÀ!M15</f>
        <v>798.91710522992457</v>
      </c>
      <c r="N29" s="244">
        <f>SUM(B29:M29)</f>
        <v>15645.459977419356</v>
      </c>
    </row>
    <row r="30" spans="1:14" x14ac:dyDescent="0.2">
      <c r="A30" s="243" t="s">
        <v>36</v>
      </c>
      <c r="B30" s="66">
        <f>PREZZI!B12</f>
        <v>500</v>
      </c>
      <c r="C30" s="66">
        <f>PREZZI!C12</f>
        <v>500</v>
      </c>
      <c r="D30" s="66">
        <f>PREZZI!D12</f>
        <v>500</v>
      </c>
      <c r="E30" s="66">
        <f>PREZZI!E12</f>
        <v>500</v>
      </c>
      <c r="F30" s="66">
        <f>PREZZI!F12</f>
        <v>500</v>
      </c>
      <c r="G30" s="66">
        <f>PREZZI!G12</f>
        <v>500</v>
      </c>
      <c r="H30" s="66">
        <f>PREZZI!H12</f>
        <v>500</v>
      </c>
      <c r="I30" s="66">
        <f>PREZZI!I12</f>
        <v>500</v>
      </c>
      <c r="J30" s="66">
        <f>PREZZI!J12</f>
        <v>500</v>
      </c>
      <c r="K30" s="66">
        <f>PREZZI!K12</f>
        <v>500</v>
      </c>
      <c r="L30" s="66">
        <f>PREZZI!L12</f>
        <v>500</v>
      </c>
      <c r="M30" s="66">
        <f>PREZZI!M12</f>
        <v>500</v>
      </c>
      <c r="N30" s="245">
        <f>N31/N29</f>
        <v>500.00000000000006</v>
      </c>
    </row>
    <row r="31" spans="1:14" ht="17" thickBot="1" x14ac:dyDescent="0.25">
      <c r="A31" s="43" t="s">
        <v>37</v>
      </c>
      <c r="B31" s="246">
        <f>B29*B30</f>
        <v>599187.82892244344</v>
      </c>
      <c r="C31" s="246">
        <f t="shared" ref="C31:M31" si="3">C29*C30</f>
        <v>665764.25435827044</v>
      </c>
      <c r="D31" s="246">
        <f t="shared" si="3"/>
        <v>765628.89251201099</v>
      </c>
      <c r="E31" s="246">
        <f t="shared" si="3"/>
        <v>699052.467076184</v>
      </c>
      <c r="F31" s="246">
        <f t="shared" si="3"/>
        <v>699052.467076184</v>
      </c>
      <c r="G31" s="246">
        <f t="shared" si="3"/>
        <v>732340.67979409744</v>
      </c>
      <c r="H31" s="246">
        <f t="shared" si="3"/>
        <v>732340.67979409744</v>
      </c>
      <c r="I31" s="246">
        <f t="shared" si="3"/>
        <v>399458.55261496227</v>
      </c>
      <c r="J31" s="246">
        <f t="shared" si="3"/>
        <v>732340.67979409744</v>
      </c>
      <c r="K31" s="246">
        <f t="shared" si="3"/>
        <v>699052.467076184</v>
      </c>
      <c r="L31" s="246">
        <f t="shared" si="3"/>
        <v>699052.467076184</v>
      </c>
      <c r="M31" s="246">
        <f t="shared" si="3"/>
        <v>399458.55261496227</v>
      </c>
      <c r="N31" s="247">
        <f>SUM(B31:M31)</f>
        <v>7822729.9887096789</v>
      </c>
    </row>
    <row r="52" spans="1:14" ht="17" thickBot="1" x14ac:dyDescent="0.25"/>
    <row r="53" spans="1:14" x14ac:dyDescent="0.2">
      <c r="A53" s="248" t="s">
        <v>108</v>
      </c>
      <c r="B53" s="236" t="s">
        <v>11</v>
      </c>
      <c r="C53" s="236" t="s">
        <v>12</v>
      </c>
      <c r="D53" s="236" t="s">
        <v>13</v>
      </c>
      <c r="E53" s="236" t="s">
        <v>14</v>
      </c>
      <c r="F53" s="236" t="s">
        <v>15</v>
      </c>
      <c r="G53" s="236" t="s">
        <v>16</v>
      </c>
      <c r="H53" s="236" t="s">
        <v>17</v>
      </c>
      <c r="I53" s="236" t="s">
        <v>18</v>
      </c>
      <c r="J53" s="236" t="s">
        <v>19</v>
      </c>
      <c r="K53" s="236" t="s">
        <v>20</v>
      </c>
      <c r="L53" s="236" t="s">
        <v>21</v>
      </c>
      <c r="M53" s="236" t="s">
        <v>22</v>
      </c>
      <c r="N53" s="242" t="s">
        <v>10</v>
      </c>
    </row>
    <row r="54" spans="1:14" x14ac:dyDescent="0.2">
      <c r="A54" s="243" t="s">
        <v>35</v>
      </c>
      <c r="B54" s="90">
        <f>QUANTITÀ!B16</f>
        <v>0</v>
      </c>
      <c r="C54" s="90">
        <f>QUANTITÀ!C16</f>
        <v>0</v>
      </c>
      <c r="D54" s="90">
        <f>QUANTITÀ!D16</f>
        <v>0</v>
      </c>
      <c r="E54" s="90">
        <f>QUANTITÀ!E16</f>
        <v>0</v>
      </c>
      <c r="F54" s="90">
        <f>QUANTITÀ!F16</f>
        <v>0</v>
      </c>
      <c r="G54" s="90">
        <f>QUANTITÀ!G16</f>
        <v>0</v>
      </c>
      <c r="H54" s="90">
        <f>QUANTITÀ!H16</f>
        <v>0</v>
      </c>
      <c r="I54" s="90">
        <f>QUANTITÀ!I16</f>
        <v>0</v>
      </c>
      <c r="J54" s="90">
        <f>QUANTITÀ!J16</f>
        <v>0</v>
      </c>
      <c r="K54" s="90">
        <f>QUANTITÀ!K16</f>
        <v>0</v>
      </c>
      <c r="L54" s="90">
        <f>QUANTITÀ!L16</f>
        <v>0</v>
      </c>
      <c r="M54" s="90">
        <f>QUANTITÀ!M16</f>
        <v>0</v>
      </c>
      <c r="N54" s="244">
        <f>SUM(B54:M54)</f>
        <v>0</v>
      </c>
    </row>
    <row r="55" spans="1:14" x14ac:dyDescent="0.2">
      <c r="A55" s="243" t="s">
        <v>36</v>
      </c>
      <c r="B55" s="66">
        <f>PREZZI!B13</f>
        <v>500</v>
      </c>
      <c r="C55" s="66">
        <f>PREZZI!C13</f>
        <v>500</v>
      </c>
      <c r="D55" s="66">
        <f>PREZZI!D13</f>
        <v>500</v>
      </c>
      <c r="E55" s="66">
        <f>PREZZI!E13</f>
        <v>500</v>
      </c>
      <c r="F55" s="66">
        <f>PREZZI!F13</f>
        <v>500</v>
      </c>
      <c r="G55" s="66">
        <f>PREZZI!G13</f>
        <v>500</v>
      </c>
      <c r="H55" s="66">
        <f>PREZZI!H13</f>
        <v>500</v>
      </c>
      <c r="I55" s="66">
        <f>PREZZI!I13</f>
        <v>500</v>
      </c>
      <c r="J55" s="66">
        <f>PREZZI!J13</f>
        <v>500</v>
      </c>
      <c r="K55" s="66">
        <f>PREZZI!K13</f>
        <v>500</v>
      </c>
      <c r="L55" s="66">
        <f>PREZZI!L13</f>
        <v>500</v>
      </c>
      <c r="M55" s="66">
        <f>PREZZI!M13</f>
        <v>500</v>
      </c>
      <c r="N55" s="245">
        <f>IFERROR(N56/N54,0)</f>
        <v>0</v>
      </c>
    </row>
    <row r="56" spans="1:14" ht="17" thickBot="1" x14ac:dyDescent="0.25">
      <c r="A56" s="43" t="s">
        <v>37</v>
      </c>
      <c r="B56" s="246">
        <f>B54*B55</f>
        <v>0</v>
      </c>
      <c r="C56" s="246">
        <f t="shared" ref="C56:M56" si="4">C54*C55</f>
        <v>0</v>
      </c>
      <c r="D56" s="246">
        <f t="shared" si="4"/>
        <v>0</v>
      </c>
      <c r="E56" s="246">
        <f t="shared" si="4"/>
        <v>0</v>
      </c>
      <c r="F56" s="246">
        <f t="shared" si="4"/>
        <v>0</v>
      </c>
      <c r="G56" s="246">
        <f t="shared" si="4"/>
        <v>0</v>
      </c>
      <c r="H56" s="246">
        <f t="shared" si="4"/>
        <v>0</v>
      </c>
      <c r="I56" s="246">
        <f t="shared" si="4"/>
        <v>0</v>
      </c>
      <c r="J56" s="246">
        <f t="shared" si="4"/>
        <v>0</v>
      </c>
      <c r="K56" s="246">
        <f t="shared" si="4"/>
        <v>0</v>
      </c>
      <c r="L56" s="246">
        <f t="shared" si="4"/>
        <v>0</v>
      </c>
      <c r="M56" s="246">
        <f t="shared" si="4"/>
        <v>0</v>
      </c>
      <c r="N56" s="247">
        <f>SUM(B56:M56)</f>
        <v>0</v>
      </c>
    </row>
    <row r="77" spans="1:14" ht="17" thickBot="1" x14ac:dyDescent="0.25"/>
    <row r="78" spans="1:14" x14ac:dyDescent="0.2">
      <c r="A78" s="248" t="s">
        <v>109</v>
      </c>
      <c r="B78" s="236" t="s">
        <v>11</v>
      </c>
      <c r="C78" s="236" t="s">
        <v>12</v>
      </c>
      <c r="D78" s="236" t="s">
        <v>13</v>
      </c>
      <c r="E78" s="236" t="s">
        <v>14</v>
      </c>
      <c r="F78" s="236" t="s">
        <v>15</v>
      </c>
      <c r="G78" s="236" t="s">
        <v>16</v>
      </c>
      <c r="H78" s="236" t="s">
        <v>17</v>
      </c>
      <c r="I78" s="236" t="s">
        <v>18</v>
      </c>
      <c r="J78" s="236" t="s">
        <v>19</v>
      </c>
      <c r="K78" s="236" t="s">
        <v>20</v>
      </c>
      <c r="L78" s="236" t="s">
        <v>21</v>
      </c>
      <c r="M78" s="236" t="s">
        <v>22</v>
      </c>
      <c r="N78" s="242" t="s">
        <v>10</v>
      </c>
    </row>
    <row r="79" spans="1:14" x14ac:dyDescent="0.2">
      <c r="A79" s="243" t="s">
        <v>35</v>
      </c>
      <c r="B79" s="90">
        <f>QUANTITÀ!B17</f>
        <v>2008.3404255319151</v>
      </c>
      <c r="C79" s="90">
        <f>QUANTITÀ!C17</f>
        <v>2231.489361702128</v>
      </c>
      <c r="D79" s="90">
        <f>QUANTITÀ!D17</f>
        <v>2566.2127659574471</v>
      </c>
      <c r="E79" s="90">
        <f>QUANTITÀ!E17</f>
        <v>2343.0638297872342</v>
      </c>
      <c r="F79" s="90">
        <f>QUANTITÀ!F17</f>
        <v>2343.0638297872342</v>
      </c>
      <c r="G79" s="90">
        <f>QUANTITÀ!G17</f>
        <v>2454.6382978723404</v>
      </c>
      <c r="H79" s="90">
        <f>QUANTITÀ!H17</f>
        <v>2454.6382978723404</v>
      </c>
      <c r="I79" s="90">
        <f>QUANTITÀ!I17</f>
        <v>1338.8936170212767</v>
      </c>
      <c r="J79" s="90">
        <f>QUANTITÀ!J17</f>
        <v>2454.6382978723404</v>
      </c>
      <c r="K79" s="90">
        <f>QUANTITÀ!K17</f>
        <v>2343.0638297872342</v>
      </c>
      <c r="L79" s="90">
        <f>QUANTITÀ!L17</f>
        <v>2343.0638297872342</v>
      </c>
      <c r="M79" s="90">
        <f>QUANTITÀ!M17</f>
        <v>1338.8936170212767</v>
      </c>
      <c r="N79" s="244">
        <f>SUM(B79:M79)</f>
        <v>26220.000000000004</v>
      </c>
    </row>
    <row r="80" spans="1:14" x14ac:dyDescent="0.2">
      <c r="A80" s="243" t="s">
        <v>36</v>
      </c>
      <c r="B80" s="66">
        <f>PREZZI!B14</f>
        <v>500</v>
      </c>
      <c r="C80" s="66">
        <f>PREZZI!C14</f>
        <v>500</v>
      </c>
      <c r="D80" s="66">
        <f>PREZZI!D14</f>
        <v>500</v>
      </c>
      <c r="E80" s="66">
        <f>PREZZI!E14</f>
        <v>500</v>
      </c>
      <c r="F80" s="66">
        <f>PREZZI!F14</f>
        <v>500</v>
      </c>
      <c r="G80" s="66">
        <f>PREZZI!G14</f>
        <v>500</v>
      </c>
      <c r="H80" s="66">
        <f>PREZZI!H14</f>
        <v>500</v>
      </c>
      <c r="I80" s="66">
        <f>PREZZI!I14</f>
        <v>500</v>
      </c>
      <c r="J80" s="66">
        <f>PREZZI!J14</f>
        <v>500</v>
      </c>
      <c r="K80" s="66">
        <f>PREZZI!K14</f>
        <v>500</v>
      </c>
      <c r="L80" s="66">
        <f>PREZZI!L14</f>
        <v>500</v>
      </c>
      <c r="M80" s="66">
        <f>PREZZI!M14</f>
        <v>500</v>
      </c>
      <c r="N80" s="245">
        <f>(N81*1000)/N79</f>
        <v>500000.00000000006</v>
      </c>
    </row>
    <row r="81" spans="1:14" ht="17" thickBot="1" x14ac:dyDescent="0.25">
      <c r="A81" s="43" t="s">
        <v>37</v>
      </c>
      <c r="B81" s="246">
        <f>B79*B80</f>
        <v>1004170.2127659576</v>
      </c>
      <c r="C81" s="246">
        <f t="shared" ref="C81:M81" si="5">C79*C80</f>
        <v>1115744.6808510639</v>
      </c>
      <c r="D81" s="246">
        <f t="shared" si="5"/>
        <v>1283106.3829787236</v>
      </c>
      <c r="E81" s="246">
        <f t="shared" si="5"/>
        <v>1171531.9148936172</v>
      </c>
      <c r="F81" s="246">
        <f t="shared" si="5"/>
        <v>1171531.9148936172</v>
      </c>
      <c r="G81" s="246">
        <f t="shared" si="5"/>
        <v>1227319.1489361702</v>
      </c>
      <c r="H81" s="246">
        <f t="shared" si="5"/>
        <v>1227319.1489361702</v>
      </c>
      <c r="I81" s="246">
        <f t="shared" si="5"/>
        <v>669446.80851063831</v>
      </c>
      <c r="J81" s="246">
        <f t="shared" si="5"/>
        <v>1227319.1489361702</v>
      </c>
      <c r="K81" s="246">
        <f t="shared" si="5"/>
        <v>1171531.9148936172</v>
      </c>
      <c r="L81" s="246">
        <f t="shared" si="5"/>
        <v>1171531.9148936172</v>
      </c>
      <c r="M81" s="246">
        <f t="shared" si="5"/>
        <v>669446.80851063831</v>
      </c>
      <c r="N81" s="247">
        <f>SUM(B81:M81)</f>
        <v>13110000.000000004</v>
      </c>
    </row>
    <row r="84" spans="1:14" x14ac:dyDescent="0.2">
      <c r="N84" s="62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B88E-9545-244E-8F0A-82F16023F649}">
  <sheetPr>
    <pageSetUpPr fitToPage="1"/>
  </sheetPr>
  <dimension ref="B2:O13"/>
  <sheetViews>
    <sheetView zoomScale="180" zoomScaleNormal="180" workbookViewId="0">
      <selection sqref="A1:XFD13"/>
    </sheetView>
  </sheetViews>
  <sheetFormatPr baseColWidth="10" defaultRowHeight="16" x14ac:dyDescent="0.2"/>
  <cols>
    <col min="1" max="1" width="10.83203125" style="4"/>
    <col min="2" max="2" width="19" style="4" customWidth="1"/>
    <col min="3" max="14" width="12.33203125" style="4" customWidth="1"/>
    <col min="15" max="15" width="15" style="4" customWidth="1"/>
    <col min="16" max="16384" width="10.83203125" style="4"/>
  </cols>
  <sheetData>
    <row r="2" spans="2:15" x14ac:dyDescent="0.2">
      <c r="B2" s="4" t="s">
        <v>127</v>
      </c>
    </row>
    <row r="3" spans="2:15" ht="17" thickBot="1" x14ac:dyDescent="0.25"/>
    <row r="4" spans="2:15" x14ac:dyDescent="0.2">
      <c r="B4" s="15"/>
      <c r="C4" s="768" t="s">
        <v>99</v>
      </c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70"/>
    </row>
    <row r="5" spans="2:15" x14ac:dyDescent="0.2">
      <c r="B5" s="253"/>
      <c r="C5" s="101" t="s">
        <v>114</v>
      </c>
      <c r="D5" s="102" t="s">
        <v>115</v>
      </c>
      <c r="E5" s="102" t="s">
        <v>116</v>
      </c>
      <c r="F5" s="102" t="s">
        <v>117</v>
      </c>
      <c r="G5" s="102" t="s">
        <v>118</v>
      </c>
      <c r="H5" s="102" t="s">
        <v>119</v>
      </c>
      <c r="I5" s="102" t="s">
        <v>120</v>
      </c>
      <c r="J5" s="102" t="s">
        <v>121</v>
      </c>
      <c r="K5" s="102" t="s">
        <v>122</v>
      </c>
      <c r="L5" s="102" t="s">
        <v>123</v>
      </c>
      <c r="M5" s="102" t="s">
        <v>124</v>
      </c>
      <c r="N5" s="102" t="s">
        <v>125</v>
      </c>
      <c r="O5" s="254" t="s">
        <v>82</v>
      </c>
    </row>
    <row r="6" spans="2:15" x14ac:dyDescent="0.2">
      <c r="B6" s="255" t="s">
        <v>102</v>
      </c>
      <c r="C6" s="250">
        <f>MOLLE!B31+POLIUR!B31</f>
        <v>3994585.5261496222</v>
      </c>
      <c r="D6" s="213">
        <f>MOLLE!C31+POLIUR!C31</f>
        <v>4438428.3623884683</v>
      </c>
      <c r="E6" s="213">
        <f>MOLLE!D31+POLIUR!D31</f>
        <v>5104192.6167467395</v>
      </c>
      <c r="F6" s="213">
        <f>MOLLE!E31+POLIUR!E31</f>
        <v>4660349.7805078924</v>
      </c>
      <c r="G6" s="213">
        <f>MOLLE!F31+POLIUR!F31</f>
        <v>4660349.7805078924</v>
      </c>
      <c r="H6" s="213">
        <f>MOLLE!G31+POLIUR!G31</f>
        <v>4882271.1986273155</v>
      </c>
      <c r="I6" s="213">
        <f>MOLLE!H31+POLIUR!H31</f>
        <v>4882271.1986273155</v>
      </c>
      <c r="J6" s="213">
        <f>MOLLE!I31+POLIUR!I31</f>
        <v>2663057.0174330808</v>
      </c>
      <c r="K6" s="213">
        <f>MOLLE!J31+POLIUR!J31</f>
        <v>4882271.1986273155</v>
      </c>
      <c r="L6" s="213">
        <f>MOLLE!K31+POLIUR!K31</f>
        <v>4660349.7805078924</v>
      </c>
      <c r="M6" s="213">
        <f>MOLLE!L31+POLIUR!L31</f>
        <v>4660349.7805078924</v>
      </c>
      <c r="N6" s="213">
        <f>MOLLE!M31+POLIUR!M31</f>
        <v>2663057.0174330808</v>
      </c>
      <c r="O6" s="256">
        <f>SUM(C6:N6)</f>
        <v>52151533.258064508</v>
      </c>
    </row>
    <row r="7" spans="2:15" x14ac:dyDescent="0.2">
      <c r="B7" s="99" t="s">
        <v>103</v>
      </c>
      <c r="C7" s="249">
        <f>MOLLE!B54+POLIUR!B56</f>
        <v>5963581.0723404242</v>
      </c>
      <c r="D7" s="91">
        <f>MOLLE!C54+POLIUR!C56</f>
        <v>6626201.1914893612</v>
      </c>
      <c r="E7" s="91">
        <f>MOLLE!D54+POLIUR!D56</f>
        <v>7620131.3702127654</v>
      </c>
      <c r="F7" s="91">
        <f>MOLLE!E54+POLIUR!E56</f>
        <v>6957511.2510638293</v>
      </c>
      <c r="G7" s="91">
        <f>MOLLE!F54+POLIUR!F56</f>
        <v>6957511.2510638293</v>
      </c>
      <c r="H7" s="91">
        <f>MOLLE!G54+POLIUR!G56</f>
        <v>7288821.3106382973</v>
      </c>
      <c r="I7" s="91">
        <f>MOLLE!H54+POLIUR!H56</f>
        <v>7288821.3106382973</v>
      </c>
      <c r="J7" s="91">
        <f>MOLLE!I54+POLIUR!I56</f>
        <v>3975720.7148936167</v>
      </c>
      <c r="K7" s="91">
        <f>MOLLE!J54+POLIUR!J56</f>
        <v>7288821.3106382973</v>
      </c>
      <c r="L7" s="91">
        <f>MOLLE!K54+POLIUR!K56</f>
        <v>6957511.2510638293</v>
      </c>
      <c r="M7" s="91">
        <f>MOLLE!L54+POLIUR!L56</f>
        <v>6957511.2510638293</v>
      </c>
      <c r="N7" s="91">
        <f>MOLLE!M54+POLIUR!M56</f>
        <v>3975720.7148936167</v>
      </c>
      <c r="O7" s="257">
        <f t="shared" ref="O7:O8" si="0">SUM(C7:N7)</f>
        <v>77857864</v>
      </c>
    </row>
    <row r="8" spans="2:15" x14ac:dyDescent="0.2">
      <c r="B8" s="19" t="s">
        <v>104</v>
      </c>
      <c r="C8" s="251">
        <f>MOLLE!B79+POLIUR!B81</f>
        <v>1057021.2765957448</v>
      </c>
      <c r="D8" s="252">
        <f>MOLLE!C79+POLIUR!C81</f>
        <v>1174468.0851063831</v>
      </c>
      <c r="E8" s="252">
        <f>MOLLE!D79+POLIUR!D81</f>
        <v>1350638.2978723408</v>
      </c>
      <c r="F8" s="252">
        <f>MOLLE!E79+POLIUR!E81</f>
        <v>1233191.4893617022</v>
      </c>
      <c r="G8" s="252">
        <f>MOLLE!F79+POLIUR!F81</f>
        <v>1233191.4893617022</v>
      </c>
      <c r="H8" s="252">
        <f>MOLLE!G79+POLIUR!G81</f>
        <v>1291914.8936170214</v>
      </c>
      <c r="I8" s="252">
        <f>MOLLE!H79+POLIUR!H81</f>
        <v>1291914.8936170214</v>
      </c>
      <c r="J8" s="252">
        <f>MOLLE!I79+POLIUR!I81</f>
        <v>704680.85106382985</v>
      </c>
      <c r="K8" s="252">
        <f>MOLLE!J79+POLIUR!J81</f>
        <v>1291914.8936170214</v>
      </c>
      <c r="L8" s="252">
        <f>MOLLE!K79+POLIUR!K81</f>
        <v>1233191.4893617022</v>
      </c>
      <c r="M8" s="252">
        <f>MOLLE!L79+POLIUR!L81</f>
        <v>1233191.4893617022</v>
      </c>
      <c r="N8" s="252">
        <f>MOLLE!M79+POLIUR!M81</f>
        <v>704680.85106382985</v>
      </c>
      <c r="O8" s="258">
        <f t="shared" si="0"/>
        <v>13800000</v>
      </c>
    </row>
    <row r="9" spans="2:15" ht="17" thickBot="1" x14ac:dyDescent="0.25">
      <c r="B9" s="259" t="s">
        <v>37</v>
      </c>
      <c r="C9" s="260">
        <f>SUM(C6:C8)</f>
        <v>11015187.875085792</v>
      </c>
      <c r="D9" s="246">
        <f t="shared" ref="D9:O9" si="1">SUM(D6:D8)</f>
        <v>12239097.638984215</v>
      </c>
      <c r="E9" s="246">
        <f t="shared" si="1"/>
        <v>14074962.284831846</v>
      </c>
      <c r="F9" s="246">
        <f t="shared" si="1"/>
        <v>12851052.520933423</v>
      </c>
      <c r="G9" s="246">
        <f t="shared" si="1"/>
        <v>12851052.520933423</v>
      </c>
      <c r="H9" s="246">
        <f t="shared" si="1"/>
        <v>13463007.402882634</v>
      </c>
      <c r="I9" s="246">
        <f t="shared" si="1"/>
        <v>13463007.402882634</v>
      </c>
      <c r="J9" s="246">
        <f t="shared" si="1"/>
        <v>7343458.5833905274</v>
      </c>
      <c r="K9" s="246">
        <f t="shared" si="1"/>
        <v>13463007.402882634</v>
      </c>
      <c r="L9" s="246">
        <f t="shared" si="1"/>
        <v>12851052.520933423</v>
      </c>
      <c r="M9" s="246">
        <f t="shared" si="1"/>
        <v>12851052.520933423</v>
      </c>
      <c r="N9" s="246">
        <f t="shared" si="1"/>
        <v>7343458.5833905274</v>
      </c>
      <c r="O9" s="261">
        <f t="shared" si="1"/>
        <v>143809397.25806451</v>
      </c>
    </row>
    <row r="10" spans="2:15" x14ac:dyDescent="0.2">
      <c r="B10" s="255" t="s">
        <v>102</v>
      </c>
      <c r="C10" s="250">
        <f>C6*'Tab 0'!$B$46</f>
        <v>39945.855261496225</v>
      </c>
      <c r="D10" s="213">
        <f>D6*'Tab 0'!$B$46</f>
        <v>44384.283623884687</v>
      </c>
      <c r="E10" s="213">
        <f>E6*'Tab 0'!$B$46</f>
        <v>51041.926167467398</v>
      </c>
      <c r="F10" s="213">
        <f>F6*'Tab 0'!$B$46</f>
        <v>46603.497805078921</v>
      </c>
      <c r="G10" s="213">
        <f>G6*'Tab 0'!$B$46</f>
        <v>46603.497805078921</v>
      </c>
      <c r="H10" s="213">
        <f>H6*'Tab 0'!$B$46</f>
        <v>48822.711986273156</v>
      </c>
      <c r="I10" s="213">
        <f>I6*'Tab 0'!$B$46</f>
        <v>48822.711986273156</v>
      </c>
      <c r="J10" s="213">
        <f>J6*'Tab 0'!$B$46</f>
        <v>26630.570174330809</v>
      </c>
      <c r="K10" s="213">
        <f>K6*'Tab 0'!$B$46</f>
        <v>48822.711986273156</v>
      </c>
      <c r="L10" s="213">
        <f>L6*'Tab 0'!$B$46</f>
        <v>46603.497805078921</v>
      </c>
      <c r="M10" s="213">
        <f>M6*'Tab 0'!$B$46</f>
        <v>46603.497805078921</v>
      </c>
      <c r="N10" s="213">
        <f>N6*'Tab 0'!$B$46</f>
        <v>26630.570174330809</v>
      </c>
      <c r="O10" s="256">
        <f>SUM(C10:N10)</f>
        <v>521515.3325806451</v>
      </c>
    </row>
    <row r="11" spans="2:15" x14ac:dyDescent="0.2">
      <c r="B11" s="99" t="s">
        <v>103</v>
      </c>
      <c r="C11" s="249">
        <f>C7*'Tab 0'!$C$46</f>
        <v>0</v>
      </c>
      <c r="D11" s="91">
        <f>D7*'Tab 0'!$C$46</f>
        <v>0</v>
      </c>
      <c r="E11" s="91">
        <f>E7*'Tab 0'!$C$46</f>
        <v>0</v>
      </c>
      <c r="F11" s="91">
        <f>F7*'Tab 0'!$C$46</f>
        <v>0</v>
      </c>
      <c r="G11" s="91">
        <f>G7*'Tab 0'!$C$46</f>
        <v>0</v>
      </c>
      <c r="H11" s="91">
        <f>H7*'Tab 0'!$C$46</f>
        <v>0</v>
      </c>
      <c r="I11" s="91">
        <f>I7*'Tab 0'!$C$46</f>
        <v>0</v>
      </c>
      <c r="J11" s="91">
        <f>J7*'Tab 0'!$C$46</f>
        <v>0</v>
      </c>
      <c r="K11" s="91">
        <f>K7*'Tab 0'!$C$46</f>
        <v>0</v>
      </c>
      <c r="L11" s="91">
        <f>L7*'Tab 0'!$C$46</f>
        <v>0</v>
      </c>
      <c r="M11" s="91">
        <f>M7*'Tab 0'!$C$46</f>
        <v>0</v>
      </c>
      <c r="N11" s="91">
        <f>N7*'Tab 0'!$C$46</f>
        <v>0</v>
      </c>
      <c r="O11" s="257">
        <f t="shared" ref="O11:O12" si="2">SUM(C11:N11)</f>
        <v>0</v>
      </c>
    </row>
    <row r="12" spans="2:15" x14ac:dyDescent="0.2">
      <c r="B12" s="19" t="s">
        <v>104</v>
      </c>
      <c r="C12" s="251">
        <f>C8*'Tab 0'!$D$46</f>
        <v>105702.12765957449</v>
      </c>
      <c r="D12" s="252">
        <f>D8*'Tab 0'!$D$46</f>
        <v>117446.80851063831</v>
      </c>
      <c r="E12" s="252">
        <f>E8*'Tab 0'!$D$46</f>
        <v>135063.82978723408</v>
      </c>
      <c r="F12" s="252">
        <f>F8*'Tab 0'!$D$46</f>
        <v>123319.14893617023</v>
      </c>
      <c r="G12" s="252">
        <f>G8*'Tab 0'!$D$46</f>
        <v>123319.14893617023</v>
      </c>
      <c r="H12" s="252">
        <f>H8*'Tab 0'!$D$46</f>
        <v>129191.48936170214</v>
      </c>
      <c r="I12" s="252">
        <f>I8*'Tab 0'!$D$46</f>
        <v>129191.48936170214</v>
      </c>
      <c r="J12" s="252">
        <f>J8*'Tab 0'!$D$46</f>
        <v>70468.08510638299</v>
      </c>
      <c r="K12" s="252">
        <f>K8*'Tab 0'!$D$46</f>
        <v>129191.48936170214</v>
      </c>
      <c r="L12" s="252">
        <f>L8*'Tab 0'!$D$46</f>
        <v>123319.14893617023</v>
      </c>
      <c r="M12" s="252">
        <f>M8*'Tab 0'!$D$46</f>
        <v>123319.14893617023</v>
      </c>
      <c r="N12" s="252">
        <f>N8*'Tab 0'!$D$46</f>
        <v>70468.08510638299</v>
      </c>
      <c r="O12" s="258">
        <f t="shared" si="2"/>
        <v>1380000</v>
      </c>
    </row>
    <row r="13" spans="2:15" ht="17" thickBot="1" x14ac:dyDescent="0.25">
      <c r="B13" s="259" t="s">
        <v>126</v>
      </c>
      <c r="C13" s="260">
        <f>SUM(C10:C12)</f>
        <v>145647.98292107071</v>
      </c>
      <c r="D13" s="246">
        <f t="shared" ref="D13" si="3">SUM(D10:D12)</f>
        <v>161831.092134523</v>
      </c>
      <c r="E13" s="246">
        <f t="shared" ref="E13" si="4">SUM(E10:E12)</f>
        <v>186105.75595470148</v>
      </c>
      <c r="F13" s="246">
        <f t="shared" ref="F13" si="5">SUM(F10:F12)</f>
        <v>169922.64674124913</v>
      </c>
      <c r="G13" s="246">
        <f t="shared" ref="G13" si="6">SUM(G10:G12)</f>
        <v>169922.64674124913</v>
      </c>
      <c r="H13" s="246">
        <f t="shared" ref="H13" si="7">SUM(H10:H12)</f>
        <v>178014.20134797529</v>
      </c>
      <c r="I13" s="246">
        <f t="shared" ref="I13" si="8">SUM(I10:I12)</f>
        <v>178014.20134797529</v>
      </c>
      <c r="J13" s="246">
        <f t="shared" ref="J13" si="9">SUM(J10:J12)</f>
        <v>97098.655280713807</v>
      </c>
      <c r="K13" s="246">
        <f t="shared" ref="K13" si="10">SUM(K10:K12)</f>
        <v>178014.20134797529</v>
      </c>
      <c r="L13" s="246">
        <f t="shared" ref="L13" si="11">SUM(L10:L12)</f>
        <v>169922.64674124913</v>
      </c>
      <c r="M13" s="246">
        <f t="shared" ref="M13" si="12">SUM(M10:M12)</f>
        <v>169922.64674124913</v>
      </c>
      <c r="N13" s="246">
        <f t="shared" ref="N13" si="13">SUM(N10:N12)</f>
        <v>97098.655280713807</v>
      </c>
      <c r="O13" s="261">
        <f t="shared" ref="O13" si="14">SUM(O10:O12)</f>
        <v>1901515.3325806451</v>
      </c>
    </row>
  </sheetData>
  <mergeCells count="1">
    <mergeCell ref="C4:O4"/>
  </mergeCells>
  <phoneticPr fontId="4" type="noConversion"/>
  <pageMargins left="0.25" right="0.25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43</vt:i4>
      </vt:variant>
    </vt:vector>
  </HeadingPairs>
  <TitlesOfParts>
    <vt:vector size="43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Tab. 4</vt:lpstr>
      <vt:lpstr>Tab 5</vt:lpstr>
      <vt:lpstr>All. 1-2-3</vt:lpstr>
      <vt:lpstr>Tab. 6</vt:lpstr>
      <vt:lpstr>Tab. 7</vt:lpstr>
      <vt:lpstr>Tab. 8</vt:lpstr>
      <vt:lpstr>Tab. 9</vt:lpstr>
      <vt:lpstr>All. 4</vt:lpstr>
      <vt:lpstr>Tab. 10</vt:lpstr>
      <vt:lpstr>Tab. 11</vt:lpstr>
      <vt:lpstr>All. 6</vt:lpstr>
      <vt:lpstr>All. 7</vt:lpstr>
      <vt:lpstr>All. 8</vt:lpstr>
      <vt:lpstr>All. 9</vt:lpstr>
      <vt:lpstr>All. 10</vt:lpstr>
      <vt:lpstr>All. 11</vt:lpstr>
      <vt:lpstr>Tab. 12</vt:lpstr>
      <vt:lpstr>Tab. 13</vt:lpstr>
      <vt:lpstr>Tab. 14</vt:lpstr>
      <vt:lpstr>Tab. 15</vt:lpstr>
      <vt:lpstr>Tab. 16</vt:lpstr>
      <vt:lpstr>Tab. 17</vt:lpstr>
      <vt:lpstr>All. 12</vt:lpstr>
      <vt:lpstr>Tab. 18</vt:lpstr>
      <vt:lpstr>Tab. 19</vt:lpstr>
      <vt:lpstr>Tab. 20</vt:lpstr>
      <vt:lpstr>Tab. 21</vt:lpstr>
      <vt:lpstr>Tab. 22</vt:lpstr>
      <vt:lpstr>Tab. 23</vt:lpstr>
      <vt:lpstr>CE_1</vt:lpstr>
      <vt:lpstr>CE_2</vt:lpstr>
      <vt:lpstr>CE_3</vt:lpstr>
      <vt:lpstr>CE_1_mens</vt:lpstr>
      <vt:lpstr>CE_2_mens</vt:lpstr>
      <vt:lpstr>CE_3_mens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2022-05-18T13:56:35Z</dcterms:modified>
</cp:coreProperties>
</file>